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KASE\сентябрь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VREP_700_ND_RESPONDENTundefined!$A$7:$I$720</definedName>
  </definedName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2" i="1"/>
  <c r="E702" i="1"/>
  <c r="F702" i="1"/>
  <c r="G702" i="1"/>
  <c r="H702" i="1"/>
  <c r="D703" i="1"/>
  <c r="E703" i="1"/>
  <c r="F703" i="1"/>
  <c r="G703" i="1"/>
  <c r="H70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</calcChain>
</file>

<file path=xl/sharedStrings.xml><?xml version="1.0" encoding="utf-8"?>
<sst xmlns="http://schemas.openxmlformats.org/spreadsheetml/2006/main" count="29" uniqueCount="26">
  <si>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</si>
  <si>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</si>
  <si>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</si>
  <si>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</si>
  <si>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</si>
  <si>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</si>
  <si>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</si>
  <si>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</si>
  <si>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 в тенге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</si>
  <si>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</si>
  <si>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</si>
  <si>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</si>
  <si>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01.10.2022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</si>
  <si>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</si>
  <si>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</si>
  <si>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</si>
  <si>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</si>
  <si>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</si>
  <si>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</si>
  <si>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</si>
  <si>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Дадамбаев А.А.                      330 90 30 (1646)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</si>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</sst>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6" fillId="0" borderId="10" xfId="0" applyFont="1" applyBorder="1" applyAlignment="1">
      <alignment horizontal="center" wrapText="1"/>
    </xf>
    <xf numFmtId="43" fontId="16" fillId="0" borderId="10" xfId="42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42" applyFont="1"/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0" fontId="0" fillId="0" borderId="0" xfId="0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1"/>
  <sheetViews>
    <sheetView tabSelected="1" workbookViewId="0">
      <selection activeCell="D728" sqref="D728:H728"/>
    </sheetView>
  </sheetViews>
  <sheetFormatPr defaultRowHeight="15" x14ac:dyDescent="0.25"/>
  <cols>
    <col min="2" max="2" width="14.5703125" customWidth="1"/>
    <col min="3" max="3" width="14" customWidth="1"/>
    <col min="4" max="4" width="10.85546875" customWidth="1"/>
    <col min="5" max="5" width="18.5703125" customWidth="1"/>
    <col min="9" max="9" width="18.5703125" style="1" bestFit="1" customWidth="1"/>
  </cols>
  <sheetData>
    <row r="1" spans="1:9" ht="32.25" customHeight="1" x14ac:dyDescent="0.25">
      <c r="A1" s="4" t="s">
        <v>9</v>
      </c>
      <c r="B1" s="5"/>
      <c r="C1" s="5"/>
      <c r="D1" s="5"/>
      <c r="E1" s="5"/>
      <c r="F1" s="5"/>
      <c r="G1" s="5"/>
      <c r="H1" s="5"/>
      <c r="I1" s="5"/>
    </row>
    <row r="2" spans="1:9" ht="27.75" customHeight="1" x14ac:dyDescent="0.25">
      <c r="A2" s="6" t="s">
        <v>10</v>
      </c>
      <c r="B2" s="7"/>
      <c r="C2" s="7"/>
      <c r="D2" s="7"/>
      <c r="E2" s="7"/>
      <c r="F2" s="7"/>
      <c r="G2" s="7"/>
      <c r="H2" s="7"/>
      <c r="I2" s="7"/>
    </row>
    <row r="3" spans="1:9" ht="28.5" customHeight="1" x14ac:dyDescent="0.25">
      <c r="A3" s="6" t="s">
        <v>11</v>
      </c>
      <c r="B3" s="7"/>
      <c r="C3" s="7"/>
      <c r="D3" s="7"/>
      <c r="E3" s="7"/>
      <c r="F3" s="7"/>
      <c r="G3" s="7"/>
      <c r="H3" s="7"/>
      <c r="I3" s="7"/>
    </row>
    <row r="4" spans="1:9" ht="24.75" customHeight="1" x14ac:dyDescent="0.25">
      <c r="E4" t="s">
        <v>12</v>
      </c>
      <c r="I4" s="8"/>
    </row>
    <row r="7" spans="1:9" ht="60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3" t="s">
        <v>8</v>
      </c>
    </row>
    <row r="8" spans="1:9" x14ac:dyDescent="0.25">
      <c r="A8" s="9">
        <v>1</v>
      </c>
      <c r="B8" s="10">
        <v>44834</v>
      </c>
      <c r="C8" s="9">
        <v>8</v>
      </c>
      <c r="D8" s="9" t="str">
        <f t="shared" ref="D8:D14" si="0">"1259"</f>
        <v>1259</v>
      </c>
      <c r="E8" s="9" t="str">
        <f t="shared" ref="E8:E14" si="1">"Резервы (провизии) по вкладам, размещенным в других банках"</f>
        <v>Резервы (провизии) по вкладам, размещенным в других банках</v>
      </c>
      <c r="F8" s="9" t="str">
        <f>"2"</f>
        <v>2</v>
      </c>
      <c r="G8" s="9" t="str">
        <f>"4"</f>
        <v>4</v>
      </c>
      <c r="H8" s="9" t="str">
        <f>"3"</f>
        <v>3</v>
      </c>
      <c r="I8" s="11">
        <v>-110634.15</v>
      </c>
    </row>
    <row r="9" spans="1:9" x14ac:dyDescent="0.25">
      <c r="A9" s="9">
        <v>2</v>
      </c>
      <c r="B9" s="10">
        <v>44834</v>
      </c>
      <c r="C9" s="9">
        <v>8</v>
      </c>
      <c r="D9" s="9" t="str">
        <f t="shared" si="0"/>
        <v>1259</v>
      </c>
      <c r="E9" s="9" t="str">
        <f t="shared" si="1"/>
        <v>Резервы (провизии) по вкладам, размещенным в других банках</v>
      </c>
      <c r="F9" s="9" t="str">
        <f>"1"</f>
        <v>1</v>
      </c>
      <c r="G9" s="9" t="str">
        <f>"5"</f>
        <v>5</v>
      </c>
      <c r="H9" s="9" t="str">
        <f>"2"</f>
        <v>2</v>
      </c>
      <c r="I9" s="11">
        <v>-257242.25</v>
      </c>
    </row>
    <row r="10" spans="1:9" x14ac:dyDescent="0.25">
      <c r="A10" s="9">
        <v>3</v>
      </c>
      <c r="B10" s="10">
        <v>44834</v>
      </c>
      <c r="C10" s="9">
        <v>8</v>
      </c>
      <c r="D10" s="9" t="str">
        <f t="shared" si="0"/>
        <v>1259</v>
      </c>
      <c r="E10" s="9" t="str">
        <f t="shared" si="1"/>
        <v>Резервы (провизии) по вкладам, размещенным в других банках</v>
      </c>
      <c r="F10" s="9" t="str">
        <f>"1"</f>
        <v>1</v>
      </c>
      <c r="G10" s="9" t="str">
        <f>"5"</f>
        <v>5</v>
      </c>
      <c r="H10" s="9" t="str">
        <f>"3"</f>
        <v>3</v>
      </c>
      <c r="I10" s="11">
        <v>-57980.45</v>
      </c>
    </row>
    <row r="11" spans="1:9" x14ac:dyDescent="0.25">
      <c r="A11" s="9">
        <v>4</v>
      </c>
      <c r="B11" s="10">
        <v>44834</v>
      </c>
      <c r="C11" s="9">
        <v>8</v>
      </c>
      <c r="D11" s="9" t="str">
        <f t="shared" si="0"/>
        <v>1259</v>
      </c>
      <c r="E11" s="9" t="str">
        <f t="shared" si="1"/>
        <v>Резервы (провизии) по вкладам, размещенным в других банках</v>
      </c>
      <c r="F11" s="9" t="str">
        <f>"2"</f>
        <v>2</v>
      </c>
      <c r="G11" s="9" t="str">
        <f>"4"</f>
        <v>4</v>
      </c>
      <c r="H11" s="9" t="str">
        <f>"2"</f>
        <v>2</v>
      </c>
      <c r="I11" s="11">
        <v>-2307.2800000000002</v>
      </c>
    </row>
    <row r="12" spans="1:9" x14ac:dyDescent="0.25">
      <c r="A12" s="9">
        <v>5</v>
      </c>
      <c r="B12" s="10">
        <v>44834</v>
      </c>
      <c r="C12" s="9">
        <v>8</v>
      </c>
      <c r="D12" s="9" t="str">
        <f t="shared" si="0"/>
        <v>1259</v>
      </c>
      <c r="E12" s="9" t="str">
        <f t="shared" si="1"/>
        <v>Резервы (провизии) по вкладам, размещенным в других банках</v>
      </c>
      <c r="F12" s="9" t="str">
        <f>"2"</f>
        <v>2</v>
      </c>
      <c r="G12" s="9" t="str">
        <f>"5"</f>
        <v>5</v>
      </c>
      <c r="H12" s="9" t="str">
        <f>"2"</f>
        <v>2</v>
      </c>
      <c r="I12" s="11">
        <v>-34256.379999999997</v>
      </c>
    </row>
    <row r="13" spans="1:9" x14ac:dyDescent="0.25">
      <c r="A13" s="9">
        <v>6</v>
      </c>
      <c r="B13" s="10">
        <v>44834</v>
      </c>
      <c r="C13" s="9">
        <v>8</v>
      </c>
      <c r="D13" s="9" t="str">
        <f t="shared" si="0"/>
        <v>1259</v>
      </c>
      <c r="E13" s="9" t="str">
        <f t="shared" si="1"/>
        <v>Резервы (провизии) по вкладам, размещенным в других банках</v>
      </c>
      <c r="F13" s="9" t="str">
        <f>"1"</f>
        <v>1</v>
      </c>
      <c r="G13" s="9" t="str">
        <f>"5"</f>
        <v>5</v>
      </c>
      <c r="H13" s="9" t="str">
        <f>"1"</f>
        <v>1</v>
      </c>
      <c r="I13" s="11">
        <v>-57602.76</v>
      </c>
    </row>
    <row r="14" spans="1:9" x14ac:dyDescent="0.25">
      <c r="A14" s="9">
        <v>7</v>
      </c>
      <c r="B14" s="10">
        <v>44834</v>
      </c>
      <c r="C14" s="9">
        <v>8</v>
      </c>
      <c r="D14" s="9" t="str">
        <f t="shared" si="0"/>
        <v>1259</v>
      </c>
      <c r="E14" s="9" t="str">
        <f t="shared" si="1"/>
        <v>Резервы (провизии) по вкладам, размещенным в других банках</v>
      </c>
      <c r="F14" s="9" t="str">
        <f>"1"</f>
        <v>1</v>
      </c>
      <c r="G14" s="9" t="str">
        <f>"3"</f>
        <v>3</v>
      </c>
      <c r="H14" s="9" t="str">
        <f>"1"</f>
        <v>1</v>
      </c>
      <c r="I14" s="11">
        <v>-180322.02</v>
      </c>
    </row>
    <row r="15" spans="1:9" x14ac:dyDescent="0.25">
      <c r="A15" s="9">
        <v>8</v>
      </c>
      <c r="B15" s="10">
        <v>44834</v>
      </c>
      <c r="C15" s="9">
        <v>8</v>
      </c>
      <c r="D15" s="9" t="str">
        <f t="shared" ref="D15:D23" si="2">"1052"</f>
        <v>1052</v>
      </c>
      <c r="E15" s="9" t="str">
        <f t="shared" ref="E15:E23" si="3">"Корреспондентские счета в других банках"</f>
        <v>Корреспондентские счета в других банках</v>
      </c>
      <c r="F15" s="9" t="str">
        <f t="shared" ref="F15:F21" si="4">"2"</f>
        <v>2</v>
      </c>
      <c r="G15" s="9" t="str">
        <f>"5"</f>
        <v>5</v>
      </c>
      <c r="H15" s="9" t="str">
        <f>"1"</f>
        <v>1</v>
      </c>
      <c r="I15" s="11">
        <v>17225464.120000001</v>
      </c>
    </row>
    <row r="16" spans="1:9" x14ac:dyDescent="0.25">
      <c r="A16" s="9">
        <v>9</v>
      </c>
      <c r="B16" s="10">
        <v>44834</v>
      </c>
      <c r="C16" s="9">
        <v>8</v>
      </c>
      <c r="D16" s="9" t="str">
        <f t="shared" si="2"/>
        <v>1052</v>
      </c>
      <c r="E16" s="9" t="str">
        <f t="shared" si="3"/>
        <v>Корреспондентские счета в других банках</v>
      </c>
      <c r="F16" s="9" t="str">
        <f t="shared" si="4"/>
        <v>2</v>
      </c>
      <c r="G16" s="9" t="str">
        <f>"4"</f>
        <v>4</v>
      </c>
      <c r="H16" s="9" t="str">
        <f>"3"</f>
        <v>3</v>
      </c>
      <c r="I16" s="11">
        <v>876840934.12</v>
      </c>
    </row>
    <row r="17" spans="1:9" x14ac:dyDescent="0.25">
      <c r="A17" s="9">
        <v>10</v>
      </c>
      <c r="B17" s="10">
        <v>44834</v>
      </c>
      <c r="C17" s="9">
        <v>8</v>
      </c>
      <c r="D17" s="9" t="str">
        <f t="shared" si="2"/>
        <v>1052</v>
      </c>
      <c r="E17" s="9" t="str">
        <f t="shared" si="3"/>
        <v>Корреспондентские счета в других банках</v>
      </c>
      <c r="F17" s="9" t="str">
        <f t="shared" si="4"/>
        <v>2</v>
      </c>
      <c r="G17" s="9" t="str">
        <f>"5"</f>
        <v>5</v>
      </c>
      <c r="H17" s="9" t="str">
        <f>"2"</f>
        <v>2</v>
      </c>
      <c r="I17" s="11">
        <v>114913922.11</v>
      </c>
    </row>
    <row r="18" spans="1:9" x14ac:dyDescent="0.25">
      <c r="A18" s="9">
        <v>11</v>
      </c>
      <c r="B18" s="10">
        <v>44834</v>
      </c>
      <c r="C18" s="9">
        <v>8</v>
      </c>
      <c r="D18" s="9" t="str">
        <f t="shared" si="2"/>
        <v>1052</v>
      </c>
      <c r="E18" s="9" t="str">
        <f t="shared" si="3"/>
        <v>Корреспондентские счета в других банках</v>
      </c>
      <c r="F18" s="9" t="str">
        <f t="shared" si="4"/>
        <v>2</v>
      </c>
      <c r="G18" s="9" t="str">
        <f>"4"</f>
        <v>4</v>
      </c>
      <c r="H18" s="9" t="str">
        <f>"2"</f>
        <v>2</v>
      </c>
      <c r="I18" s="11">
        <v>51549638445.849998</v>
      </c>
    </row>
    <row r="19" spans="1:9" x14ac:dyDescent="0.25">
      <c r="A19" s="9">
        <v>12</v>
      </c>
      <c r="B19" s="10">
        <v>44834</v>
      </c>
      <c r="C19" s="9">
        <v>8</v>
      </c>
      <c r="D19" s="9" t="str">
        <f t="shared" si="2"/>
        <v>1052</v>
      </c>
      <c r="E19" s="9" t="str">
        <f t="shared" si="3"/>
        <v>Корреспондентские счета в других банках</v>
      </c>
      <c r="F19" s="9" t="str">
        <f t="shared" si="4"/>
        <v>2</v>
      </c>
      <c r="G19" s="9" t="str">
        <f>"3"</f>
        <v>3</v>
      </c>
      <c r="H19" s="9" t="str">
        <f>"2"</f>
        <v>2</v>
      </c>
      <c r="I19" s="11">
        <v>4670300000</v>
      </c>
    </row>
    <row r="20" spans="1:9" x14ac:dyDescent="0.25">
      <c r="A20" s="9">
        <v>13</v>
      </c>
      <c r="B20" s="10">
        <v>44834</v>
      </c>
      <c r="C20" s="9">
        <v>8</v>
      </c>
      <c r="D20" s="9" t="str">
        <f t="shared" si="2"/>
        <v>1052</v>
      </c>
      <c r="E20" s="9" t="str">
        <f t="shared" si="3"/>
        <v>Корреспондентские счета в других банках</v>
      </c>
      <c r="F20" s="9" t="str">
        <f t="shared" si="4"/>
        <v>2</v>
      </c>
      <c r="G20" s="9" t="str">
        <f>"3"</f>
        <v>3</v>
      </c>
      <c r="H20" s="9" t="str">
        <f>"3"</f>
        <v>3</v>
      </c>
      <c r="I20" s="11">
        <v>10281496393.1</v>
      </c>
    </row>
    <row r="21" spans="1:9" x14ac:dyDescent="0.25">
      <c r="A21" s="9">
        <v>14</v>
      </c>
      <c r="B21" s="10">
        <v>44834</v>
      </c>
      <c r="C21" s="9">
        <v>8</v>
      </c>
      <c r="D21" s="9" t="str">
        <f t="shared" si="2"/>
        <v>1052</v>
      </c>
      <c r="E21" s="9" t="str">
        <f t="shared" si="3"/>
        <v>Корреспондентские счета в других банках</v>
      </c>
      <c r="F21" s="9" t="str">
        <f t="shared" si="4"/>
        <v>2</v>
      </c>
      <c r="G21" s="9" t="str">
        <f>"5"</f>
        <v>5</v>
      </c>
      <c r="H21" s="9" t="str">
        <f>"3"</f>
        <v>3</v>
      </c>
      <c r="I21" s="11">
        <v>88557016.769999996</v>
      </c>
    </row>
    <row r="22" spans="1:9" x14ac:dyDescent="0.25">
      <c r="A22" s="9">
        <v>15</v>
      </c>
      <c r="B22" s="10">
        <v>44834</v>
      </c>
      <c r="C22" s="9">
        <v>8</v>
      </c>
      <c r="D22" s="9" t="str">
        <f t="shared" si="2"/>
        <v>1052</v>
      </c>
      <c r="E22" s="9" t="str">
        <f t="shared" si="3"/>
        <v>Корреспондентские счета в других банках</v>
      </c>
      <c r="F22" s="9" t="str">
        <f>"1"</f>
        <v>1</v>
      </c>
      <c r="G22" s="9" t="str">
        <f>"5"</f>
        <v>5</v>
      </c>
      <c r="H22" s="9" t="str">
        <f>"2"</f>
        <v>2</v>
      </c>
      <c r="I22" s="11">
        <v>176990557.69</v>
      </c>
    </row>
    <row r="23" spans="1:9" x14ac:dyDescent="0.25">
      <c r="A23" s="9">
        <v>16</v>
      </c>
      <c r="B23" s="10">
        <v>44834</v>
      </c>
      <c r="C23" s="9">
        <v>8</v>
      </c>
      <c r="D23" s="9" t="str">
        <f t="shared" si="2"/>
        <v>1052</v>
      </c>
      <c r="E23" s="9" t="str">
        <f t="shared" si="3"/>
        <v>Корреспондентские счета в других банках</v>
      </c>
      <c r="F23" s="9" t="str">
        <f>"1"</f>
        <v>1</v>
      </c>
      <c r="G23" s="9" t="str">
        <f>"4"</f>
        <v>4</v>
      </c>
      <c r="H23" s="9" t="str">
        <f>"2"</f>
        <v>2</v>
      </c>
      <c r="I23" s="11">
        <v>2567251475.5599999</v>
      </c>
    </row>
    <row r="24" spans="1:9" x14ac:dyDescent="0.25">
      <c r="A24" s="9">
        <v>17</v>
      </c>
      <c r="B24" s="10">
        <v>44834</v>
      </c>
      <c r="C24" s="9">
        <v>8</v>
      </c>
      <c r="D24" s="9" t="str">
        <f t="shared" ref="D24:D35" si="5">"1054"</f>
        <v>1054</v>
      </c>
      <c r="E24" s="9" t="str">
        <f t="shared" ref="E24:E35" si="6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s="9" t="str">
        <f>"2"</f>
        <v>2</v>
      </c>
      <c r="G24" s="9" t="str">
        <f>"5"</f>
        <v>5</v>
      </c>
      <c r="H24" s="9" t="str">
        <f>"3"</f>
        <v>3</v>
      </c>
      <c r="I24" s="11">
        <v>-1899.22</v>
      </c>
    </row>
    <row r="25" spans="1:9" x14ac:dyDescent="0.25">
      <c r="A25" s="9">
        <v>18</v>
      </c>
      <c r="B25" s="10">
        <v>44834</v>
      </c>
      <c r="C25" s="9">
        <v>8</v>
      </c>
      <c r="D25" s="9" t="str">
        <f t="shared" si="5"/>
        <v>1054</v>
      </c>
      <c r="E25" s="9" t="str">
        <f t="shared" si="6"/>
        <v>Резервы (провизии) по корреспондентским счетам в других банках и текущим счетам ипотечных организаций</v>
      </c>
      <c r="F25" s="9" t="str">
        <f>"1"</f>
        <v>1</v>
      </c>
      <c r="G25" s="9" t="str">
        <f>"4"</f>
        <v>4</v>
      </c>
      <c r="H25" s="9" t="str">
        <f>"2"</f>
        <v>2</v>
      </c>
      <c r="I25" s="11">
        <v>-32677.47</v>
      </c>
    </row>
    <row r="26" spans="1:9" x14ac:dyDescent="0.25">
      <c r="A26" s="9">
        <v>19</v>
      </c>
      <c r="B26" s="10">
        <v>44834</v>
      </c>
      <c r="C26" s="9">
        <v>8</v>
      </c>
      <c r="D26" s="9" t="str">
        <f t="shared" si="5"/>
        <v>1054</v>
      </c>
      <c r="E26" s="9" t="str">
        <f t="shared" si="6"/>
        <v>Резервы (провизии) по корреспондентским счетам в других банках и текущим счетам ипотечных организаций</v>
      </c>
      <c r="F26" s="9" t="str">
        <f>"2"</f>
        <v>2</v>
      </c>
      <c r="G26" s="9" t="str">
        <f>"3"</f>
        <v>3</v>
      </c>
      <c r="H26" s="9" t="str">
        <f>"2"</f>
        <v>2</v>
      </c>
      <c r="I26" s="11">
        <v>-82486.84</v>
      </c>
    </row>
    <row r="27" spans="1:9" x14ac:dyDescent="0.25">
      <c r="A27" s="9">
        <v>20</v>
      </c>
      <c r="B27" s="10">
        <v>44834</v>
      </c>
      <c r="C27" s="9">
        <v>8</v>
      </c>
      <c r="D27" s="9" t="str">
        <f t="shared" si="5"/>
        <v>1054</v>
      </c>
      <c r="E27" s="9" t="str">
        <f t="shared" si="6"/>
        <v>Резервы (провизии) по корреспондентским счетам в других банках и текущим счетам ипотечных организаций</v>
      </c>
      <c r="F27" s="9" t="str">
        <f>"2"</f>
        <v>2</v>
      </c>
      <c r="G27" s="9" t="str">
        <f>"5"</f>
        <v>5</v>
      </c>
      <c r="H27" s="9" t="str">
        <f>"1"</f>
        <v>1</v>
      </c>
      <c r="I27" s="11">
        <v>-369.42</v>
      </c>
    </row>
    <row r="28" spans="1:9" x14ac:dyDescent="0.25">
      <c r="A28" s="9">
        <v>21</v>
      </c>
      <c r="B28" s="10">
        <v>44834</v>
      </c>
      <c r="C28" s="9">
        <v>8</v>
      </c>
      <c r="D28" s="9" t="str">
        <f t="shared" si="5"/>
        <v>1054</v>
      </c>
      <c r="E28" s="9" t="str">
        <f t="shared" si="6"/>
        <v>Резервы (провизии) по корреспондентским счетам в других банках и текущим счетам ипотечных организаций</v>
      </c>
      <c r="F28" s="9" t="str">
        <f>"2"</f>
        <v>2</v>
      </c>
      <c r="G28" s="9" t="str">
        <f>"4"</f>
        <v>4</v>
      </c>
      <c r="H28" s="9" t="str">
        <f>"3"</f>
        <v>3</v>
      </c>
      <c r="I28" s="11">
        <v>-74903.009999999995</v>
      </c>
    </row>
    <row r="29" spans="1:9" x14ac:dyDescent="0.25">
      <c r="A29" s="9">
        <v>22</v>
      </c>
      <c r="B29" s="10">
        <v>44834</v>
      </c>
      <c r="C29" s="9">
        <v>8</v>
      </c>
      <c r="D29" s="9" t="str">
        <f t="shared" si="5"/>
        <v>1054</v>
      </c>
      <c r="E29" s="9" t="str">
        <f t="shared" si="6"/>
        <v>Резервы (провизии) по корреспондентским счетам в других банках и текущим счетам ипотечных организаций</v>
      </c>
      <c r="F29" s="9" t="str">
        <f>"1"</f>
        <v>1</v>
      </c>
      <c r="G29" s="9" t="str">
        <f>"3"</f>
        <v>3</v>
      </c>
      <c r="H29" s="9" t="str">
        <f>"1"</f>
        <v>1</v>
      </c>
      <c r="I29" s="11">
        <v>-290533.28000000003</v>
      </c>
    </row>
    <row r="30" spans="1:9" x14ac:dyDescent="0.25">
      <c r="A30" s="9">
        <v>23</v>
      </c>
      <c r="B30" s="10">
        <v>44834</v>
      </c>
      <c r="C30" s="9">
        <v>8</v>
      </c>
      <c r="D30" s="9" t="str">
        <f t="shared" si="5"/>
        <v>1054</v>
      </c>
      <c r="E30" s="9" t="str">
        <f t="shared" si="6"/>
        <v>Резервы (провизии) по корреспондентским счетам в других банках и текущим счетам ипотечных организаций</v>
      </c>
      <c r="F30" s="9" t="str">
        <f>"2"</f>
        <v>2</v>
      </c>
      <c r="G30" s="9" t="str">
        <f>"5"</f>
        <v>5</v>
      </c>
      <c r="H30" s="9" t="str">
        <f>"2"</f>
        <v>2</v>
      </c>
      <c r="I30" s="11">
        <v>-2465</v>
      </c>
    </row>
    <row r="31" spans="1:9" x14ac:dyDescent="0.25">
      <c r="A31" s="9">
        <v>24</v>
      </c>
      <c r="B31" s="10">
        <v>44834</v>
      </c>
      <c r="C31" s="9">
        <v>8</v>
      </c>
      <c r="D31" s="9" t="str">
        <f t="shared" si="5"/>
        <v>1054</v>
      </c>
      <c r="E31" s="9" t="str">
        <f t="shared" si="6"/>
        <v>Резервы (провизии) по корреспондентским счетам в других банках и текущим счетам ипотечных организаций</v>
      </c>
      <c r="F31" s="9" t="str">
        <f>"1"</f>
        <v>1</v>
      </c>
      <c r="G31" s="9" t="str">
        <f>"3"</f>
        <v>3</v>
      </c>
      <c r="H31" s="9" t="str">
        <f>"2"</f>
        <v>2</v>
      </c>
      <c r="I31" s="11">
        <v>-3241413.84</v>
      </c>
    </row>
    <row r="32" spans="1:9" x14ac:dyDescent="0.25">
      <c r="A32" s="9">
        <v>25</v>
      </c>
      <c r="B32" s="10">
        <v>44834</v>
      </c>
      <c r="C32" s="9">
        <v>8</v>
      </c>
      <c r="D32" s="9" t="str">
        <f t="shared" si="5"/>
        <v>1054</v>
      </c>
      <c r="E32" s="9" t="str">
        <f t="shared" si="6"/>
        <v>Резервы (провизии) по корреспондентским счетам в других банках и текущим счетам ипотечных организаций</v>
      </c>
      <c r="F32" s="9" t="str">
        <f>"2"</f>
        <v>2</v>
      </c>
      <c r="G32" s="9" t="str">
        <f>"4"</f>
        <v>4</v>
      </c>
      <c r="H32" s="9" t="str">
        <f>"2"</f>
        <v>2</v>
      </c>
      <c r="I32" s="11">
        <v>-214991.61</v>
      </c>
    </row>
    <row r="33" spans="1:9" x14ac:dyDescent="0.25">
      <c r="A33" s="9">
        <v>26</v>
      </c>
      <c r="B33" s="10">
        <v>44834</v>
      </c>
      <c r="C33" s="9">
        <v>8</v>
      </c>
      <c r="D33" s="9" t="str">
        <f t="shared" si="5"/>
        <v>1054</v>
      </c>
      <c r="E33" s="9" t="str">
        <f t="shared" si="6"/>
        <v>Резервы (провизии) по корреспондентским счетам в других банках и текущим счетам ипотечных организаций</v>
      </c>
      <c r="F33" s="9" t="str">
        <f>"1"</f>
        <v>1</v>
      </c>
      <c r="G33" s="9" t="str">
        <f>"3"</f>
        <v>3</v>
      </c>
      <c r="H33" s="9" t="str">
        <f>"3"</f>
        <v>3</v>
      </c>
      <c r="I33" s="11">
        <v>-130.91999999999999</v>
      </c>
    </row>
    <row r="34" spans="1:9" x14ac:dyDescent="0.25">
      <c r="A34" s="9">
        <v>27</v>
      </c>
      <c r="B34" s="10">
        <v>44834</v>
      </c>
      <c r="C34" s="9">
        <v>8</v>
      </c>
      <c r="D34" s="9" t="str">
        <f t="shared" si="5"/>
        <v>1054</v>
      </c>
      <c r="E34" s="9" t="str">
        <f t="shared" si="6"/>
        <v>Резервы (провизии) по корреспондентским счетам в других банках и текущим счетам ипотечных организаций</v>
      </c>
      <c r="F34" s="9" t="str">
        <f>"2"</f>
        <v>2</v>
      </c>
      <c r="G34" s="9" t="str">
        <f>"3"</f>
        <v>3</v>
      </c>
      <c r="H34" s="9" t="str">
        <f>"3"</f>
        <v>3</v>
      </c>
      <c r="I34" s="11">
        <v>-181593.33</v>
      </c>
    </row>
    <row r="35" spans="1:9" x14ac:dyDescent="0.25">
      <c r="A35" s="9">
        <v>28</v>
      </c>
      <c r="B35" s="10">
        <v>44834</v>
      </c>
      <c r="C35" s="9">
        <v>8</v>
      </c>
      <c r="D35" s="9" t="str">
        <f t="shared" si="5"/>
        <v>1054</v>
      </c>
      <c r="E35" s="9" t="str">
        <f t="shared" si="6"/>
        <v>Резервы (провизии) по корреспондентским счетам в других банках и текущим счетам ипотечных организаций</v>
      </c>
      <c r="F35" s="9" t="str">
        <f>"1"</f>
        <v>1</v>
      </c>
      <c r="G35" s="9" t="str">
        <f>"5"</f>
        <v>5</v>
      </c>
      <c r="H35" s="9" t="str">
        <f>"2"</f>
        <v>2</v>
      </c>
      <c r="I35" s="11">
        <v>-2455.06</v>
      </c>
    </row>
    <row r="36" spans="1:9" x14ac:dyDescent="0.25">
      <c r="A36" s="9">
        <v>29</v>
      </c>
      <c r="B36" s="10">
        <v>44834</v>
      </c>
      <c r="C36" s="9">
        <v>8</v>
      </c>
      <c r="D36" s="9" t="str">
        <f>"1013"</f>
        <v>1013</v>
      </c>
      <c r="E36" s="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36" s="9" t="str">
        <f>"2"</f>
        <v>2</v>
      </c>
      <c r="G36" s="9" t="str">
        <f>"4"</f>
        <v>4</v>
      </c>
      <c r="H36" s="9" t="str">
        <f>""</f>
        <v/>
      </c>
      <c r="I36" s="11">
        <v>347887132.11000001</v>
      </c>
    </row>
    <row r="37" spans="1:9" x14ac:dyDescent="0.25">
      <c r="A37" s="9">
        <v>30</v>
      </c>
      <c r="B37" s="10">
        <v>44834</v>
      </c>
      <c r="C37" s="9">
        <v>8</v>
      </c>
      <c r="D37" s="9" t="str">
        <f>"1002"</f>
        <v>1002</v>
      </c>
      <c r="E37" s="9" t="str">
        <f>"Банкноты и монеты в пути"</f>
        <v>Банкноты и монеты в пути</v>
      </c>
      <c r="F37" s="9" t="str">
        <f>"1"</f>
        <v>1</v>
      </c>
      <c r="G37" s="9" t="str">
        <f>"3"</f>
        <v>3</v>
      </c>
      <c r="H37" s="9" t="str">
        <f>"1"</f>
        <v>1</v>
      </c>
      <c r="I37" s="11">
        <v>965769860</v>
      </c>
    </row>
    <row r="38" spans="1:9" x14ac:dyDescent="0.25">
      <c r="A38" s="9">
        <v>31</v>
      </c>
      <c r="B38" s="10">
        <v>44834</v>
      </c>
      <c r="C38" s="9">
        <v>8</v>
      </c>
      <c r="D38" s="9" t="str">
        <f>"1002"</f>
        <v>1002</v>
      </c>
      <c r="E38" s="9" t="str">
        <f>"Банкноты и монеты в пути"</f>
        <v>Банкноты и монеты в пути</v>
      </c>
      <c r="F38" s="9" t="str">
        <f>"2"</f>
        <v>2</v>
      </c>
      <c r="G38" s="9" t="str">
        <f>"3"</f>
        <v>3</v>
      </c>
      <c r="H38" s="9" t="str">
        <f>"3"</f>
        <v>3</v>
      </c>
      <c r="I38" s="11">
        <v>4967512</v>
      </c>
    </row>
    <row r="39" spans="1:9" x14ac:dyDescent="0.25">
      <c r="A39" s="9">
        <v>32</v>
      </c>
      <c r="B39" s="10">
        <v>44834</v>
      </c>
      <c r="C39" s="9">
        <v>8</v>
      </c>
      <c r="D39" s="9" t="str">
        <f>"1002"</f>
        <v>1002</v>
      </c>
      <c r="E39" s="9" t="str">
        <f>"Банкноты и монеты в пути"</f>
        <v>Банкноты и монеты в пути</v>
      </c>
      <c r="F39" s="9" t="str">
        <f>"2"</f>
        <v>2</v>
      </c>
      <c r="G39" s="9" t="str">
        <f>"3"</f>
        <v>3</v>
      </c>
      <c r="H39" s="9" t="str">
        <f>"2"</f>
        <v>2</v>
      </c>
      <c r="I39" s="11">
        <v>681018729.49000001</v>
      </c>
    </row>
    <row r="40" spans="1:9" x14ac:dyDescent="0.25">
      <c r="A40" s="9">
        <v>33</v>
      </c>
      <c r="B40" s="10">
        <v>44834</v>
      </c>
      <c r="C40" s="9">
        <v>8</v>
      </c>
      <c r="D40" s="9" t="str">
        <f>"1005"</f>
        <v>1005</v>
      </c>
      <c r="E40" s="9" t="str">
        <f>"Наличность в банкоматах и электронных терминалах"</f>
        <v>Наличность в банкоматах и электронных терминалах</v>
      </c>
      <c r="F40" s="9" t="str">
        <f t="shared" ref="F40:F53" si="7">"1"</f>
        <v>1</v>
      </c>
      <c r="G40" s="9" t="str">
        <f>"3"</f>
        <v>3</v>
      </c>
      <c r="H40" s="9" t="str">
        <f>"1"</f>
        <v>1</v>
      </c>
      <c r="I40" s="11">
        <v>6058930000</v>
      </c>
    </row>
    <row r="41" spans="1:9" x14ac:dyDescent="0.25">
      <c r="A41" s="9">
        <v>34</v>
      </c>
      <c r="B41" s="10">
        <v>44834</v>
      </c>
      <c r="C41" s="9">
        <v>8</v>
      </c>
      <c r="D41" s="9" t="str">
        <f>"1201"</f>
        <v>1201</v>
      </c>
      <c r="E41" s="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1" s="9" t="str">
        <f t="shared" si="7"/>
        <v>1</v>
      </c>
      <c r="G41" s="9" t="str">
        <f>"1"</f>
        <v>1</v>
      </c>
      <c r="H41" s="9" t="str">
        <f>"2"</f>
        <v>2</v>
      </c>
      <c r="I41" s="11">
        <v>2308229820</v>
      </c>
    </row>
    <row r="42" spans="1:9" x14ac:dyDescent="0.25">
      <c r="A42" s="9">
        <v>35</v>
      </c>
      <c r="B42" s="10">
        <v>44834</v>
      </c>
      <c r="C42" s="9">
        <v>8</v>
      </c>
      <c r="D42" s="9" t="str">
        <f>"1205"</f>
        <v>1205</v>
      </c>
      <c r="E42" s="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2" s="9" t="str">
        <f t="shared" si="7"/>
        <v>1</v>
      </c>
      <c r="G42" s="9" t="str">
        <f>"1"</f>
        <v>1</v>
      </c>
      <c r="H42" s="9" t="str">
        <f>"2"</f>
        <v>2</v>
      </c>
      <c r="I42" s="11">
        <v>-51053100.140000001</v>
      </c>
    </row>
    <row r="43" spans="1:9" x14ac:dyDescent="0.25">
      <c r="A43" s="9">
        <v>36</v>
      </c>
      <c r="B43" s="10">
        <v>44834</v>
      </c>
      <c r="C43" s="9">
        <v>8</v>
      </c>
      <c r="D43" s="9" t="str">
        <f t="shared" ref="D43:D48" si="8">"1417"</f>
        <v>1417</v>
      </c>
      <c r="E43" s="9" t="str">
        <f t="shared" ref="E43:E48" si="9">"Долгосрочные займы, предоставленные клиентам"</f>
        <v>Долгосрочные займы, предоставленные клиентам</v>
      </c>
      <c r="F43" s="9" t="str">
        <f t="shared" si="7"/>
        <v>1</v>
      </c>
      <c r="G43" s="9" t="str">
        <f>"7"</f>
        <v>7</v>
      </c>
      <c r="H43" s="9" t="str">
        <f>"2"</f>
        <v>2</v>
      </c>
      <c r="I43" s="11">
        <v>220385032045.35999</v>
      </c>
    </row>
    <row r="44" spans="1:9" x14ac:dyDescent="0.25">
      <c r="A44" s="9">
        <v>37</v>
      </c>
      <c r="B44" s="10">
        <v>44834</v>
      </c>
      <c r="C44" s="9">
        <v>8</v>
      </c>
      <c r="D44" s="9" t="str">
        <f t="shared" si="8"/>
        <v>1417</v>
      </c>
      <c r="E44" s="9" t="str">
        <f t="shared" si="9"/>
        <v>Долгосрочные займы, предоставленные клиентам</v>
      </c>
      <c r="F44" s="9" t="str">
        <f t="shared" si="7"/>
        <v>1</v>
      </c>
      <c r="G44" s="9" t="str">
        <f>"9"</f>
        <v>9</v>
      </c>
      <c r="H44" s="9" t="str">
        <f>"1"</f>
        <v>1</v>
      </c>
      <c r="I44" s="11">
        <v>200123493784.42001</v>
      </c>
    </row>
    <row r="45" spans="1:9" x14ac:dyDescent="0.25">
      <c r="A45" s="9">
        <v>38</v>
      </c>
      <c r="B45" s="10">
        <v>44834</v>
      </c>
      <c r="C45" s="9">
        <v>8</v>
      </c>
      <c r="D45" s="9" t="str">
        <f t="shared" si="8"/>
        <v>1417</v>
      </c>
      <c r="E45" s="9" t="str">
        <f t="shared" si="9"/>
        <v>Долгосрочные займы, предоставленные клиентам</v>
      </c>
      <c r="F45" s="9" t="str">
        <f t="shared" si="7"/>
        <v>1</v>
      </c>
      <c r="G45" s="9" t="str">
        <f>"5"</f>
        <v>5</v>
      </c>
      <c r="H45" s="9" t="str">
        <f>"1"</f>
        <v>1</v>
      </c>
      <c r="I45" s="11">
        <v>1300000000</v>
      </c>
    </row>
    <row r="46" spans="1:9" x14ac:dyDescent="0.25">
      <c r="A46" s="9">
        <v>39</v>
      </c>
      <c r="B46" s="10">
        <v>44834</v>
      </c>
      <c r="C46" s="9">
        <v>8</v>
      </c>
      <c r="D46" s="9" t="str">
        <f t="shared" si="8"/>
        <v>1417</v>
      </c>
      <c r="E46" s="9" t="str">
        <f t="shared" si="9"/>
        <v>Долгосрочные займы, предоставленные клиентам</v>
      </c>
      <c r="F46" s="9" t="str">
        <f t="shared" si="7"/>
        <v>1</v>
      </c>
      <c r="G46" s="9" t="str">
        <f>"9"</f>
        <v>9</v>
      </c>
      <c r="H46" s="9" t="str">
        <f>"2"</f>
        <v>2</v>
      </c>
      <c r="I46" s="11">
        <v>2083351.41</v>
      </c>
    </row>
    <row r="47" spans="1:9" x14ac:dyDescent="0.25">
      <c r="A47" s="9">
        <v>40</v>
      </c>
      <c r="B47" s="10">
        <v>44834</v>
      </c>
      <c r="C47" s="9">
        <v>8</v>
      </c>
      <c r="D47" s="9" t="str">
        <f t="shared" si="8"/>
        <v>1417</v>
      </c>
      <c r="E47" s="9" t="str">
        <f t="shared" si="9"/>
        <v>Долгосрочные займы, предоставленные клиентам</v>
      </c>
      <c r="F47" s="9" t="str">
        <f t="shared" si="7"/>
        <v>1</v>
      </c>
      <c r="G47" s="9" t="str">
        <f>"7"</f>
        <v>7</v>
      </c>
      <c r="H47" s="9" t="str">
        <f>"3"</f>
        <v>3</v>
      </c>
      <c r="I47" s="11">
        <v>747846308.52999997</v>
      </c>
    </row>
    <row r="48" spans="1:9" x14ac:dyDescent="0.25">
      <c r="A48" s="9">
        <v>41</v>
      </c>
      <c r="B48" s="10">
        <v>44834</v>
      </c>
      <c r="C48" s="9">
        <v>8</v>
      </c>
      <c r="D48" s="9" t="str">
        <f t="shared" si="8"/>
        <v>1417</v>
      </c>
      <c r="E48" s="9" t="str">
        <f t="shared" si="9"/>
        <v>Долгосрочные займы, предоставленные клиентам</v>
      </c>
      <c r="F48" s="9" t="str">
        <f t="shared" si="7"/>
        <v>1</v>
      </c>
      <c r="G48" s="9" t="str">
        <f>"7"</f>
        <v>7</v>
      </c>
      <c r="H48" s="9" t="str">
        <f>"1"</f>
        <v>1</v>
      </c>
      <c r="I48" s="11">
        <v>260119413649.57999</v>
      </c>
    </row>
    <row r="49" spans="1:9" x14ac:dyDescent="0.25">
      <c r="A49" s="9">
        <v>42</v>
      </c>
      <c r="B49" s="10">
        <v>44834</v>
      </c>
      <c r="C49" s="9">
        <v>8</v>
      </c>
      <c r="D49" s="9" t="str">
        <f>"1208"</f>
        <v>1208</v>
      </c>
      <c r="E49" s="9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9" s="9" t="str">
        <f t="shared" si="7"/>
        <v>1</v>
      </c>
      <c r="G49" s="9" t="str">
        <f>"1"</f>
        <v>1</v>
      </c>
      <c r="H49" s="9" t="str">
        <f>"2"</f>
        <v>2</v>
      </c>
      <c r="I49" s="11">
        <v>111274897.18000001</v>
      </c>
    </row>
    <row r="50" spans="1:9" x14ac:dyDescent="0.25">
      <c r="A50" s="9">
        <v>43</v>
      </c>
      <c r="B50" s="10">
        <v>44834</v>
      </c>
      <c r="C50" s="9">
        <v>8</v>
      </c>
      <c r="D50" s="9" t="str">
        <f t="shared" ref="D50:D60" si="10">"1457"</f>
        <v>1457</v>
      </c>
      <c r="E50" s="9" t="str">
        <f t="shared" ref="E50:E60" si="11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0" s="9" t="str">
        <f t="shared" si="7"/>
        <v>1</v>
      </c>
      <c r="G50" s="9" t="str">
        <f>"4"</f>
        <v>4</v>
      </c>
      <c r="H50" s="9" t="str">
        <f>"2"</f>
        <v>2</v>
      </c>
      <c r="I50" s="11">
        <v>-626825826.45000005</v>
      </c>
    </row>
    <row r="51" spans="1:9" x14ac:dyDescent="0.25">
      <c r="A51" s="9">
        <v>44</v>
      </c>
      <c r="B51" s="10">
        <v>44834</v>
      </c>
      <c r="C51" s="9">
        <v>8</v>
      </c>
      <c r="D51" s="9" t="str">
        <f t="shared" si="10"/>
        <v>1457</v>
      </c>
      <c r="E51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1" s="9" t="str">
        <f t="shared" si="7"/>
        <v>1</v>
      </c>
      <c r="G51" s="9" t="str">
        <f>"1"</f>
        <v>1</v>
      </c>
      <c r="H51" s="9" t="str">
        <f>"2"</f>
        <v>2</v>
      </c>
      <c r="I51" s="11">
        <v>-8405621011.3999996</v>
      </c>
    </row>
    <row r="52" spans="1:9" x14ac:dyDescent="0.25">
      <c r="A52" s="9">
        <v>45</v>
      </c>
      <c r="B52" s="10">
        <v>44834</v>
      </c>
      <c r="C52" s="9">
        <v>8</v>
      </c>
      <c r="D52" s="9" t="str">
        <f t="shared" si="10"/>
        <v>1457</v>
      </c>
      <c r="E52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2" s="9" t="str">
        <f t="shared" si="7"/>
        <v>1</v>
      </c>
      <c r="G52" s="9" t="str">
        <f>"1"</f>
        <v>1</v>
      </c>
      <c r="H52" s="9" t="str">
        <f>"1"</f>
        <v>1</v>
      </c>
      <c r="I52" s="11">
        <v>-6025947779.4099998</v>
      </c>
    </row>
    <row r="53" spans="1:9" x14ac:dyDescent="0.25">
      <c r="A53" s="9">
        <v>46</v>
      </c>
      <c r="B53" s="10">
        <v>44834</v>
      </c>
      <c r="C53" s="9">
        <v>8</v>
      </c>
      <c r="D53" s="9" t="str">
        <f t="shared" si="10"/>
        <v>1457</v>
      </c>
      <c r="E53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3" s="9" t="str">
        <f t="shared" si="7"/>
        <v>1</v>
      </c>
      <c r="G53" s="9" t="str">
        <f>"6"</f>
        <v>6</v>
      </c>
      <c r="H53" s="9" t="str">
        <f>"2"</f>
        <v>2</v>
      </c>
      <c r="I53" s="11">
        <v>-673291932.38999999</v>
      </c>
    </row>
    <row r="54" spans="1:9" x14ac:dyDescent="0.25">
      <c r="A54" s="9">
        <v>47</v>
      </c>
      <c r="B54" s="10">
        <v>44834</v>
      </c>
      <c r="C54" s="9">
        <v>8</v>
      </c>
      <c r="D54" s="9" t="str">
        <f t="shared" si="10"/>
        <v>1457</v>
      </c>
      <c r="E54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4" s="9" t="str">
        <f>"2"</f>
        <v>2</v>
      </c>
      <c r="G54" s="9" t="str">
        <f>"3"</f>
        <v>3</v>
      </c>
      <c r="H54" s="9" t="str">
        <f>"1"</f>
        <v>1</v>
      </c>
      <c r="I54" s="11">
        <v>-66541280.840000004</v>
      </c>
    </row>
    <row r="55" spans="1:9" x14ac:dyDescent="0.25">
      <c r="A55" s="9">
        <v>48</v>
      </c>
      <c r="B55" s="10">
        <v>44834</v>
      </c>
      <c r="C55" s="9">
        <v>8</v>
      </c>
      <c r="D55" s="9" t="str">
        <f t="shared" si="10"/>
        <v>1457</v>
      </c>
      <c r="E55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5" s="9" t="str">
        <f>"2"</f>
        <v>2</v>
      </c>
      <c r="G55" s="9" t="str">
        <f>"5"</f>
        <v>5</v>
      </c>
      <c r="H55" s="9" t="str">
        <f>"2"</f>
        <v>2</v>
      </c>
      <c r="I55" s="11">
        <v>-247180942.41999999</v>
      </c>
    </row>
    <row r="56" spans="1:9" x14ac:dyDescent="0.25">
      <c r="A56" s="9">
        <v>49</v>
      </c>
      <c r="B56" s="10">
        <v>44834</v>
      </c>
      <c r="C56" s="9">
        <v>8</v>
      </c>
      <c r="D56" s="9" t="str">
        <f t="shared" si="10"/>
        <v>1457</v>
      </c>
      <c r="E56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6" s="9" t="str">
        <f>"1"</f>
        <v>1</v>
      </c>
      <c r="G56" s="9" t="str">
        <f>"5"</f>
        <v>5</v>
      </c>
      <c r="H56" s="9" t="str">
        <f>"1"</f>
        <v>1</v>
      </c>
      <c r="I56" s="11">
        <v>-30984391.760000002</v>
      </c>
    </row>
    <row r="57" spans="1:9" x14ac:dyDescent="0.25">
      <c r="A57" s="9">
        <v>50</v>
      </c>
      <c r="B57" s="10">
        <v>44834</v>
      </c>
      <c r="C57" s="9">
        <v>8</v>
      </c>
      <c r="D57" s="9" t="str">
        <f t="shared" si="10"/>
        <v>1457</v>
      </c>
      <c r="E57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7" s="9" t="str">
        <f>"2"</f>
        <v>2</v>
      </c>
      <c r="G57" s="9" t="str">
        <f>"5"</f>
        <v>5</v>
      </c>
      <c r="H57" s="9" t="str">
        <f>"1"</f>
        <v>1</v>
      </c>
      <c r="I57" s="11">
        <v>-103288340.83</v>
      </c>
    </row>
    <row r="58" spans="1:9" x14ac:dyDescent="0.25">
      <c r="A58" s="9">
        <v>51</v>
      </c>
      <c r="B58" s="10">
        <v>44834</v>
      </c>
      <c r="C58" s="9">
        <v>8</v>
      </c>
      <c r="D58" s="9" t="str">
        <f t="shared" si="10"/>
        <v>1457</v>
      </c>
      <c r="E58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8" s="9" t="str">
        <f>"1"</f>
        <v>1</v>
      </c>
      <c r="G58" s="9" t="str">
        <f>"6"</f>
        <v>6</v>
      </c>
      <c r="H58" s="9" t="str">
        <f>"1"</f>
        <v>1</v>
      </c>
      <c r="I58" s="11">
        <v>-117121907.59999999</v>
      </c>
    </row>
    <row r="59" spans="1:9" x14ac:dyDescent="0.25">
      <c r="A59" s="9">
        <v>52</v>
      </c>
      <c r="B59" s="10">
        <v>44834</v>
      </c>
      <c r="C59" s="9">
        <v>8</v>
      </c>
      <c r="D59" s="9" t="str">
        <f t="shared" si="10"/>
        <v>1457</v>
      </c>
      <c r="E59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9" s="9" t="str">
        <f>"1"</f>
        <v>1</v>
      </c>
      <c r="G59" s="9" t="str">
        <f>"7"</f>
        <v>7</v>
      </c>
      <c r="H59" s="9" t="str">
        <f>"2"</f>
        <v>2</v>
      </c>
      <c r="I59" s="11">
        <v>-222578601.94999999</v>
      </c>
    </row>
    <row r="60" spans="1:9" x14ac:dyDescent="0.25">
      <c r="A60" s="9">
        <v>53</v>
      </c>
      <c r="B60" s="10">
        <v>44834</v>
      </c>
      <c r="C60" s="9">
        <v>8</v>
      </c>
      <c r="D60" s="9" t="str">
        <f t="shared" si="10"/>
        <v>1457</v>
      </c>
      <c r="E60" s="9" t="str">
        <f t="shared" si="1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60" s="9" t="str">
        <f>"2"</f>
        <v>2</v>
      </c>
      <c r="G60" s="9" t="str">
        <f>"7"</f>
        <v>7</v>
      </c>
      <c r="H60" s="9" t="str">
        <f>"2"</f>
        <v>2</v>
      </c>
      <c r="I60" s="11">
        <v>-574235565.38999999</v>
      </c>
    </row>
    <row r="61" spans="1:9" x14ac:dyDescent="0.25">
      <c r="A61" s="9">
        <v>54</v>
      </c>
      <c r="B61" s="10">
        <v>44834</v>
      </c>
      <c r="C61" s="9">
        <v>8</v>
      </c>
      <c r="D61" s="9" t="str">
        <f t="shared" ref="D61:D66" si="12">"1454"</f>
        <v>1454</v>
      </c>
      <c r="E61" s="9" t="str">
        <f t="shared" ref="E61:E66" si="13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61" s="9" t="str">
        <f>"2"</f>
        <v>2</v>
      </c>
      <c r="G61" s="9" t="str">
        <f>"7"</f>
        <v>7</v>
      </c>
      <c r="H61" s="9" t="str">
        <f>"2"</f>
        <v>2</v>
      </c>
      <c r="I61" s="11">
        <v>25980904.75</v>
      </c>
    </row>
    <row r="62" spans="1:9" x14ac:dyDescent="0.25">
      <c r="A62" s="9">
        <v>55</v>
      </c>
      <c r="B62" s="10">
        <v>44834</v>
      </c>
      <c r="C62" s="9">
        <v>8</v>
      </c>
      <c r="D62" s="9" t="str">
        <f t="shared" si="12"/>
        <v>1454</v>
      </c>
      <c r="E62" s="9" t="str">
        <f t="shared" si="13"/>
        <v>Премия по приобретенным ценным бумагам, учитываемым по справедливой стоимости через прочий совокупный доход</v>
      </c>
      <c r="F62" s="9" t="str">
        <f>"1"</f>
        <v>1</v>
      </c>
      <c r="G62" s="9" t="str">
        <f>"7"</f>
        <v>7</v>
      </c>
      <c r="H62" s="9" t="str">
        <f>"2"</f>
        <v>2</v>
      </c>
      <c r="I62" s="11">
        <v>88727877.569999993</v>
      </c>
    </row>
    <row r="63" spans="1:9" x14ac:dyDescent="0.25">
      <c r="A63" s="9">
        <v>56</v>
      </c>
      <c r="B63" s="10">
        <v>44834</v>
      </c>
      <c r="C63" s="9">
        <v>8</v>
      </c>
      <c r="D63" s="9" t="str">
        <f t="shared" si="12"/>
        <v>1454</v>
      </c>
      <c r="E63" s="9" t="str">
        <f t="shared" si="13"/>
        <v>Премия по приобретенным ценным бумагам, учитываемым по справедливой стоимости через прочий совокупный доход</v>
      </c>
      <c r="F63" s="9" t="str">
        <f>"1"</f>
        <v>1</v>
      </c>
      <c r="G63" s="9" t="str">
        <f>"1"</f>
        <v>1</v>
      </c>
      <c r="H63" s="9" t="str">
        <f>"2"</f>
        <v>2</v>
      </c>
      <c r="I63" s="11">
        <v>9374796945.6599998</v>
      </c>
    </row>
    <row r="64" spans="1:9" x14ac:dyDescent="0.25">
      <c r="A64" s="9">
        <v>57</v>
      </c>
      <c r="B64" s="10">
        <v>44834</v>
      </c>
      <c r="C64" s="9">
        <v>8</v>
      </c>
      <c r="D64" s="9" t="str">
        <f t="shared" si="12"/>
        <v>1454</v>
      </c>
      <c r="E64" s="9" t="str">
        <f t="shared" si="13"/>
        <v>Премия по приобретенным ценным бумагам, учитываемым по справедливой стоимости через прочий совокупный доход</v>
      </c>
      <c r="F64" s="9" t="str">
        <f>"1"</f>
        <v>1</v>
      </c>
      <c r="G64" s="9" t="str">
        <f>"1"</f>
        <v>1</v>
      </c>
      <c r="H64" s="9" t="str">
        <f>"1"</f>
        <v>1</v>
      </c>
      <c r="I64" s="11">
        <v>100520802.45</v>
      </c>
    </row>
    <row r="65" spans="1:9" x14ac:dyDescent="0.25">
      <c r="A65" s="9">
        <v>58</v>
      </c>
      <c r="B65" s="10">
        <v>44834</v>
      </c>
      <c r="C65" s="9">
        <v>8</v>
      </c>
      <c r="D65" s="9" t="str">
        <f t="shared" si="12"/>
        <v>1454</v>
      </c>
      <c r="E65" s="9" t="str">
        <f t="shared" si="13"/>
        <v>Премия по приобретенным ценным бумагам, учитываемым по справедливой стоимости через прочий совокупный доход</v>
      </c>
      <c r="F65" s="9" t="str">
        <f>"2"</f>
        <v>2</v>
      </c>
      <c r="G65" s="9" t="str">
        <f>"5"</f>
        <v>5</v>
      </c>
      <c r="H65" s="9" t="str">
        <f>"2"</f>
        <v>2</v>
      </c>
      <c r="I65" s="11">
        <v>56496899.509999998</v>
      </c>
    </row>
    <row r="66" spans="1:9" x14ac:dyDescent="0.25">
      <c r="A66" s="9">
        <v>59</v>
      </c>
      <c r="B66" s="10">
        <v>44834</v>
      </c>
      <c r="C66" s="9">
        <v>8</v>
      </c>
      <c r="D66" s="9" t="str">
        <f t="shared" si="12"/>
        <v>1454</v>
      </c>
      <c r="E66" s="9" t="str">
        <f t="shared" si="13"/>
        <v>Премия по приобретенным ценным бумагам, учитываемым по справедливой стоимости через прочий совокупный доход</v>
      </c>
      <c r="F66" s="9" t="str">
        <f>"1"</f>
        <v>1</v>
      </c>
      <c r="G66" s="9" t="str">
        <f>"6"</f>
        <v>6</v>
      </c>
      <c r="H66" s="9" t="str">
        <f>"2"</f>
        <v>2</v>
      </c>
      <c r="I66" s="11">
        <v>193052257.13999999</v>
      </c>
    </row>
    <row r="67" spans="1:9" x14ac:dyDescent="0.25">
      <c r="A67" s="9">
        <v>60</v>
      </c>
      <c r="B67" s="10">
        <v>44834</v>
      </c>
      <c r="C67" s="9">
        <v>8</v>
      </c>
      <c r="D67" s="9" t="str">
        <f>"1001"</f>
        <v>1001</v>
      </c>
      <c r="E67" s="9" t="str">
        <f>"Наличность в кассе"</f>
        <v>Наличность в кассе</v>
      </c>
      <c r="F67" s="9" t="str">
        <f>"2"</f>
        <v>2</v>
      </c>
      <c r="G67" s="9" t="str">
        <f>"3"</f>
        <v>3</v>
      </c>
      <c r="H67" s="9" t="str">
        <f>"3"</f>
        <v>3</v>
      </c>
      <c r="I67" s="11">
        <v>47321111.200000003</v>
      </c>
    </row>
    <row r="68" spans="1:9" x14ac:dyDescent="0.25">
      <c r="A68" s="9">
        <v>61</v>
      </c>
      <c r="B68" s="10">
        <v>44834</v>
      </c>
      <c r="C68" s="9">
        <v>8</v>
      </c>
      <c r="D68" s="9" t="str">
        <f>"1001"</f>
        <v>1001</v>
      </c>
      <c r="E68" s="9" t="str">
        <f>"Наличность в кассе"</f>
        <v>Наличность в кассе</v>
      </c>
      <c r="F68" s="9" t="str">
        <f>"2"</f>
        <v>2</v>
      </c>
      <c r="G68" s="9" t="str">
        <f>"3"</f>
        <v>3</v>
      </c>
      <c r="H68" s="9" t="str">
        <f>"2"</f>
        <v>2</v>
      </c>
      <c r="I68" s="11">
        <v>10145102705.9</v>
      </c>
    </row>
    <row r="69" spans="1:9" x14ac:dyDescent="0.25">
      <c r="A69" s="9">
        <v>62</v>
      </c>
      <c r="B69" s="10">
        <v>44834</v>
      </c>
      <c r="C69" s="9">
        <v>8</v>
      </c>
      <c r="D69" s="9" t="str">
        <f>"1001"</f>
        <v>1001</v>
      </c>
      <c r="E69" s="9" t="str">
        <f>"Наличность в кассе"</f>
        <v>Наличность в кассе</v>
      </c>
      <c r="F69" s="9" t="str">
        <f>"1"</f>
        <v>1</v>
      </c>
      <c r="G69" s="9" t="str">
        <f>"3"</f>
        <v>3</v>
      </c>
      <c r="H69" s="9" t="str">
        <f>"1"</f>
        <v>1</v>
      </c>
      <c r="I69" s="11">
        <v>7703156362</v>
      </c>
    </row>
    <row r="70" spans="1:9" x14ac:dyDescent="0.25">
      <c r="A70" s="9">
        <v>63</v>
      </c>
      <c r="B70" s="10">
        <v>44834</v>
      </c>
      <c r="C70" s="9">
        <v>8</v>
      </c>
      <c r="D70" s="9" t="str">
        <f>"1055"</f>
        <v>1055</v>
      </c>
      <c r="E70" s="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70" s="9" t="str">
        <f>"1"</f>
        <v>1</v>
      </c>
      <c r="G70" s="9" t="str">
        <f>"3"</f>
        <v>3</v>
      </c>
      <c r="H70" s="9" t="str">
        <f>"1"</f>
        <v>1</v>
      </c>
      <c r="I70" s="11">
        <v>2271641470.04</v>
      </c>
    </row>
    <row r="71" spans="1:9" x14ac:dyDescent="0.25">
      <c r="A71" s="9">
        <v>64</v>
      </c>
      <c r="B71" s="10">
        <v>44834</v>
      </c>
      <c r="C71" s="9">
        <v>8</v>
      </c>
      <c r="D71" s="9" t="str">
        <f>"1101"</f>
        <v>1101</v>
      </c>
      <c r="E71" s="9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71" s="9" t="str">
        <f>"1"</f>
        <v>1</v>
      </c>
      <c r="G71" s="9" t="str">
        <f>"3"</f>
        <v>3</v>
      </c>
      <c r="H71" s="9" t="str">
        <f>"1"</f>
        <v>1</v>
      </c>
      <c r="I71" s="11">
        <v>13000000000</v>
      </c>
    </row>
    <row r="72" spans="1:9" x14ac:dyDescent="0.25">
      <c r="A72" s="9">
        <v>65</v>
      </c>
      <c r="B72" s="10">
        <v>44834</v>
      </c>
      <c r="C72" s="9">
        <v>8</v>
      </c>
      <c r="D72" s="9" t="str">
        <f>"1403"</f>
        <v>1403</v>
      </c>
      <c r="E72" s="9" t="str">
        <f>"Счета по кредитным карточкам клиентов"</f>
        <v>Счета по кредитным карточкам клиентов</v>
      </c>
      <c r="F72" s="9" t="str">
        <f>"1"</f>
        <v>1</v>
      </c>
      <c r="G72" s="9" t="str">
        <f>"9"</f>
        <v>9</v>
      </c>
      <c r="H72" s="9" t="str">
        <f>"1"</f>
        <v>1</v>
      </c>
      <c r="I72" s="11">
        <v>50424691.409999996</v>
      </c>
    </row>
    <row r="73" spans="1:9" x14ac:dyDescent="0.25">
      <c r="A73" s="9">
        <v>66</v>
      </c>
      <c r="B73" s="10">
        <v>44834</v>
      </c>
      <c r="C73" s="9">
        <v>8</v>
      </c>
      <c r="D73" s="9" t="str">
        <f>"1403"</f>
        <v>1403</v>
      </c>
      <c r="E73" s="9" t="str">
        <f>"Счета по кредитным карточкам клиентов"</f>
        <v>Счета по кредитным карточкам клиентов</v>
      </c>
      <c r="F73" s="9" t="str">
        <f>"1"</f>
        <v>1</v>
      </c>
      <c r="G73" s="9" t="str">
        <f>"9"</f>
        <v>9</v>
      </c>
      <c r="H73" s="9" t="str">
        <f>"2"</f>
        <v>2</v>
      </c>
      <c r="I73" s="11">
        <v>259163.39</v>
      </c>
    </row>
    <row r="74" spans="1:9" x14ac:dyDescent="0.25">
      <c r="A74" s="9">
        <v>67</v>
      </c>
      <c r="B74" s="10">
        <v>44834</v>
      </c>
      <c r="C74" s="9">
        <v>8</v>
      </c>
      <c r="D74" s="9" t="str">
        <f t="shared" ref="D74:D79" si="14">"1267"</f>
        <v>1267</v>
      </c>
      <c r="E74" s="9" t="str">
        <f t="shared" ref="E74:E79" si="15"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74" s="9" t="str">
        <f>"2"</f>
        <v>2</v>
      </c>
      <c r="G74" s="9" t="str">
        <f>"5"</f>
        <v>5</v>
      </c>
      <c r="H74" s="9" t="str">
        <f>"2"</f>
        <v>2</v>
      </c>
      <c r="I74" s="11">
        <v>8141945186.3199997</v>
      </c>
    </row>
    <row r="75" spans="1:9" x14ac:dyDescent="0.25">
      <c r="A75" s="9">
        <v>68</v>
      </c>
      <c r="B75" s="10">
        <v>44834</v>
      </c>
      <c r="C75" s="9">
        <v>8</v>
      </c>
      <c r="D75" s="9" t="str">
        <f t="shared" si="14"/>
        <v>1267</v>
      </c>
      <c r="E75" s="9" t="str">
        <f t="shared" si="15"/>
        <v>Счет хранения денег, переданных в качестве обеспечения (заклад, задаток) обязательств банка и ипотечной организации</v>
      </c>
      <c r="F75" s="9" t="str">
        <f>"1"</f>
        <v>1</v>
      </c>
      <c r="G75" s="9" t="str">
        <f>"5"</f>
        <v>5</v>
      </c>
      <c r="H75" s="9" t="str">
        <f>"2"</f>
        <v>2</v>
      </c>
      <c r="I75" s="11">
        <v>18545120738.779999</v>
      </c>
    </row>
    <row r="76" spans="1:9" x14ac:dyDescent="0.25">
      <c r="A76" s="9">
        <v>69</v>
      </c>
      <c r="B76" s="10">
        <v>44834</v>
      </c>
      <c r="C76" s="9">
        <v>8</v>
      </c>
      <c r="D76" s="9" t="str">
        <f t="shared" si="14"/>
        <v>1267</v>
      </c>
      <c r="E76" s="9" t="str">
        <f t="shared" si="15"/>
        <v>Счет хранения денег, переданных в качестве обеспечения (заклад, задаток) обязательств банка и ипотечной организации</v>
      </c>
      <c r="F76" s="9" t="str">
        <f>"1"</f>
        <v>1</v>
      </c>
      <c r="G76" s="9" t="str">
        <f>"7"</f>
        <v>7</v>
      </c>
      <c r="H76" s="9" t="str">
        <f>"1"</f>
        <v>1</v>
      </c>
      <c r="I76" s="11">
        <v>20000000</v>
      </c>
    </row>
    <row r="77" spans="1:9" x14ac:dyDescent="0.25">
      <c r="A77" s="9">
        <v>70</v>
      </c>
      <c r="B77" s="10">
        <v>44834</v>
      </c>
      <c r="C77" s="9">
        <v>8</v>
      </c>
      <c r="D77" s="9" t="str">
        <f t="shared" si="14"/>
        <v>1267</v>
      </c>
      <c r="E77" s="9" t="str">
        <f t="shared" si="15"/>
        <v>Счет хранения денег, переданных в качестве обеспечения (заклад, задаток) обязательств банка и ипотечной организации</v>
      </c>
      <c r="F77" s="9" t="str">
        <f>"2"</f>
        <v>2</v>
      </c>
      <c r="G77" s="9" t="str">
        <f>"4"</f>
        <v>4</v>
      </c>
      <c r="H77" s="9" t="str">
        <f>"2"</f>
        <v>2</v>
      </c>
      <c r="I77" s="11">
        <v>213089370</v>
      </c>
    </row>
    <row r="78" spans="1:9" x14ac:dyDescent="0.25">
      <c r="A78" s="9">
        <v>71</v>
      </c>
      <c r="B78" s="10">
        <v>44834</v>
      </c>
      <c r="C78" s="9">
        <v>8</v>
      </c>
      <c r="D78" s="9" t="str">
        <f t="shared" si="14"/>
        <v>1267</v>
      </c>
      <c r="E78" s="9" t="str">
        <f t="shared" si="15"/>
        <v>Счет хранения денег, переданных в качестве обеспечения (заклад, задаток) обязательств банка и ипотечной организации</v>
      </c>
      <c r="F78" s="9" t="str">
        <f t="shared" ref="F78:F87" si="16">"1"</f>
        <v>1</v>
      </c>
      <c r="G78" s="9" t="str">
        <f>"5"</f>
        <v>5</v>
      </c>
      <c r="H78" s="9" t="str">
        <f>"1"</f>
        <v>1</v>
      </c>
      <c r="I78" s="11">
        <v>4132769658.2399998</v>
      </c>
    </row>
    <row r="79" spans="1:9" x14ac:dyDescent="0.25">
      <c r="A79" s="9">
        <v>72</v>
      </c>
      <c r="B79" s="10">
        <v>44834</v>
      </c>
      <c r="C79" s="9">
        <v>8</v>
      </c>
      <c r="D79" s="9" t="str">
        <f t="shared" si="14"/>
        <v>1267</v>
      </c>
      <c r="E79" s="9" t="str">
        <f t="shared" si="15"/>
        <v>Счет хранения денег, переданных в качестве обеспечения (заклад, задаток) обязательств банка и ипотечной организации</v>
      </c>
      <c r="F79" s="9" t="str">
        <f t="shared" si="16"/>
        <v>1</v>
      </c>
      <c r="G79" s="9" t="str">
        <f>"5"</f>
        <v>5</v>
      </c>
      <c r="H79" s="9" t="str">
        <f>"3"</f>
        <v>3</v>
      </c>
      <c r="I79" s="11">
        <v>4180000000</v>
      </c>
    </row>
    <row r="80" spans="1:9" x14ac:dyDescent="0.25">
      <c r="A80" s="9">
        <v>73</v>
      </c>
      <c r="B80" s="10">
        <v>44834</v>
      </c>
      <c r="C80" s="9">
        <v>8</v>
      </c>
      <c r="D80" s="9" t="str">
        <f>"1051"</f>
        <v>1051</v>
      </c>
      <c r="E80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0" s="9" t="str">
        <f t="shared" si="16"/>
        <v>1</v>
      </c>
      <c r="G80" s="9" t="str">
        <f>"3"</f>
        <v>3</v>
      </c>
      <c r="H80" s="9" t="str">
        <f>"3"</f>
        <v>3</v>
      </c>
      <c r="I80" s="11">
        <v>8302592.5499999998</v>
      </c>
    </row>
    <row r="81" spans="1:9" x14ac:dyDescent="0.25">
      <c r="A81" s="9">
        <v>74</v>
      </c>
      <c r="B81" s="10">
        <v>44834</v>
      </c>
      <c r="C81" s="9">
        <v>8</v>
      </c>
      <c r="D81" s="9" t="str">
        <f>"1051"</f>
        <v>1051</v>
      </c>
      <c r="E81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1" s="9" t="str">
        <f t="shared" si="16"/>
        <v>1</v>
      </c>
      <c r="G81" s="9" t="str">
        <f>"3"</f>
        <v>3</v>
      </c>
      <c r="H81" s="9" t="str">
        <f>"1"</f>
        <v>1</v>
      </c>
      <c r="I81" s="11">
        <v>18673846659.310001</v>
      </c>
    </row>
    <row r="82" spans="1:9" x14ac:dyDescent="0.25">
      <c r="A82" s="9">
        <v>75</v>
      </c>
      <c r="B82" s="10">
        <v>44834</v>
      </c>
      <c r="C82" s="9">
        <v>8</v>
      </c>
      <c r="D82" s="9" t="str">
        <f>"1051"</f>
        <v>1051</v>
      </c>
      <c r="E82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2" s="9" t="str">
        <f t="shared" si="16"/>
        <v>1</v>
      </c>
      <c r="G82" s="9" t="str">
        <f>"3"</f>
        <v>3</v>
      </c>
      <c r="H82" s="9" t="str">
        <f>"2"</f>
        <v>2</v>
      </c>
      <c r="I82" s="11">
        <v>233684155854.35001</v>
      </c>
    </row>
    <row r="83" spans="1:9" x14ac:dyDescent="0.25">
      <c r="A83" s="9">
        <v>76</v>
      </c>
      <c r="B83" s="10">
        <v>44834</v>
      </c>
      <c r="C83" s="9">
        <v>8</v>
      </c>
      <c r="D83" s="9" t="str">
        <f>"1411"</f>
        <v>1411</v>
      </c>
      <c r="E83" s="9" t="str">
        <f>"Краткосрочные займы, предоставленные клиентам"</f>
        <v>Краткосрочные займы, предоставленные клиентам</v>
      </c>
      <c r="F83" s="9" t="str">
        <f t="shared" si="16"/>
        <v>1</v>
      </c>
      <c r="G83" s="9" t="str">
        <f>"5"</f>
        <v>5</v>
      </c>
      <c r="H83" s="9" t="str">
        <f>"1"</f>
        <v>1</v>
      </c>
      <c r="I83" s="11">
        <v>3000000000</v>
      </c>
    </row>
    <row r="84" spans="1:9" x14ac:dyDescent="0.25">
      <c r="A84" s="9">
        <v>77</v>
      </c>
      <c r="B84" s="10">
        <v>44834</v>
      </c>
      <c r="C84" s="9">
        <v>8</v>
      </c>
      <c r="D84" s="9" t="str">
        <f>"1411"</f>
        <v>1411</v>
      </c>
      <c r="E84" s="9" t="str">
        <f>"Краткосрочные займы, предоставленные клиентам"</f>
        <v>Краткосрочные займы, предоставленные клиентам</v>
      </c>
      <c r="F84" s="9" t="str">
        <f t="shared" si="16"/>
        <v>1</v>
      </c>
      <c r="G84" s="9" t="str">
        <f>"9"</f>
        <v>9</v>
      </c>
      <c r="H84" s="9" t="str">
        <f>"1"</f>
        <v>1</v>
      </c>
      <c r="I84" s="11">
        <v>1541210188.6700001</v>
      </c>
    </row>
    <row r="85" spans="1:9" x14ac:dyDescent="0.25">
      <c r="A85" s="9">
        <v>78</v>
      </c>
      <c r="B85" s="10">
        <v>44834</v>
      </c>
      <c r="C85" s="9">
        <v>8</v>
      </c>
      <c r="D85" s="9" t="str">
        <f>"1411"</f>
        <v>1411</v>
      </c>
      <c r="E85" s="9" t="str">
        <f>"Краткосрочные займы, предоставленные клиентам"</f>
        <v>Краткосрочные займы, предоставленные клиентам</v>
      </c>
      <c r="F85" s="9" t="str">
        <f t="shared" si="16"/>
        <v>1</v>
      </c>
      <c r="G85" s="9" t="str">
        <f>"9"</f>
        <v>9</v>
      </c>
      <c r="H85" s="9" t="str">
        <f>"2"</f>
        <v>2</v>
      </c>
      <c r="I85" s="11">
        <v>1001091000</v>
      </c>
    </row>
    <row r="86" spans="1:9" x14ac:dyDescent="0.25">
      <c r="A86" s="9">
        <v>79</v>
      </c>
      <c r="B86" s="10">
        <v>44834</v>
      </c>
      <c r="C86" s="9">
        <v>8</v>
      </c>
      <c r="D86" s="9" t="str">
        <f>"1411"</f>
        <v>1411</v>
      </c>
      <c r="E86" s="9" t="str">
        <f>"Краткосрочные займы, предоставленные клиентам"</f>
        <v>Краткосрочные займы, предоставленные клиентам</v>
      </c>
      <c r="F86" s="9" t="str">
        <f t="shared" si="16"/>
        <v>1</v>
      </c>
      <c r="G86" s="9" t="str">
        <f>"7"</f>
        <v>7</v>
      </c>
      <c r="H86" s="9" t="str">
        <f>"1"</f>
        <v>1</v>
      </c>
      <c r="I86" s="11">
        <v>82330679956.639999</v>
      </c>
    </row>
    <row r="87" spans="1:9" x14ac:dyDescent="0.25">
      <c r="A87" s="9">
        <v>80</v>
      </c>
      <c r="B87" s="10">
        <v>44834</v>
      </c>
      <c r="C87" s="9">
        <v>8</v>
      </c>
      <c r="D87" s="9" t="str">
        <f>"1411"</f>
        <v>1411</v>
      </c>
      <c r="E87" s="9" t="str">
        <f>"Краткосрочные займы, предоставленные клиентам"</f>
        <v>Краткосрочные займы, предоставленные клиентам</v>
      </c>
      <c r="F87" s="9" t="str">
        <f t="shared" si="16"/>
        <v>1</v>
      </c>
      <c r="G87" s="9" t="str">
        <f>"7"</f>
        <v>7</v>
      </c>
      <c r="H87" s="9" t="str">
        <f>"2"</f>
        <v>2</v>
      </c>
      <c r="I87" s="11">
        <v>69803467062.169998</v>
      </c>
    </row>
    <row r="88" spans="1:9" x14ac:dyDescent="0.25">
      <c r="A88" s="9">
        <v>81</v>
      </c>
      <c r="B88" s="10">
        <v>44834</v>
      </c>
      <c r="C88" s="9">
        <v>8</v>
      </c>
      <c r="D88" s="9" t="str">
        <f>"1253"</f>
        <v>1253</v>
      </c>
      <c r="E88" s="9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88" s="9" t="str">
        <f>"2"</f>
        <v>2</v>
      </c>
      <c r="G88" s="9" t="str">
        <f>"4"</f>
        <v>4</v>
      </c>
      <c r="H88" s="9" t="str">
        <f>"3"</f>
        <v>3</v>
      </c>
      <c r="I88" s="11">
        <v>8360000000</v>
      </c>
    </row>
    <row r="89" spans="1:9" x14ac:dyDescent="0.25">
      <c r="A89" s="9">
        <v>82</v>
      </c>
      <c r="B89" s="10">
        <v>44834</v>
      </c>
      <c r="C89" s="9">
        <v>8</v>
      </c>
      <c r="D89" s="9" t="str">
        <f>"1434"</f>
        <v>1434</v>
      </c>
      <c r="E89" s="9" t="str">
        <f>"Дисконт по займам, предоставленным клиентам"</f>
        <v>Дисконт по займам, предоставленным клиентам</v>
      </c>
      <c r="F89" s="9" t="str">
        <f t="shared" ref="F89:F94" si="17">"1"</f>
        <v>1</v>
      </c>
      <c r="G89" s="9" t="str">
        <f>"9"</f>
        <v>9</v>
      </c>
      <c r="H89" s="9" t="str">
        <f>"2"</f>
        <v>2</v>
      </c>
      <c r="I89" s="11">
        <v>-1859950.8</v>
      </c>
    </row>
    <row r="90" spans="1:9" x14ac:dyDescent="0.25">
      <c r="A90" s="9">
        <v>83</v>
      </c>
      <c r="B90" s="10">
        <v>44834</v>
      </c>
      <c r="C90" s="9">
        <v>8</v>
      </c>
      <c r="D90" s="9" t="str">
        <f>"1434"</f>
        <v>1434</v>
      </c>
      <c r="E90" s="9" t="str">
        <f>"Дисконт по займам, предоставленным клиентам"</f>
        <v>Дисконт по займам, предоставленным клиентам</v>
      </c>
      <c r="F90" s="9" t="str">
        <f t="shared" si="17"/>
        <v>1</v>
      </c>
      <c r="G90" s="9" t="str">
        <f>"9"</f>
        <v>9</v>
      </c>
      <c r="H90" s="9" t="str">
        <f>"1"</f>
        <v>1</v>
      </c>
      <c r="I90" s="11">
        <v>-9994063699.3899994</v>
      </c>
    </row>
    <row r="91" spans="1:9" x14ac:dyDescent="0.25">
      <c r="A91" s="9">
        <v>84</v>
      </c>
      <c r="B91" s="10">
        <v>44834</v>
      </c>
      <c r="C91" s="9">
        <v>8</v>
      </c>
      <c r="D91" s="9" t="str">
        <f>"1434"</f>
        <v>1434</v>
      </c>
      <c r="E91" s="9" t="str">
        <f>"Дисконт по займам, предоставленным клиентам"</f>
        <v>Дисконт по займам, предоставленным клиентам</v>
      </c>
      <c r="F91" s="9" t="str">
        <f t="shared" si="17"/>
        <v>1</v>
      </c>
      <c r="G91" s="9" t="str">
        <f>"5"</f>
        <v>5</v>
      </c>
      <c r="H91" s="9" t="str">
        <f>"1"</f>
        <v>1</v>
      </c>
      <c r="I91" s="11">
        <v>-2965975.75</v>
      </c>
    </row>
    <row r="92" spans="1:9" x14ac:dyDescent="0.25">
      <c r="A92" s="9">
        <v>85</v>
      </c>
      <c r="B92" s="10">
        <v>44834</v>
      </c>
      <c r="C92" s="9">
        <v>8</v>
      </c>
      <c r="D92" s="9" t="str">
        <f>"1434"</f>
        <v>1434</v>
      </c>
      <c r="E92" s="9" t="str">
        <f>"Дисконт по займам, предоставленным клиентам"</f>
        <v>Дисконт по займам, предоставленным клиентам</v>
      </c>
      <c r="F92" s="9" t="str">
        <f t="shared" si="17"/>
        <v>1</v>
      </c>
      <c r="G92" s="9" t="str">
        <f>"7"</f>
        <v>7</v>
      </c>
      <c r="H92" s="9" t="str">
        <f>"2"</f>
        <v>2</v>
      </c>
      <c r="I92" s="11">
        <v>-882372962.01999998</v>
      </c>
    </row>
    <row r="93" spans="1:9" x14ac:dyDescent="0.25">
      <c r="A93" s="9">
        <v>86</v>
      </c>
      <c r="B93" s="10">
        <v>44834</v>
      </c>
      <c r="C93" s="9">
        <v>8</v>
      </c>
      <c r="D93" s="9" t="str">
        <f>"1434"</f>
        <v>1434</v>
      </c>
      <c r="E93" s="9" t="str">
        <f>"Дисконт по займам, предоставленным клиентам"</f>
        <v>Дисконт по займам, предоставленным клиентам</v>
      </c>
      <c r="F93" s="9" t="str">
        <f t="shared" si="17"/>
        <v>1</v>
      </c>
      <c r="G93" s="9" t="str">
        <f>"7"</f>
        <v>7</v>
      </c>
      <c r="H93" s="9" t="str">
        <f>"1"</f>
        <v>1</v>
      </c>
      <c r="I93" s="11">
        <v>-7007163058.4300003</v>
      </c>
    </row>
    <row r="94" spans="1:9" x14ac:dyDescent="0.25">
      <c r="A94" s="9">
        <v>87</v>
      </c>
      <c r="B94" s="10">
        <v>44834</v>
      </c>
      <c r="C94" s="9">
        <v>8</v>
      </c>
      <c r="D94" s="9" t="str">
        <f t="shared" ref="D94:D105" si="18">"1452"</f>
        <v>1452</v>
      </c>
      <c r="E94" s="9" t="str">
        <f t="shared" ref="E94:E105" si="19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4" s="9" t="str">
        <f t="shared" si="17"/>
        <v>1</v>
      </c>
      <c r="G94" s="9" t="str">
        <f>"4"</f>
        <v>4</v>
      </c>
      <c r="H94" s="9" t="str">
        <f>"2"</f>
        <v>2</v>
      </c>
      <c r="I94" s="11">
        <v>3098615000</v>
      </c>
    </row>
    <row r="95" spans="1:9" x14ac:dyDescent="0.25">
      <c r="A95" s="9">
        <v>88</v>
      </c>
      <c r="B95" s="10">
        <v>44834</v>
      </c>
      <c r="C95" s="9">
        <v>8</v>
      </c>
      <c r="D95" s="9" t="str">
        <f t="shared" si="18"/>
        <v>1452</v>
      </c>
      <c r="E95" s="9" t="str">
        <f t="shared" si="19"/>
        <v>Ценные бумаги, учитываемые по справедливой стоимости через прочий совокупный доход</v>
      </c>
      <c r="F95" s="9" t="str">
        <f>"2"</f>
        <v>2</v>
      </c>
      <c r="G95" s="9" t="str">
        <f>"3"</f>
        <v>3</v>
      </c>
      <c r="H95" s="9" t="str">
        <f>"1"</f>
        <v>1</v>
      </c>
      <c r="I95" s="11">
        <v>898437000</v>
      </c>
    </row>
    <row r="96" spans="1:9" x14ac:dyDescent="0.25">
      <c r="A96" s="9">
        <v>89</v>
      </c>
      <c r="B96" s="10">
        <v>44834</v>
      </c>
      <c r="C96" s="9">
        <v>8</v>
      </c>
      <c r="D96" s="9" t="str">
        <f t="shared" si="18"/>
        <v>1452</v>
      </c>
      <c r="E96" s="9" t="str">
        <f t="shared" si="19"/>
        <v>Ценные бумаги, учитываемые по справедливой стоимости через прочий совокупный доход</v>
      </c>
      <c r="F96" s="9" t="str">
        <f>"2"</f>
        <v>2</v>
      </c>
      <c r="G96" s="9" t="str">
        <f>"5"</f>
        <v>5</v>
      </c>
      <c r="H96" s="9" t="str">
        <f>"1"</f>
        <v>1</v>
      </c>
      <c r="I96" s="11">
        <v>2153846080</v>
      </c>
    </row>
    <row r="97" spans="1:9" x14ac:dyDescent="0.25">
      <c r="A97" s="9">
        <v>90</v>
      </c>
      <c r="B97" s="10">
        <v>44834</v>
      </c>
      <c r="C97" s="9">
        <v>8</v>
      </c>
      <c r="D97" s="9" t="str">
        <f t="shared" si="18"/>
        <v>1452</v>
      </c>
      <c r="E97" s="9" t="str">
        <f t="shared" si="19"/>
        <v>Ценные бумаги, учитываемые по справедливой стоимости через прочий совокупный доход</v>
      </c>
      <c r="F97" s="9" t="str">
        <f>"1"</f>
        <v>1</v>
      </c>
      <c r="G97" s="9" t="str">
        <f>"5"</f>
        <v>5</v>
      </c>
      <c r="H97" s="9" t="str">
        <f>"1"</f>
        <v>1</v>
      </c>
      <c r="I97" s="11">
        <v>2500000000</v>
      </c>
    </row>
    <row r="98" spans="1:9" x14ac:dyDescent="0.25">
      <c r="A98" s="9">
        <v>91</v>
      </c>
      <c r="B98" s="10">
        <v>44834</v>
      </c>
      <c r="C98" s="9">
        <v>8</v>
      </c>
      <c r="D98" s="9" t="str">
        <f t="shared" si="18"/>
        <v>1452</v>
      </c>
      <c r="E98" s="9" t="str">
        <f t="shared" si="19"/>
        <v>Ценные бумаги, учитываемые по справедливой стоимости через прочий совокупный доход</v>
      </c>
      <c r="F98" s="9" t="str">
        <f>"1"</f>
        <v>1</v>
      </c>
      <c r="G98" s="9" t="str">
        <f>"1"</f>
        <v>1</v>
      </c>
      <c r="H98" s="9" t="str">
        <f>"2"</f>
        <v>2</v>
      </c>
      <c r="I98" s="11">
        <v>89586718856.350006</v>
      </c>
    </row>
    <row r="99" spans="1:9" x14ac:dyDescent="0.25">
      <c r="A99" s="9">
        <v>92</v>
      </c>
      <c r="B99" s="10">
        <v>44834</v>
      </c>
      <c r="C99" s="9">
        <v>8</v>
      </c>
      <c r="D99" s="9" t="str">
        <f t="shared" si="18"/>
        <v>1452</v>
      </c>
      <c r="E99" s="9" t="str">
        <f t="shared" si="19"/>
        <v>Ценные бумаги, учитываемые по справедливой стоимости через прочий совокупный доход</v>
      </c>
      <c r="F99" s="9" t="str">
        <f>"1"</f>
        <v>1</v>
      </c>
      <c r="G99" s="9" t="str">
        <f>"3"</f>
        <v>3</v>
      </c>
      <c r="H99" s="9" t="str">
        <f>"1"</f>
        <v>1</v>
      </c>
      <c r="I99" s="11">
        <v>60000000000</v>
      </c>
    </row>
    <row r="100" spans="1:9" x14ac:dyDescent="0.25">
      <c r="A100" s="9">
        <v>93</v>
      </c>
      <c r="B100" s="10">
        <v>44834</v>
      </c>
      <c r="C100" s="9">
        <v>8</v>
      </c>
      <c r="D100" s="9" t="str">
        <f t="shared" si="18"/>
        <v>1452</v>
      </c>
      <c r="E100" s="9" t="str">
        <f t="shared" si="19"/>
        <v>Ценные бумаги, учитываемые по справедливой стоимости через прочий совокупный доход</v>
      </c>
      <c r="F100" s="9" t="str">
        <f>"2"</f>
        <v>2</v>
      </c>
      <c r="G100" s="9" t="str">
        <f>"7"</f>
        <v>7</v>
      </c>
      <c r="H100" s="9" t="str">
        <f>"2"</f>
        <v>2</v>
      </c>
      <c r="I100" s="11">
        <v>1906840000</v>
      </c>
    </row>
    <row r="101" spans="1:9" x14ac:dyDescent="0.25">
      <c r="A101" s="9">
        <v>94</v>
      </c>
      <c r="B101" s="10">
        <v>44834</v>
      </c>
      <c r="C101" s="9">
        <v>8</v>
      </c>
      <c r="D101" s="9" t="str">
        <f t="shared" si="18"/>
        <v>1452</v>
      </c>
      <c r="E101" s="9" t="str">
        <f t="shared" si="19"/>
        <v>Ценные бумаги, учитываемые по справедливой стоимости через прочий совокупный доход</v>
      </c>
      <c r="F101" s="9" t="str">
        <f>"1"</f>
        <v>1</v>
      </c>
      <c r="G101" s="9" t="str">
        <f>"1"</f>
        <v>1</v>
      </c>
      <c r="H101" s="9" t="str">
        <f>"1"</f>
        <v>1</v>
      </c>
      <c r="I101" s="11">
        <v>167936390000</v>
      </c>
    </row>
    <row r="102" spans="1:9" x14ac:dyDescent="0.25">
      <c r="A102" s="9">
        <v>95</v>
      </c>
      <c r="B102" s="10">
        <v>44834</v>
      </c>
      <c r="C102" s="9">
        <v>8</v>
      </c>
      <c r="D102" s="9" t="str">
        <f t="shared" si="18"/>
        <v>1452</v>
      </c>
      <c r="E102" s="9" t="str">
        <f t="shared" si="19"/>
        <v>Ценные бумаги, учитываемые по справедливой стоимости через прочий совокупный доход</v>
      </c>
      <c r="F102" s="9" t="str">
        <f>"2"</f>
        <v>2</v>
      </c>
      <c r="G102" s="9" t="str">
        <f>"5"</f>
        <v>5</v>
      </c>
      <c r="H102" s="9" t="str">
        <f>"2"</f>
        <v>2</v>
      </c>
      <c r="I102" s="11">
        <v>953420000</v>
      </c>
    </row>
    <row r="103" spans="1:9" x14ac:dyDescent="0.25">
      <c r="A103" s="9">
        <v>96</v>
      </c>
      <c r="B103" s="10">
        <v>44834</v>
      </c>
      <c r="C103" s="9">
        <v>8</v>
      </c>
      <c r="D103" s="9" t="str">
        <f t="shared" si="18"/>
        <v>1452</v>
      </c>
      <c r="E103" s="9" t="str">
        <f t="shared" si="19"/>
        <v>Ценные бумаги, учитываемые по справедливой стоимости через прочий совокупный доход</v>
      </c>
      <c r="F103" s="9" t="str">
        <f t="shared" ref="F103:F111" si="20">"1"</f>
        <v>1</v>
      </c>
      <c r="G103" s="9" t="str">
        <f>"6"</f>
        <v>6</v>
      </c>
      <c r="H103" s="9" t="str">
        <f>"1"</f>
        <v>1</v>
      </c>
      <c r="I103" s="11">
        <v>1820401000</v>
      </c>
    </row>
    <row r="104" spans="1:9" x14ac:dyDescent="0.25">
      <c r="A104" s="9">
        <v>97</v>
      </c>
      <c r="B104" s="10">
        <v>44834</v>
      </c>
      <c r="C104" s="9">
        <v>8</v>
      </c>
      <c r="D104" s="9" t="str">
        <f t="shared" si="18"/>
        <v>1452</v>
      </c>
      <c r="E104" s="9" t="str">
        <f t="shared" si="19"/>
        <v>Ценные бумаги, учитываемые по справедливой стоимости через прочий совокупный доход</v>
      </c>
      <c r="F104" s="9" t="str">
        <f t="shared" si="20"/>
        <v>1</v>
      </c>
      <c r="G104" s="9" t="str">
        <f>"7"</f>
        <v>7</v>
      </c>
      <c r="H104" s="9" t="str">
        <f>"2"</f>
        <v>2</v>
      </c>
      <c r="I104" s="11">
        <v>953420000</v>
      </c>
    </row>
    <row r="105" spans="1:9" x14ac:dyDescent="0.25">
      <c r="A105" s="9">
        <v>98</v>
      </c>
      <c r="B105" s="10">
        <v>44834</v>
      </c>
      <c r="C105" s="9">
        <v>8</v>
      </c>
      <c r="D105" s="9" t="str">
        <f t="shared" si="18"/>
        <v>1452</v>
      </c>
      <c r="E105" s="9" t="str">
        <f t="shared" si="19"/>
        <v>Ценные бумаги, учитываемые по справедливой стоимости через прочий совокупный доход</v>
      </c>
      <c r="F105" s="9" t="str">
        <f t="shared" si="20"/>
        <v>1</v>
      </c>
      <c r="G105" s="9" t="str">
        <f>"6"</f>
        <v>6</v>
      </c>
      <c r="H105" s="9" t="str">
        <f>"2"</f>
        <v>2</v>
      </c>
      <c r="I105" s="11">
        <v>1906840000</v>
      </c>
    </row>
    <row r="106" spans="1:9" x14ac:dyDescent="0.25">
      <c r="A106" s="9">
        <v>99</v>
      </c>
      <c r="B106" s="10">
        <v>44834</v>
      </c>
      <c r="C106" s="9">
        <v>8</v>
      </c>
      <c r="D106" s="9" t="str">
        <f>"1435"</f>
        <v>1435</v>
      </c>
      <c r="E106" s="9" t="str">
        <f>"Премия по займам, предоставленным клиентам"</f>
        <v>Премия по займам, предоставленным клиентам</v>
      </c>
      <c r="F106" s="9" t="str">
        <f t="shared" si="20"/>
        <v>1</v>
      </c>
      <c r="G106" s="9" t="str">
        <f>"7"</f>
        <v>7</v>
      </c>
      <c r="H106" s="9" t="str">
        <f>"1"</f>
        <v>1</v>
      </c>
      <c r="I106" s="11">
        <v>250699967.34</v>
      </c>
    </row>
    <row r="107" spans="1:9" x14ac:dyDescent="0.25">
      <c r="A107" s="9">
        <v>100</v>
      </c>
      <c r="B107" s="10">
        <v>44834</v>
      </c>
      <c r="C107" s="9">
        <v>8</v>
      </c>
      <c r="D107" s="9" t="str">
        <f>"1435"</f>
        <v>1435</v>
      </c>
      <c r="E107" s="9" t="str">
        <f>"Премия по займам, предоставленным клиентам"</f>
        <v>Премия по займам, предоставленным клиентам</v>
      </c>
      <c r="F107" s="9" t="str">
        <f t="shared" si="20"/>
        <v>1</v>
      </c>
      <c r="G107" s="9" t="str">
        <f>"7"</f>
        <v>7</v>
      </c>
      <c r="H107" s="9" t="str">
        <f>"2"</f>
        <v>2</v>
      </c>
      <c r="I107" s="11">
        <v>157474097.96000001</v>
      </c>
    </row>
    <row r="108" spans="1:9" x14ac:dyDescent="0.25">
      <c r="A108" s="9">
        <v>101</v>
      </c>
      <c r="B108" s="10">
        <v>44834</v>
      </c>
      <c r="C108" s="9">
        <v>8</v>
      </c>
      <c r="D108" s="9" t="str">
        <f>"1435"</f>
        <v>1435</v>
      </c>
      <c r="E108" s="9" t="str">
        <f>"Премия по займам, предоставленным клиентам"</f>
        <v>Премия по займам, предоставленным клиентам</v>
      </c>
      <c r="F108" s="9" t="str">
        <f t="shared" si="20"/>
        <v>1</v>
      </c>
      <c r="G108" s="9" t="str">
        <f>"9"</f>
        <v>9</v>
      </c>
      <c r="H108" s="9" t="str">
        <f>"1"</f>
        <v>1</v>
      </c>
      <c r="I108" s="11">
        <v>11121276.65</v>
      </c>
    </row>
    <row r="109" spans="1:9" x14ac:dyDescent="0.25">
      <c r="A109" s="9">
        <v>102</v>
      </c>
      <c r="B109" s="10">
        <v>44834</v>
      </c>
      <c r="C109" s="9">
        <v>8</v>
      </c>
      <c r="D109" s="9" t="str">
        <f>"1456"</f>
        <v>1456</v>
      </c>
      <c r="E109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9" s="9" t="str">
        <f t="shared" si="20"/>
        <v>1</v>
      </c>
      <c r="G109" s="9" t="str">
        <f>"1"</f>
        <v>1</v>
      </c>
      <c r="H109" s="9" t="str">
        <f>"2"</f>
        <v>2</v>
      </c>
      <c r="I109" s="11">
        <v>275.72000000000003</v>
      </c>
    </row>
    <row r="110" spans="1:9" x14ac:dyDescent="0.25">
      <c r="A110" s="9">
        <v>103</v>
      </c>
      <c r="B110" s="10">
        <v>44834</v>
      </c>
      <c r="C110" s="9">
        <v>8</v>
      </c>
      <c r="D110" s="9" t="str">
        <f>"1456"</f>
        <v>1456</v>
      </c>
      <c r="E110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0" s="9" t="str">
        <f t="shared" si="20"/>
        <v>1</v>
      </c>
      <c r="G110" s="9" t="str">
        <f>"3"</f>
        <v>3</v>
      </c>
      <c r="H110" s="9" t="str">
        <f>"1"</f>
        <v>1</v>
      </c>
      <c r="I110" s="11">
        <v>24323594.539999999</v>
      </c>
    </row>
    <row r="111" spans="1:9" x14ac:dyDescent="0.25">
      <c r="A111" s="9">
        <v>104</v>
      </c>
      <c r="B111" s="10">
        <v>44834</v>
      </c>
      <c r="C111" s="9">
        <v>8</v>
      </c>
      <c r="D111" s="9" t="str">
        <f>"1456"</f>
        <v>1456</v>
      </c>
      <c r="E111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1" s="9" t="str">
        <f t="shared" si="20"/>
        <v>1</v>
      </c>
      <c r="G111" s="9" t="str">
        <f>"1"</f>
        <v>1</v>
      </c>
      <c r="H111" s="9" t="str">
        <f>"1"</f>
        <v>1</v>
      </c>
      <c r="I111" s="11">
        <v>3165428.15</v>
      </c>
    </row>
    <row r="112" spans="1:9" x14ac:dyDescent="0.25">
      <c r="A112" s="9">
        <v>105</v>
      </c>
      <c r="B112" s="10">
        <v>44834</v>
      </c>
      <c r="C112" s="9">
        <v>8</v>
      </c>
      <c r="D112" s="9" t="str">
        <f>"1254"</f>
        <v>1254</v>
      </c>
      <c r="E112" s="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112" s="9" t="str">
        <f>"2"</f>
        <v>2</v>
      </c>
      <c r="G112" s="9" t="str">
        <f>"4"</f>
        <v>4</v>
      </c>
      <c r="H112" s="9" t="str">
        <f>"3"</f>
        <v>3</v>
      </c>
      <c r="I112" s="11">
        <v>4180000000</v>
      </c>
    </row>
    <row r="113" spans="1:9" x14ac:dyDescent="0.25">
      <c r="A113" s="9">
        <v>106</v>
      </c>
      <c r="B113" s="10">
        <v>44834</v>
      </c>
      <c r="C113" s="9">
        <v>8</v>
      </c>
      <c r="D113" s="9" t="str">
        <f t="shared" ref="D113:D118" si="21">"1428"</f>
        <v>1428</v>
      </c>
      <c r="E113" s="9" t="str">
        <f t="shared" ref="E113:E118" si="22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3" s="9" t="str">
        <f t="shared" ref="F113:F119" si="23">"1"</f>
        <v>1</v>
      </c>
      <c r="G113" s="9" t="str">
        <f>"7"</f>
        <v>7</v>
      </c>
      <c r="H113" s="9" t="str">
        <f>"1"</f>
        <v>1</v>
      </c>
      <c r="I113" s="11">
        <v>-28798181063.43</v>
      </c>
    </row>
    <row r="114" spans="1:9" x14ac:dyDescent="0.25">
      <c r="A114" s="9">
        <v>107</v>
      </c>
      <c r="B114" s="10">
        <v>44834</v>
      </c>
      <c r="C114" s="9">
        <v>8</v>
      </c>
      <c r="D114" s="9" t="str">
        <f t="shared" si="21"/>
        <v>1428</v>
      </c>
      <c r="E114" s="9" t="str">
        <f t="shared" si="22"/>
        <v>Резервы (провизии) по займам и финансовому лизингу, предоставленным клиентам</v>
      </c>
      <c r="F114" s="9" t="str">
        <f t="shared" si="23"/>
        <v>1</v>
      </c>
      <c r="G114" s="9" t="str">
        <f>"5"</f>
        <v>5</v>
      </c>
      <c r="H114" s="9" t="str">
        <f>"1"</f>
        <v>1</v>
      </c>
      <c r="I114" s="11">
        <v>-158003957.72</v>
      </c>
    </row>
    <row r="115" spans="1:9" x14ac:dyDescent="0.25">
      <c r="A115" s="9">
        <v>108</v>
      </c>
      <c r="B115" s="10">
        <v>44834</v>
      </c>
      <c r="C115" s="9">
        <v>8</v>
      </c>
      <c r="D115" s="9" t="str">
        <f t="shared" si="21"/>
        <v>1428</v>
      </c>
      <c r="E115" s="9" t="str">
        <f t="shared" si="22"/>
        <v>Резервы (провизии) по займам и финансовому лизингу, предоставленным клиентам</v>
      </c>
      <c r="F115" s="9" t="str">
        <f t="shared" si="23"/>
        <v>1</v>
      </c>
      <c r="G115" s="9" t="str">
        <f>"7"</f>
        <v>7</v>
      </c>
      <c r="H115" s="9" t="str">
        <f>"3"</f>
        <v>3</v>
      </c>
      <c r="I115" s="11">
        <v>-1724851.68</v>
      </c>
    </row>
    <row r="116" spans="1:9" x14ac:dyDescent="0.25">
      <c r="A116" s="9">
        <v>109</v>
      </c>
      <c r="B116" s="10">
        <v>44834</v>
      </c>
      <c r="C116" s="9">
        <v>8</v>
      </c>
      <c r="D116" s="9" t="str">
        <f t="shared" si="21"/>
        <v>1428</v>
      </c>
      <c r="E116" s="9" t="str">
        <f t="shared" si="22"/>
        <v>Резервы (провизии) по займам и финансовому лизингу, предоставленным клиентам</v>
      </c>
      <c r="F116" s="9" t="str">
        <f t="shared" si="23"/>
        <v>1</v>
      </c>
      <c r="G116" s="9" t="str">
        <f>"9"</f>
        <v>9</v>
      </c>
      <c r="H116" s="9" t="str">
        <f>"2"</f>
        <v>2</v>
      </c>
      <c r="I116" s="11">
        <v>-21172221.329999998</v>
      </c>
    </row>
    <row r="117" spans="1:9" x14ac:dyDescent="0.25">
      <c r="A117" s="9">
        <v>110</v>
      </c>
      <c r="B117" s="10">
        <v>44834</v>
      </c>
      <c r="C117" s="9">
        <v>8</v>
      </c>
      <c r="D117" s="9" t="str">
        <f t="shared" si="21"/>
        <v>1428</v>
      </c>
      <c r="E117" s="9" t="str">
        <f t="shared" si="22"/>
        <v>Резервы (провизии) по займам и финансовому лизингу, предоставленным клиентам</v>
      </c>
      <c r="F117" s="9" t="str">
        <f t="shared" si="23"/>
        <v>1</v>
      </c>
      <c r="G117" s="9" t="str">
        <f>"7"</f>
        <v>7</v>
      </c>
      <c r="H117" s="9" t="str">
        <f>"2"</f>
        <v>2</v>
      </c>
      <c r="I117" s="11">
        <v>-7087159071.4300003</v>
      </c>
    </row>
    <row r="118" spans="1:9" x14ac:dyDescent="0.25">
      <c r="A118" s="9">
        <v>111</v>
      </c>
      <c r="B118" s="10">
        <v>44834</v>
      </c>
      <c r="C118" s="9">
        <v>8</v>
      </c>
      <c r="D118" s="9" t="str">
        <f t="shared" si="21"/>
        <v>1428</v>
      </c>
      <c r="E118" s="9" t="str">
        <f t="shared" si="22"/>
        <v>Резервы (провизии) по займам и финансовому лизингу, предоставленным клиентам</v>
      </c>
      <c r="F118" s="9" t="str">
        <f t="shared" si="23"/>
        <v>1</v>
      </c>
      <c r="G118" s="9" t="str">
        <f>"9"</f>
        <v>9</v>
      </c>
      <c r="H118" s="9" t="str">
        <f>"1"</f>
        <v>1</v>
      </c>
      <c r="I118" s="11">
        <v>-10176434591.01</v>
      </c>
    </row>
    <row r="119" spans="1:9" x14ac:dyDescent="0.25">
      <c r="A119" s="9">
        <v>112</v>
      </c>
      <c r="B119" s="10">
        <v>44834</v>
      </c>
      <c r="C119" s="9">
        <v>8</v>
      </c>
      <c r="D119" s="9" t="str">
        <f>"1486"</f>
        <v>1486</v>
      </c>
      <c r="E119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19" s="9" t="str">
        <f t="shared" si="23"/>
        <v>1</v>
      </c>
      <c r="G119" s="9" t="str">
        <f>"1"</f>
        <v>1</v>
      </c>
      <c r="H119" s="9" t="str">
        <f>"2"</f>
        <v>2</v>
      </c>
      <c r="I119" s="11">
        <v>-71825094.700000003</v>
      </c>
    </row>
    <row r="120" spans="1:9" x14ac:dyDescent="0.25">
      <c r="A120" s="9">
        <v>113</v>
      </c>
      <c r="B120" s="10">
        <v>44834</v>
      </c>
      <c r="C120" s="9">
        <v>8</v>
      </c>
      <c r="D120" s="9" t="str">
        <f>"1486"</f>
        <v>1486</v>
      </c>
      <c r="E120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20" s="9" t="str">
        <f>"2"</f>
        <v>2</v>
      </c>
      <c r="G120" s="9" t="str">
        <f>"7"</f>
        <v>7</v>
      </c>
      <c r="H120" s="9" t="str">
        <f>"2"</f>
        <v>2</v>
      </c>
      <c r="I120" s="11">
        <v>-16812260.280000001</v>
      </c>
    </row>
    <row r="121" spans="1:9" x14ac:dyDescent="0.25">
      <c r="A121" s="9">
        <v>114</v>
      </c>
      <c r="B121" s="10">
        <v>44834</v>
      </c>
      <c r="C121" s="9">
        <v>8</v>
      </c>
      <c r="D121" s="9" t="str">
        <f>"1486"</f>
        <v>1486</v>
      </c>
      <c r="E121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21" s="9" t="str">
        <f>"2"</f>
        <v>2</v>
      </c>
      <c r="G121" s="9" t="str">
        <f>"3"</f>
        <v>3</v>
      </c>
      <c r="H121" s="9" t="str">
        <f>"1"</f>
        <v>1</v>
      </c>
      <c r="I121" s="11">
        <v>-1139378.8</v>
      </c>
    </row>
    <row r="122" spans="1:9" x14ac:dyDescent="0.25">
      <c r="A122" s="9">
        <v>115</v>
      </c>
      <c r="B122" s="10">
        <v>44834</v>
      </c>
      <c r="C122" s="9">
        <v>8</v>
      </c>
      <c r="D122" s="9" t="str">
        <f>"1486"</f>
        <v>1486</v>
      </c>
      <c r="E122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22" s="9" t="str">
        <f>"2"</f>
        <v>2</v>
      </c>
      <c r="G122" s="9" t="str">
        <f>"3"</f>
        <v>3</v>
      </c>
      <c r="H122" s="9" t="str">
        <f>"2"</f>
        <v>2</v>
      </c>
      <c r="I122" s="11">
        <v>-1085924.1499999999</v>
      </c>
    </row>
    <row r="123" spans="1:9" x14ac:dyDescent="0.25">
      <c r="A123" s="9">
        <v>116</v>
      </c>
      <c r="B123" s="10">
        <v>44834</v>
      </c>
      <c r="C123" s="9">
        <v>8</v>
      </c>
      <c r="D123" s="9" t="str">
        <f>"1486"</f>
        <v>1486</v>
      </c>
      <c r="E123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23" s="9" t="str">
        <f t="shared" ref="F123:F128" si="24">"1"</f>
        <v>1</v>
      </c>
      <c r="G123" s="9" t="str">
        <f>"6"</f>
        <v>6</v>
      </c>
      <c r="H123" s="9" t="str">
        <f>"2"</f>
        <v>2</v>
      </c>
      <c r="I123" s="11">
        <v>-14727931.609999999</v>
      </c>
    </row>
    <row r="124" spans="1:9" x14ac:dyDescent="0.25">
      <c r="A124" s="9">
        <v>117</v>
      </c>
      <c r="B124" s="10">
        <v>44834</v>
      </c>
      <c r="C124" s="9">
        <v>8</v>
      </c>
      <c r="D124" s="9" t="str">
        <f>"1453"</f>
        <v>1453</v>
      </c>
      <c r="E124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4" s="9" t="str">
        <f t="shared" si="24"/>
        <v>1</v>
      </c>
      <c r="G124" s="9" t="str">
        <f>"1"</f>
        <v>1</v>
      </c>
      <c r="H124" s="9" t="str">
        <f>"2"</f>
        <v>2</v>
      </c>
      <c r="I124" s="11">
        <v>-40038346.460000001</v>
      </c>
    </row>
    <row r="125" spans="1:9" x14ac:dyDescent="0.25">
      <c r="A125" s="9">
        <v>118</v>
      </c>
      <c r="B125" s="10">
        <v>44834</v>
      </c>
      <c r="C125" s="9">
        <v>8</v>
      </c>
      <c r="D125" s="9" t="str">
        <f>"1453"</f>
        <v>1453</v>
      </c>
      <c r="E125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5" s="9" t="str">
        <f t="shared" si="24"/>
        <v>1</v>
      </c>
      <c r="G125" s="9" t="str">
        <f>"3"</f>
        <v>3</v>
      </c>
      <c r="H125" s="9" t="str">
        <f>"1"</f>
        <v>1</v>
      </c>
      <c r="I125" s="11">
        <v>-351753594.5</v>
      </c>
    </row>
    <row r="126" spans="1:9" x14ac:dyDescent="0.25">
      <c r="A126" s="9">
        <v>119</v>
      </c>
      <c r="B126" s="10">
        <v>44834</v>
      </c>
      <c r="C126" s="9">
        <v>8</v>
      </c>
      <c r="D126" s="9" t="str">
        <f>"1453"</f>
        <v>1453</v>
      </c>
      <c r="E126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6" s="9" t="str">
        <f t="shared" si="24"/>
        <v>1</v>
      </c>
      <c r="G126" s="9" t="str">
        <f>"5"</f>
        <v>5</v>
      </c>
      <c r="H126" s="9" t="str">
        <f>"1"</f>
        <v>1</v>
      </c>
      <c r="I126" s="11">
        <v>-15232710.43</v>
      </c>
    </row>
    <row r="127" spans="1:9" x14ac:dyDescent="0.25">
      <c r="A127" s="9">
        <v>120</v>
      </c>
      <c r="B127" s="10">
        <v>44834</v>
      </c>
      <c r="C127" s="9">
        <v>8</v>
      </c>
      <c r="D127" s="9" t="str">
        <f>"1453"</f>
        <v>1453</v>
      </c>
      <c r="E127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7" s="9" t="str">
        <f t="shared" si="24"/>
        <v>1</v>
      </c>
      <c r="G127" s="9" t="str">
        <f>"1"</f>
        <v>1</v>
      </c>
      <c r="H127" s="9" t="str">
        <f>"1"</f>
        <v>1</v>
      </c>
      <c r="I127" s="11">
        <v>-5764256312.1300001</v>
      </c>
    </row>
    <row r="128" spans="1:9" x14ac:dyDescent="0.25">
      <c r="A128" s="9">
        <v>121</v>
      </c>
      <c r="B128" s="10">
        <v>44834</v>
      </c>
      <c r="C128" s="9">
        <v>8</v>
      </c>
      <c r="D128" s="9" t="str">
        <f>"1453"</f>
        <v>1453</v>
      </c>
      <c r="E128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8" s="9" t="str">
        <f t="shared" si="24"/>
        <v>1</v>
      </c>
      <c r="G128" s="9" t="str">
        <f>"4"</f>
        <v>4</v>
      </c>
      <c r="H128" s="9" t="str">
        <f>"2"</f>
        <v>2</v>
      </c>
      <c r="I128" s="11">
        <v>-4513757.24</v>
      </c>
    </row>
    <row r="129" spans="1:9" x14ac:dyDescent="0.25">
      <c r="A129" s="9">
        <v>122</v>
      </c>
      <c r="B129" s="10">
        <v>44834</v>
      </c>
      <c r="C129" s="9">
        <v>8</v>
      </c>
      <c r="D129" s="9" t="str">
        <f>"1610"</f>
        <v>1610</v>
      </c>
      <c r="E129" s="9" t="str">
        <f>"Долгосрочные активы, предназначенные для продажи"</f>
        <v>Долгосрочные активы, предназначенные для продажи</v>
      </c>
      <c r="F129" s="9" t="str">
        <f>""</f>
        <v/>
      </c>
      <c r="G129" s="9" t="str">
        <f>""</f>
        <v/>
      </c>
      <c r="H129" s="9" t="str">
        <f>""</f>
        <v/>
      </c>
      <c r="I129" s="11">
        <v>3773019152.2399998</v>
      </c>
    </row>
    <row r="130" spans="1:9" x14ac:dyDescent="0.25">
      <c r="A130" s="9">
        <v>123</v>
      </c>
      <c r="B130" s="10">
        <v>44834</v>
      </c>
      <c r="C130" s="9">
        <v>8</v>
      </c>
      <c r="D130" s="9" t="str">
        <f>"1657"</f>
        <v>1657</v>
      </c>
      <c r="E130" s="9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30" s="9" t="str">
        <f>""</f>
        <v/>
      </c>
      <c r="G130" s="9" t="str">
        <f>""</f>
        <v/>
      </c>
      <c r="H130" s="9" t="str">
        <f>""</f>
        <v/>
      </c>
      <c r="I130" s="11">
        <v>545064378</v>
      </c>
    </row>
    <row r="131" spans="1:9" x14ac:dyDescent="0.25">
      <c r="A131" s="9">
        <v>124</v>
      </c>
      <c r="B131" s="10">
        <v>44834</v>
      </c>
      <c r="C131" s="9">
        <v>8</v>
      </c>
      <c r="D131" s="9" t="str">
        <f>"1652"</f>
        <v>1652</v>
      </c>
      <c r="E131" s="9" t="str">
        <f>"Земля, здания и сооружения"</f>
        <v>Земля, здания и сооружения</v>
      </c>
      <c r="F131" s="9" t="str">
        <f>""</f>
        <v/>
      </c>
      <c r="G131" s="9" t="str">
        <f>""</f>
        <v/>
      </c>
      <c r="H131" s="9" t="str">
        <f>""</f>
        <v/>
      </c>
      <c r="I131" s="11">
        <v>19147899942.869999</v>
      </c>
    </row>
    <row r="132" spans="1:9" x14ac:dyDescent="0.25">
      <c r="A132" s="9">
        <v>125</v>
      </c>
      <c r="B132" s="10">
        <v>44834</v>
      </c>
      <c r="C132" s="9">
        <v>8</v>
      </c>
      <c r="D132" s="9" t="str">
        <f>"1651"</f>
        <v>1651</v>
      </c>
      <c r="E132" s="9" t="str">
        <f>"Строящиеся (устанавливаемые) основные средства"</f>
        <v>Строящиеся (устанавливаемые) основные средства</v>
      </c>
      <c r="F132" s="9" t="str">
        <f>""</f>
        <v/>
      </c>
      <c r="G132" s="9" t="str">
        <f>""</f>
        <v/>
      </c>
      <c r="H132" s="9" t="str">
        <f>""</f>
        <v/>
      </c>
      <c r="I132" s="11">
        <v>5711744</v>
      </c>
    </row>
    <row r="133" spans="1:9" x14ac:dyDescent="0.25">
      <c r="A133" s="9">
        <v>126</v>
      </c>
      <c r="B133" s="10">
        <v>44834</v>
      </c>
      <c r="C133" s="9">
        <v>8</v>
      </c>
      <c r="D133" s="9" t="str">
        <f>"1653"</f>
        <v>1653</v>
      </c>
      <c r="E133" s="9" t="str">
        <f>"Компьютерное оборудование"</f>
        <v>Компьютерное оборудование</v>
      </c>
      <c r="F133" s="9" t="str">
        <f>""</f>
        <v/>
      </c>
      <c r="G133" s="9" t="str">
        <f>""</f>
        <v/>
      </c>
      <c r="H133" s="9" t="str">
        <f>""</f>
        <v/>
      </c>
      <c r="I133" s="11">
        <v>1678049326.3199999</v>
      </c>
    </row>
    <row r="134" spans="1:9" x14ac:dyDescent="0.25">
      <c r="A134" s="9">
        <v>127</v>
      </c>
      <c r="B134" s="10">
        <v>44834</v>
      </c>
      <c r="C134" s="9">
        <v>8</v>
      </c>
      <c r="D134" s="9" t="str">
        <f>"1424"</f>
        <v>1424</v>
      </c>
      <c r="E134" s="9" t="str">
        <f>"Просроченная задолженность клиентов по займам"</f>
        <v>Просроченная задолженность клиентов по займам</v>
      </c>
      <c r="F134" s="9" t="str">
        <f>"1"</f>
        <v>1</v>
      </c>
      <c r="G134" s="9" t="str">
        <f>"5"</f>
        <v>5</v>
      </c>
      <c r="H134" s="9" t="str">
        <f>"1"</f>
        <v>1</v>
      </c>
      <c r="I134" s="11">
        <v>69397148.629999995</v>
      </c>
    </row>
    <row r="135" spans="1:9" x14ac:dyDescent="0.25">
      <c r="A135" s="9">
        <v>128</v>
      </c>
      <c r="B135" s="10">
        <v>44834</v>
      </c>
      <c r="C135" s="9">
        <v>8</v>
      </c>
      <c r="D135" s="9" t="str">
        <f>"1424"</f>
        <v>1424</v>
      </c>
      <c r="E135" s="9" t="str">
        <f>"Просроченная задолженность клиентов по займам"</f>
        <v>Просроченная задолженность клиентов по займам</v>
      </c>
      <c r="F135" s="9" t="str">
        <f>"1"</f>
        <v>1</v>
      </c>
      <c r="G135" s="9" t="str">
        <f>"7"</f>
        <v>7</v>
      </c>
      <c r="H135" s="9" t="str">
        <f>"1"</f>
        <v>1</v>
      </c>
      <c r="I135" s="11">
        <v>17060292916.16</v>
      </c>
    </row>
    <row r="136" spans="1:9" x14ac:dyDescent="0.25">
      <c r="A136" s="9">
        <v>129</v>
      </c>
      <c r="B136" s="10">
        <v>44834</v>
      </c>
      <c r="C136" s="9">
        <v>8</v>
      </c>
      <c r="D136" s="9" t="str">
        <f>"1424"</f>
        <v>1424</v>
      </c>
      <c r="E136" s="9" t="str">
        <f>"Просроченная задолженность клиентов по займам"</f>
        <v>Просроченная задолженность клиентов по займам</v>
      </c>
      <c r="F136" s="9" t="str">
        <f>"1"</f>
        <v>1</v>
      </c>
      <c r="G136" s="9" t="str">
        <f>"9"</f>
        <v>9</v>
      </c>
      <c r="H136" s="9" t="str">
        <f>"1"</f>
        <v>1</v>
      </c>
      <c r="I136" s="11">
        <v>7438892680.04</v>
      </c>
    </row>
    <row r="137" spans="1:9" x14ac:dyDescent="0.25">
      <c r="A137" s="9">
        <v>130</v>
      </c>
      <c r="B137" s="10">
        <v>44834</v>
      </c>
      <c r="C137" s="9">
        <v>8</v>
      </c>
      <c r="D137" s="9" t="str">
        <f>"1471"</f>
        <v>1471</v>
      </c>
      <c r="E137" s="9" t="str">
        <f>"Инвестиции в дочерние организации"</f>
        <v>Инвестиции в дочерние организации</v>
      </c>
      <c r="F137" s="9" t="str">
        <f>"1"</f>
        <v>1</v>
      </c>
      <c r="G137" s="9" t="str">
        <f>"7"</f>
        <v>7</v>
      </c>
      <c r="H137" s="9" t="str">
        <f>"1"</f>
        <v>1</v>
      </c>
      <c r="I137" s="11">
        <v>7095475337.54</v>
      </c>
    </row>
    <row r="138" spans="1:9" x14ac:dyDescent="0.25">
      <c r="A138" s="9">
        <v>131</v>
      </c>
      <c r="B138" s="10">
        <v>44834</v>
      </c>
      <c r="C138" s="9">
        <v>8</v>
      </c>
      <c r="D138" s="9" t="str">
        <f t="shared" ref="D138:D143" si="25">"1482"</f>
        <v>1482</v>
      </c>
      <c r="E138" s="9" t="str">
        <f t="shared" ref="E138:E143" si="26"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8" s="9" t="str">
        <f>"2"</f>
        <v>2</v>
      </c>
      <c r="G138" s="9" t="str">
        <f>"3"</f>
        <v>3</v>
      </c>
      <c r="H138" s="9" t="str">
        <f>"2"</f>
        <v>2</v>
      </c>
      <c r="I138" s="11">
        <v>-235939226.63</v>
      </c>
    </row>
    <row r="139" spans="1:9" x14ac:dyDescent="0.25">
      <c r="A139" s="9">
        <v>132</v>
      </c>
      <c r="B139" s="10">
        <v>44834</v>
      </c>
      <c r="C139" s="9">
        <v>8</v>
      </c>
      <c r="D139" s="9" t="str">
        <f t="shared" si="25"/>
        <v>1482</v>
      </c>
      <c r="E139" s="9" t="str">
        <f t="shared" si="26"/>
        <v>Дисконт по ценным бумагам, учитываемым по амортизированной стоимости</v>
      </c>
      <c r="F139" s="9" t="str">
        <f>"1"</f>
        <v>1</v>
      </c>
      <c r="G139" s="9" t="str">
        <f>"1"</f>
        <v>1</v>
      </c>
      <c r="H139" s="9" t="str">
        <f>"2"</f>
        <v>2</v>
      </c>
      <c r="I139" s="11">
        <v>-1043856044.23</v>
      </c>
    </row>
    <row r="140" spans="1:9" x14ac:dyDescent="0.25">
      <c r="A140" s="9">
        <v>133</v>
      </c>
      <c r="B140" s="10">
        <v>44834</v>
      </c>
      <c r="C140" s="9">
        <v>8</v>
      </c>
      <c r="D140" s="9" t="str">
        <f t="shared" si="25"/>
        <v>1482</v>
      </c>
      <c r="E140" s="9" t="str">
        <f t="shared" si="26"/>
        <v>Дисконт по ценным бумагам, учитываемым по амортизированной стоимости</v>
      </c>
      <c r="F140" s="9" t="str">
        <f>"2"</f>
        <v>2</v>
      </c>
      <c r="G140" s="9" t="str">
        <f>"3"</f>
        <v>3</v>
      </c>
      <c r="H140" s="9" t="str">
        <f>"1"</f>
        <v>1</v>
      </c>
      <c r="I140" s="11">
        <v>-289440896.39999998</v>
      </c>
    </row>
    <row r="141" spans="1:9" x14ac:dyDescent="0.25">
      <c r="A141" s="9">
        <v>134</v>
      </c>
      <c r="B141" s="10">
        <v>44834</v>
      </c>
      <c r="C141" s="9">
        <v>8</v>
      </c>
      <c r="D141" s="9" t="str">
        <f t="shared" si="25"/>
        <v>1482</v>
      </c>
      <c r="E141" s="9" t="str">
        <f t="shared" si="26"/>
        <v>Дисконт по ценным бумагам, учитываемым по амортизированной стоимости</v>
      </c>
      <c r="F141" s="9" t="str">
        <f>"2"</f>
        <v>2</v>
      </c>
      <c r="G141" s="9" t="str">
        <f>"1"</f>
        <v>1</v>
      </c>
      <c r="H141" s="9" t="str">
        <f>"2"</f>
        <v>2</v>
      </c>
      <c r="I141" s="11">
        <v>-94202934.819999993</v>
      </c>
    </row>
    <row r="142" spans="1:9" x14ac:dyDescent="0.25">
      <c r="A142" s="9">
        <v>135</v>
      </c>
      <c r="B142" s="10">
        <v>44834</v>
      </c>
      <c r="C142" s="9">
        <v>8</v>
      </c>
      <c r="D142" s="9" t="str">
        <f t="shared" si="25"/>
        <v>1482</v>
      </c>
      <c r="E142" s="9" t="str">
        <f t="shared" si="26"/>
        <v>Дисконт по ценным бумагам, учитываемым по амортизированной стоимости</v>
      </c>
      <c r="F142" s="9" t="str">
        <f>"2"</f>
        <v>2</v>
      </c>
      <c r="G142" s="9" t="str">
        <f>"7"</f>
        <v>7</v>
      </c>
      <c r="H142" s="9" t="str">
        <f>"2"</f>
        <v>2</v>
      </c>
      <c r="I142" s="11">
        <v>-1664119113.4400001</v>
      </c>
    </row>
    <row r="143" spans="1:9" x14ac:dyDescent="0.25">
      <c r="A143" s="9">
        <v>136</v>
      </c>
      <c r="B143" s="10">
        <v>44834</v>
      </c>
      <c r="C143" s="9">
        <v>8</v>
      </c>
      <c r="D143" s="9" t="str">
        <f t="shared" si="25"/>
        <v>1482</v>
      </c>
      <c r="E143" s="9" t="str">
        <f t="shared" si="26"/>
        <v>Дисконт по ценным бумагам, учитываемым по амортизированной стоимости</v>
      </c>
      <c r="F143" s="9" t="str">
        <f>"1"</f>
        <v>1</v>
      </c>
      <c r="G143" s="9" t="str">
        <f>"6"</f>
        <v>6</v>
      </c>
      <c r="H143" s="9" t="str">
        <f>"2"</f>
        <v>2</v>
      </c>
      <c r="I143" s="11">
        <v>-574516776.62</v>
      </c>
    </row>
    <row r="144" spans="1:9" x14ac:dyDescent="0.25">
      <c r="A144" s="9">
        <v>137</v>
      </c>
      <c r="B144" s="10">
        <v>44834</v>
      </c>
      <c r="C144" s="9">
        <v>8</v>
      </c>
      <c r="D144" s="9" t="str">
        <f>"1655"</f>
        <v>1655</v>
      </c>
      <c r="E144" s="9" t="str">
        <f>"Активы в форме права пользования"</f>
        <v>Активы в форме права пользования</v>
      </c>
      <c r="F144" s="9" t="str">
        <f>""</f>
        <v/>
      </c>
      <c r="G144" s="9" t="str">
        <f>""</f>
        <v/>
      </c>
      <c r="H144" s="9" t="str">
        <f>""</f>
        <v/>
      </c>
      <c r="I144" s="11">
        <v>1722232898.8800001</v>
      </c>
    </row>
    <row r="145" spans="1:9" x14ac:dyDescent="0.25">
      <c r="A145" s="9">
        <v>138</v>
      </c>
      <c r="B145" s="10">
        <v>44834</v>
      </c>
      <c r="C145" s="9">
        <v>8</v>
      </c>
      <c r="D145" s="9" t="str">
        <f>"1693"</f>
        <v>1693</v>
      </c>
      <c r="E145" s="9" t="str">
        <f>"Начисленная амортизация по компьютерному оборудованию"</f>
        <v>Начисленная амортизация по компьютерному оборудованию</v>
      </c>
      <c r="F145" s="9" t="str">
        <f>""</f>
        <v/>
      </c>
      <c r="G145" s="9" t="str">
        <f>""</f>
        <v/>
      </c>
      <c r="H145" s="9" t="str">
        <f>""</f>
        <v/>
      </c>
      <c r="I145" s="11">
        <v>-1013305985.39</v>
      </c>
    </row>
    <row r="146" spans="1:9" x14ac:dyDescent="0.25">
      <c r="A146" s="9">
        <v>139</v>
      </c>
      <c r="B146" s="10">
        <v>44834</v>
      </c>
      <c r="C146" s="9">
        <v>8</v>
      </c>
      <c r="D146" s="9" t="str">
        <f>"1654"</f>
        <v>1654</v>
      </c>
      <c r="E146" s="9" t="str">
        <f>"Прочие основные средства"</f>
        <v>Прочие основные средства</v>
      </c>
      <c r="F146" s="9" t="str">
        <f>""</f>
        <v/>
      </c>
      <c r="G146" s="9" t="str">
        <f>""</f>
        <v/>
      </c>
      <c r="H146" s="9" t="str">
        <f>""</f>
        <v/>
      </c>
      <c r="I146" s="11">
        <v>26736438541.639999</v>
      </c>
    </row>
    <row r="147" spans="1:9" x14ac:dyDescent="0.25">
      <c r="A147" s="9">
        <v>140</v>
      </c>
      <c r="B147" s="10">
        <v>44834</v>
      </c>
      <c r="C147" s="9">
        <v>8</v>
      </c>
      <c r="D147" s="9" t="str">
        <f>"1659"</f>
        <v>1659</v>
      </c>
      <c r="E147" s="9" t="str">
        <f>"Нематериальные активы"</f>
        <v>Нематериальные активы</v>
      </c>
      <c r="F147" s="9" t="str">
        <f>""</f>
        <v/>
      </c>
      <c r="G147" s="9" t="str">
        <f>""</f>
        <v/>
      </c>
      <c r="H147" s="9" t="str">
        <f>""</f>
        <v/>
      </c>
      <c r="I147" s="11">
        <v>2402884260.1599998</v>
      </c>
    </row>
    <row r="148" spans="1:9" x14ac:dyDescent="0.25">
      <c r="A148" s="9">
        <v>141</v>
      </c>
      <c r="B148" s="10">
        <v>44834</v>
      </c>
      <c r="C148" s="9">
        <v>8</v>
      </c>
      <c r="D148" s="9" t="str">
        <f>"1699"</f>
        <v>1699</v>
      </c>
      <c r="E148" s="9" t="str">
        <f>"Начисленная амортизация по нематериальным активам"</f>
        <v>Начисленная амортизация по нематериальным активам</v>
      </c>
      <c r="F148" s="9" t="str">
        <f>""</f>
        <v/>
      </c>
      <c r="G148" s="9" t="str">
        <f>""</f>
        <v/>
      </c>
      <c r="H148" s="9" t="str">
        <f>""</f>
        <v/>
      </c>
      <c r="I148" s="11">
        <v>-1296272928.21</v>
      </c>
    </row>
    <row r="149" spans="1:9" x14ac:dyDescent="0.25">
      <c r="A149" s="9">
        <v>142</v>
      </c>
      <c r="B149" s="10">
        <v>44834</v>
      </c>
      <c r="C149" s="9">
        <v>8</v>
      </c>
      <c r="D149" s="9" t="str">
        <f>"1495"</f>
        <v>1495</v>
      </c>
      <c r="E149" s="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49" s="9" t="str">
        <f>"1"</f>
        <v>1</v>
      </c>
      <c r="G149" s="9" t="str">
        <f>"7"</f>
        <v>7</v>
      </c>
      <c r="H149" s="9" t="str">
        <f>"1"</f>
        <v>1</v>
      </c>
      <c r="I149" s="11">
        <v>-978464425.41999996</v>
      </c>
    </row>
    <row r="150" spans="1:9" x14ac:dyDescent="0.25">
      <c r="A150" s="9">
        <v>143</v>
      </c>
      <c r="B150" s="10">
        <v>44834</v>
      </c>
      <c r="C150" s="9">
        <v>8</v>
      </c>
      <c r="D150" s="9" t="str">
        <f>"1697"</f>
        <v>1697</v>
      </c>
      <c r="E150" s="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50" s="9" t="str">
        <f>""</f>
        <v/>
      </c>
      <c r="G150" s="9" t="str">
        <f>""</f>
        <v/>
      </c>
      <c r="H150" s="9" t="str">
        <f>""</f>
        <v/>
      </c>
      <c r="I150" s="11">
        <v>-471559794.81</v>
      </c>
    </row>
    <row r="151" spans="1:9" x14ac:dyDescent="0.25">
      <c r="A151" s="9">
        <v>144</v>
      </c>
      <c r="B151" s="10">
        <v>44834</v>
      </c>
      <c r="C151" s="9">
        <v>8</v>
      </c>
      <c r="D151" s="9" t="str">
        <f>"1745"</f>
        <v>1745</v>
      </c>
      <c r="E151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51" s="9" t="str">
        <f>"2"</f>
        <v>2</v>
      </c>
      <c r="G151" s="9" t="str">
        <f>"3"</f>
        <v>3</v>
      </c>
      <c r="H151" s="9" t="str">
        <f>"2"</f>
        <v>2</v>
      </c>
      <c r="I151" s="11">
        <v>5797691.7400000002</v>
      </c>
    </row>
    <row r="152" spans="1:9" x14ac:dyDescent="0.25">
      <c r="A152" s="9">
        <v>145</v>
      </c>
      <c r="B152" s="10">
        <v>44834</v>
      </c>
      <c r="C152" s="9">
        <v>8</v>
      </c>
      <c r="D152" s="9" t="str">
        <f>"1745"</f>
        <v>1745</v>
      </c>
      <c r="E152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52" s="9" t="str">
        <f>"1"</f>
        <v>1</v>
      </c>
      <c r="G152" s="9" t="str">
        <f>"1"</f>
        <v>1</v>
      </c>
      <c r="H152" s="9" t="str">
        <f>"2"</f>
        <v>2</v>
      </c>
      <c r="I152" s="11">
        <v>745419528.36000001</v>
      </c>
    </row>
    <row r="153" spans="1:9" x14ac:dyDescent="0.25">
      <c r="A153" s="9">
        <v>146</v>
      </c>
      <c r="B153" s="10">
        <v>44834</v>
      </c>
      <c r="C153" s="9">
        <v>8</v>
      </c>
      <c r="D153" s="9" t="str">
        <f>"1745"</f>
        <v>1745</v>
      </c>
      <c r="E153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53" s="9" t="str">
        <f>"2"</f>
        <v>2</v>
      </c>
      <c r="G153" s="9" t="str">
        <f>"3"</f>
        <v>3</v>
      </c>
      <c r="H153" s="9" t="str">
        <f>"1"</f>
        <v>1</v>
      </c>
      <c r="I153" s="11">
        <v>31547222.039999999</v>
      </c>
    </row>
    <row r="154" spans="1:9" x14ac:dyDescent="0.25">
      <c r="A154" s="9">
        <v>147</v>
      </c>
      <c r="B154" s="10">
        <v>44834</v>
      </c>
      <c r="C154" s="9">
        <v>8</v>
      </c>
      <c r="D154" s="9" t="str">
        <f>"1745"</f>
        <v>1745</v>
      </c>
      <c r="E154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54" s="9" t="str">
        <f>"1"</f>
        <v>1</v>
      </c>
      <c r="G154" s="9" t="str">
        <f>"6"</f>
        <v>6</v>
      </c>
      <c r="H154" s="9" t="str">
        <f>"2"</f>
        <v>2</v>
      </c>
      <c r="I154" s="11">
        <v>242157277.09999999</v>
      </c>
    </row>
    <row r="155" spans="1:9" x14ac:dyDescent="0.25">
      <c r="A155" s="9">
        <v>148</v>
      </c>
      <c r="B155" s="10">
        <v>44834</v>
      </c>
      <c r="C155" s="9">
        <v>8</v>
      </c>
      <c r="D155" s="9" t="str">
        <f>"1745"</f>
        <v>1745</v>
      </c>
      <c r="E155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55" s="9" t="str">
        <f>"2"</f>
        <v>2</v>
      </c>
      <c r="G155" s="9" t="str">
        <f>"7"</f>
        <v>7</v>
      </c>
      <c r="H155" s="9" t="str">
        <f>"2"</f>
        <v>2</v>
      </c>
      <c r="I155" s="11">
        <v>48178719.990000002</v>
      </c>
    </row>
    <row r="156" spans="1:9" x14ac:dyDescent="0.25">
      <c r="A156" s="9">
        <v>149</v>
      </c>
      <c r="B156" s="10">
        <v>44834</v>
      </c>
      <c r="C156" s="9">
        <v>8</v>
      </c>
      <c r="D156" s="9" t="str">
        <f>"1744"</f>
        <v>1744</v>
      </c>
      <c r="E156" s="9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56" s="9" t="str">
        <f>"1"</f>
        <v>1</v>
      </c>
      <c r="G156" s="9" t="str">
        <f>"1"</f>
        <v>1</v>
      </c>
      <c r="H156" s="9" t="str">
        <f>"2"</f>
        <v>2</v>
      </c>
      <c r="I156" s="11">
        <v>22673466.940000001</v>
      </c>
    </row>
    <row r="157" spans="1:9" x14ac:dyDescent="0.25">
      <c r="A157" s="9">
        <v>150</v>
      </c>
      <c r="B157" s="10">
        <v>44834</v>
      </c>
      <c r="C157" s="9">
        <v>8</v>
      </c>
      <c r="D157" s="9" t="str">
        <f>"1658"</f>
        <v>1658</v>
      </c>
      <c r="E157" s="9" t="str">
        <f>"Транспортные средства"</f>
        <v>Транспортные средства</v>
      </c>
      <c r="F157" s="9" t="str">
        <f>""</f>
        <v/>
      </c>
      <c r="G157" s="9" t="str">
        <f>""</f>
        <v/>
      </c>
      <c r="H157" s="9" t="str">
        <f>""</f>
        <v/>
      </c>
      <c r="I157" s="11">
        <v>577506034</v>
      </c>
    </row>
    <row r="158" spans="1:9" x14ac:dyDescent="0.25">
      <c r="A158" s="9">
        <v>151</v>
      </c>
      <c r="B158" s="10">
        <v>44834</v>
      </c>
      <c r="C158" s="9">
        <v>8</v>
      </c>
      <c r="D158" s="9" t="str">
        <f>"1483"</f>
        <v>1483</v>
      </c>
      <c r="E158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8" s="9" t="str">
        <f>"1"</f>
        <v>1</v>
      </c>
      <c r="G158" s="9" t="str">
        <f>"1"</f>
        <v>1</v>
      </c>
      <c r="H158" s="9" t="str">
        <f>"2"</f>
        <v>2</v>
      </c>
      <c r="I158" s="11">
        <v>2937123528.6300001</v>
      </c>
    </row>
    <row r="159" spans="1:9" x14ac:dyDescent="0.25">
      <c r="A159" s="9">
        <v>152</v>
      </c>
      <c r="B159" s="10">
        <v>44834</v>
      </c>
      <c r="C159" s="9">
        <v>8</v>
      </c>
      <c r="D159" s="9" t="str">
        <f t="shared" ref="D159:D164" si="27">"1481"</f>
        <v>1481</v>
      </c>
      <c r="E159" s="9" t="str">
        <f t="shared" ref="E159:E164" si="28">"Ценные бумаги, учитываемые по амортизированной стоимости"</f>
        <v>Ценные бумаги, учитываемые по амортизированной стоимости</v>
      </c>
      <c r="F159" s="9" t="str">
        <f>"2"</f>
        <v>2</v>
      </c>
      <c r="G159" s="9" t="str">
        <f>"3"</f>
        <v>3</v>
      </c>
      <c r="H159" s="9" t="str">
        <f>"2"</f>
        <v>2</v>
      </c>
      <c r="I159" s="11">
        <v>1074169000</v>
      </c>
    </row>
    <row r="160" spans="1:9" x14ac:dyDescent="0.25">
      <c r="A160" s="9">
        <v>153</v>
      </c>
      <c r="B160" s="10">
        <v>44834</v>
      </c>
      <c r="C160" s="9">
        <v>8</v>
      </c>
      <c r="D160" s="9" t="str">
        <f t="shared" si="27"/>
        <v>1481</v>
      </c>
      <c r="E160" s="9" t="str">
        <f t="shared" si="28"/>
        <v>Ценные бумаги, учитываемые по амортизированной стоимости</v>
      </c>
      <c r="F160" s="9" t="str">
        <f>"1"</f>
        <v>1</v>
      </c>
      <c r="G160" s="9" t="str">
        <f>"6"</f>
        <v>6</v>
      </c>
      <c r="H160" s="9" t="str">
        <f>"2"</f>
        <v>2</v>
      </c>
      <c r="I160" s="11">
        <v>11764726090</v>
      </c>
    </row>
    <row r="161" spans="1:9" x14ac:dyDescent="0.25">
      <c r="A161" s="9">
        <v>154</v>
      </c>
      <c r="B161" s="10">
        <v>44834</v>
      </c>
      <c r="C161" s="9">
        <v>8</v>
      </c>
      <c r="D161" s="9" t="str">
        <f t="shared" si="27"/>
        <v>1481</v>
      </c>
      <c r="E161" s="9" t="str">
        <f t="shared" si="28"/>
        <v>Ценные бумаги, учитываемые по амортизированной стоимости</v>
      </c>
      <c r="F161" s="9" t="str">
        <f>"2"</f>
        <v>2</v>
      </c>
      <c r="G161" s="9" t="str">
        <f>"1"</f>
        <v>1</v>
      </c>
      <c r="H161" s="9" t="str">
        <f>"2"</f>
        <v>2</v>
      </c>
      <c r="I161" s="11">
        <v>19068400000</v>
      </c>
    </row>
    <row r="162" spans="1:9" x14ac:dyDescent="0.25">
      <c r="A162" s="9">
        <v>155</v>
      </c>
      <c r="B162" s="10">
        <v>44834</v>
      </c>
      <c r="C162" s="9">
        <v>8</v>
      </c>
      <c r="D162" s="9" t="str">
        <f t="shared" si="27"/>
        <v>1481</v>
      </c>
      <c r="E162" s="9" t="str">
        <f t="shared" si="28"/>
        <v>Ценные бумаги, учитываемые по амортизированной стоимости</v>
      </c>
      <c r="F162" s="9" t="str">
        <f>"2"</f>
        <v>2</v>
      </c>
      <c r="G162" s="9" t="str">
        <f>"3"</f>
        <v>3</v>
      </c>
      <c r="H162" s="9" t="str">
        <f>"1"</f>
        <v>1</v>
      </c>
      <c r="I162" s="11">
        <v>1385000000</v>
      </c>
    </row>
    <row r="163" spans="1:9" x14ac:dyDescent="0.25">
      <c r="A163" s="9">
        <v>156</v>
      </c>
      <c r="B163" s="10">
        <v>44834</v>
      </c>
      <c r="C163" s="9">
        <v>8</v>
      </c>
      <c r="D163" s="9" t="str">
        <f t="shared" si="27"/>
        <v>1481</v>
      </c>
      <c r="E163" s="9" t="str">
        <f t="shared" si="28"/>
        <v>Ценные бумаги, учитываемые по амортизированной стоимости</v>
      </c>
      <c r="F163" s="9" t="str">
        <f>"1"</f>
        <v>1</v>
      </c>
      <c r="G163" s="9" t="str">
        <f>"1"</f>
        <v>1</v>
      </c>
      <c r="H163" s="9" t="str">
        <f>"2"</f>
        <v>2</v>
      </c>
      <c r="I163" s="11">
        <v>68430069070</v>
      </c>
    </row>
    <row r="164" spans="1:9" x14ac:dyDescent="0.25">
      <c r="A164" s="9">
        <v>157</v>
      </c>
      <c r="B164" s="10">
        <v>44834</v>
      </c>
      <c r="C164" s="9">
        <v>8</v>
      </c>
      <c r="D164" s="9" t="str">
        <f t="shared" si="27"/>
        <v>1481</v>
      </c>
      <c r="E164" s="9" t="str">
        <f t="shared" si="28"/>
        <v>Ценные бумаги, учитываемые по амортизированной стоимости</v>
      </c>
      <c r="F164" s="9" t="str">
        <f>"2"</f>
        <v>2</v>
      </c>
      <c r="G164" s="9" t="str">
        <f>"7"</f>
        <v>7</v>
      </c>
      <c r="H164" s="9" t="str">
        <f>"2"</f>
        <v>2</v>
      </c>
      <c r="I164" s="11">
        <v>14683144710</v>
      </c>
    </row>
    <row r="165" spans="1:9" x14ac:dyDescent="0.25">
      <c r="A165" s="9">
        <v>158</v>
      </c>
      <c r="B165" s="10">
        <v>44834</v>
      </c>
      <c r="C165" s="9">
        <v>8</v>
      </c>
      <c r="D165" s="9" t="str">
        <f>"1728"</f>
        <v>1728</v>
      </c>
      <c r="E165" s="9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65" s="9" t="str">
        <f>"2"</f>
        <v>2</v>
      </c>
      <c r="G165" s="9" t="str">
        <f>"5"</f>
        <v>5</v>
      </c>
      <c r="H165" s="9" t="str">
        <f>"2"</f>
        <v>2</v>
      </c>
      <c r="I165" s="11">
        <v>16842559.969999999</v>
      </c>
    </row>
    <row r="166" spans="1:9" x14ac:dyDescent="0.25">
      <c r="A166" s="9">
        <v>159</v>
      </c>
      <c r="B166" s="10">
        <v>44834</v>
      </c>
      <c r="C166" s="9">
        <v>8</v>
      </c>
      <c r="D166" s="9" t="str">
        <f>"1491"</f>
        <v>1491</v>
      </c>
      <c r="E166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66" s="9" t="str">
        <f>"1"</f>
        <v>1</v>
      </c>
      <c r="G166" s="9" t="str">
        <f>"5"</f>
        <v>5</v>
      </c>
      <c r="H166" s="9" t="str">
        <f>"1"</f>
        <v>1</v>
      </c>
      <c r="I166" s="11">
        <v>29538334281.849998</v>
      </c>
    </row>
    <row r="167" spans="1:9" x14ac:dyDescent="0.25">
      <c r="A167" s="9">
        <v>160</v>
      </c>
      <c r="B167" s="10">
        <v>44834</v>
      </c>
      <c r="C167" s="9">
        <v>8</v>
      </c>
      <c r="D167" s="9" t="str">
        <f>"1491"</f>
        <v>1491</v>
      </c>
      <c r="E167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67" s="9" t="str">
        <f>"1"</f>
        <v>1</v>
      </c>
      <c r="G167" s="9" t="str">
        <f>"9"</f>
        <v>9</v>
      </c>
      <c r="H167" s="9" t="str">
        <f>"1"</f>
        <v>1</v>
      </c>
      <c r="I167" s="11">
        <v>19970869035.419998</v>
      </c>
    </row>
    <row r="168" spans="1:9" x14ac:dyDescent="0.25">
      <c r="A168" s="9">
        <v>161</v>
      </c>
      <c r="B168" s="10">
        <v>44834</v>
      </c>
      <c r="C168" s="9">
        <v>8</v>
      </c>
      <c r="D168" s="9" t="str">
        <f>"1491"</f>
        <v>1491</v>
      </c>
      <c r="E168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68" s="9" t="str">
        <f>"1"</f>
        <v>1</v>
      </c>
      <c r="G168" s="9" t="str">
        <f>"7"</f>
        <v>7</v>
      </c>
      <c r="H168" s="9" t="str">
        <f>"1"</f>
        <v>1</v>
      </c>
      <c r="I168" s="11">
        <v>7828732061.8999996</v>
      </c>
    </row>
    <row r="169" spans="1:9" x14ac:dyDescent="0.25">
      <c r="A169" s="9">
        <v>162</v>
      </c>
      <c r="B169" s="10">
        <v>44834</v>
      </c>
      <c r="C169" s="9">
        <v>8</v>
      </c>
      <c r="D169" s="9" t="str">
        <f>"1694"</f>
        <v>1694</v>
      </c>
      <c r="E169" s="9" t="str">
        <f>"Начисленная амортизация по прочим основным средствам"</f>
        <v>Начисленная амортизация по прочим основным средствам</v>
      </c>
      <c r="F169" s="9" t="str">
        <f>""</f>
        <v/>
      </c>
      <c r="G169" s="9" t="str">
        <f>""</f>
        <v/>
      </c>
      <c r="H169" s="9" t="str">
        <f>""</f>
        <v/>
      </c>
      <c r="I169" s="11">
        <v>-3109795818.73</v>
      </c>
    </row>
    <row r="170" spans="1:9" x14ac:dyDescent="0.25">
      <c r="A170" s="9">
        <v>163</v>
      </c>
      <c r="B170" s="10">
        <v>44834</v>
      </c>
      <c r="C170" s="9">
        <v>8</v>
      </c>
      <c r="D170" s="9" t="str">
        <f>"1705"</f>
        <v>1705</v>
      </c>
      <c r="E170" s="9" t="str">
        <f>"Начисленные доходы по корреспондентским счетам"</f>
        <v>Начисленные доходы по корреспондентским счетам</v>
      </c>
      <c r="F170" s="9" t="str">
        <f>"2"</f>
        <v>2</v>
      </c>
      <c r="G170" s="9" t="str">
        <f>"4"</f>
        <v>4</v>
      </c>
      <c r="H170" s="9" t="str">
        <f>"2"</f>
        <v>2</v>
      </c>
      <c r="I170" s="11">
        <v>12658075.859999999</v>
      </c>
    </row>
    <row r="171" spans="1:9" x14ac:dyDescent="0.25">
      <c r="A171" s="9">
        <v>164</v>
      </c>
      <c r="B171" s="10">
        <v>44834</v>
      </c>
      <c r="C171" s="9">
        <v>8</v>
      </c>
      <c r="D171" s="9" t="str">
        <f>"1705"</f>
        <v>1705</v>
      </c>
      <c r="E171" s="9" t="str">
        <f>"Начисленные доходы по корреспондентским счетам"</f>
        <v>Начисленные доходы по корреспондентским счетам</v>
      </c>
      <c r="F171" s="9" t="str">
        <f>"2"</f>
        <v>2</v>
      </c>
      <c r="G171" s="9" t="str">
        <f>"3"</f>
        <v>3</v>
      </c>
      <c r="H171" s="9" t="str">
        <f>"3"</f>
        <v>3</v>
      </c>
      <c r="I171" s="11">
        <v>10450000</v>
      </c>
    </row>
    <row r="172" spans="1:9" x14ac:dyDescent="0.25">
      <c r="A172" s="9">
        <v>165</v>
      </c>
      <c r="B172" s="10">
        <v>44834</v>
      </c>
      <c r="C172" s="9">
        <v>8</v>
      </c>
      <c r="D172" s="9" t="str">
        <f>"1695"</f>
        <v>1695</v>
      </c>
      <c r="E172" s="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2" s="9" t="str">
        <f>""</f>
        <v/>
      </c>
      <c r="G172" s="9" t="str">
        <f>""</f>
        <v/>
      </c>
      <c r="H172" s="9" t="str">
        <f>""</f>
        <v/>
      </c>
      <c r="I172" s="11">
        <v>-964882824.44000006</v>
      </c>
    </row>
    <row r="173" spans="1:9" x14ac:dyDescent="0.25">
      <c r="A173" s="9">
        <v>166</v>
      </c>
      <c r="B173" s="10">
        <v>44834</v>
      </c>
      <c r="C173" s="9">
        <v>8</v>
      </c>
      <c r="D173" s="9" t="str">
        <f>"1741"</f>
        <v>1741</v>
      </c>
      <c r="E173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3" s="9" t="str">
        <f t="shared" ref="F173:F182" si="29">"1"</f>
        <v>1</v>
      </c>
      <c r="G173" s="9" t="str">
        <f>"9"</f>
        <v>9</v>
      </c>
      <c r="H173" s="9" t="str">
        <f>"1"</f>
        <v>1</v>
      </c>
      <c r="I173" s="11">
        <v>1088441195.6700001</v>
      </c>
    </row>
    <row r="174" spans="1:9" x14ac:dyDescent="0.25">
      <c r="A174" s="9">
        <v>167</v>
      </c>
      <c r="B174" s="10">
        <v>44834</v>
      </c>
      <c r="C174" s="9">
        <v>8</v>
      </c>
      <c r="D174" s="9" t="str">
        <f>"1741"</f>
        <v>1741</v>
      </c>
      <c r="E174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4" s="9" t="str">
        <f t="shared" si="29"/>
        <v>1</v>
      </c>
      <c r="G174" s="9" t="str">
        <f>"7"</f>
        <v>7</v>
      </c>
      <c r="H174" s="9" t="str">
        <f>"2"</f>
        <v>2</v>
      </c>
      <c r="I174" s="11">
        <v>1528972557.8</v>
      </c>
    </row>
    <row r="175" spans="1:9" x14ac:dyDescent="0.25">
      <c r="A175" s="9">
        <v>168</v>
      </c>
      <c r="B175" s="10">
        <v>44834</v>
      </c>
      <c r="C175" s="9">
        <v>8</v>
      </c>
      <c r="D175" s="9" t="str">
        <f>"1741"</f>
        <v>1741</v>
      </c>
      <c r="E175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5" s="9" t="str">
        <f t="shared" si="29"/>
        <v>1</v>
      </c>
      <c r="G175" s="9" t="str">
        <f>"7"</f>
        <v>7</v>
      </c>
      <c r="H175" s="9" t="str">
        <f>"1"</f>
        <v>1</v>
      </c>
      <c r="I175" s="11">
        <v>4094581236.4499998</v>
      </c>
    </row>
    <row r="176" spans="1:9" x14ac:dyDescent="0.25">
      <c r="A176" s="9">
        <v>169</v>
      </c>
      <c r="B176" s="10">
        <v>44834</v>
      </c>
      <c r="C176" s="9">
        <v>8</v>
      </c>
      <c r="D176" s="9" t="str">
        <f>"1741"</f>
        <v>1741</v>
      </c>
      <c r="E176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6" s="9" t="str">
        <f t="shared" si="29"/>
        <v>1</v>
      </c>
      <c r="G176" s="9" t="str">
        <f>"9"</f>
        <v>9</v>
      </c>
      <c r="H176" s="9" t="str">
        <f>"2"</f>
        <v>2</v>
      </c>
      <c r="I176" s="11">
        <v>1612509.71</v>
      </c>
    </row>
    <row r="177" spans="1:9" x14ac:dyDescent="0.25">
      <c r="A177" s="9">
        <v>170</v>
      </c>
      <c r="B177" s="10">
        <v>44834</v>
      </c>
      <c r="C177" s="9">
        <v>8</v>
      </c>
      <c r="D177" s="9" t="str">
        <f t="shared" ref="D177:D182" si="30">"1740"</f>
        <v>1740</v>
      </c>
      <c r="E177" s="9" t="str">
        <f t="shared" ref="E177:E182" si="3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7" s="9" t="str">
        <f t="shared" si="29"/>
        <v>1</v>
      </c>
      <c r="G177" s="9" t="str">
        <f>"7"</f>
        <v>7</v>
      </c>
      <c r="H177" s="9" t="str">
        <f>"2"</f>
        <v>2</v>
      </c>
      <c r="I177" s="11">
        <v>1842718137.53</v>
      </c>
    </row>
    <row r="178" spans="1:9" x14ac:dyDescent="0.25">
      <c r="A178" s="9">
        <v>171</v>
      </c>
      <c r="B178" s="10">
        <v>44834</v>
      </c>
      <c r="C178" s="9">
        <v>8</v>
      </c>
      <c r="D178" s="9" t="str">
        <f t="shared" si="30"/>
        <v>1740</v>
      </c>
      <c r="E178" s="9" t="str">
        <f t="shared" si="31"/>
        <v>Начисленные доходы по займам и финансовому лизингу, предоставленным клиентам</v>
      </c>
      <c r="F178" s="9" t="str">
        <f t="shared" si="29"/>
        <v>1</v>
      </c>
      <c r="G178" s="9" t="str">
        <f>"7"</f>
        <v>7</v>
      </c>
      <c r="H178" s="9" t="str">
        <f>"1"</f>
        <v>1</v>
      </c>
      <c r="I178" s="11">
        <v>11508410464.950001</v>
      </c>
    </row>
    <row r="179" spans="1:9" x14ac:dyDescent="0.25">
      <c r="A179" s="9">
        <v>172</v>
      </c>
      <c r="B179" s="10">
        <v>44834</v>
      </c>
      <c r="C179" s="9">
        <v>8</v>
      </c>
      <c r="D179" s="9" t="str">
        <f t="shared" si="30"/>
        <v>1740</v>
      </c>
      <c r="E179" s="9" t="str">
        <f t="shared" si="31"/>
        <v>Начисленные доходы по займам и финансовому лизингу, предоставленным клиентам</v>
      </c>
      <c r="F179" s="9" t="str">
        <f t="shared" si="29"/>
        <v>1</v>
      </c>
      <c r="G179" s="9" t="str">
        <f>"5"</f>
        <v>5</v>
      </c>
      <c r="H179" s="9" t="str">
        <f>"1"</f>
        <v>1</v>
      </c>
      <c r="I179" s="11">
        <v>59878698.020000003</v>
      </c>
    </row>
    <row r="180" spans="1:9" x14ac:dyDescent="0.25">
      <c r="A180" s="9">
        <v>173</v>
      </c>
      <c r="B180" s="10">
        <v>44834</v>
      </c>
      <c r="C180" s="9">
        <v>8</v>
      </c>
      <c r="D180" s="9" t="str">
        <f t="shared" si="30"/>
        <v>1740</v>
      </c>
      <c r="E180" s="9" t="str">
        <f t="shared" si="31"/>
        <v>Начисленные доходы по займам и финансовому лизингу, предоставленным клиентам</v>
      </c>
      <c r="F180" s="9" t="str">
        <f t="shared" si="29"/>
        <v>1</v>
      </c>
      <c r="G180" s="9" t="str">
        <f>"9"</f>
        <v>9</v>
      </c>
      <c r="H180" s="9" t="str">
        <f>"1"</f>
        <v>1</v>
      </c>
      <c r="I180" s="11">
        <v>4331279416.9899998</v>
      </c>
    </row>
    <row r="181" spans="1:9" x14ac:dyDescent="0.25">
      <c r="A181" s="9">
        <v>174</v>
      </c>
      <c r="B181" s="10">
        <v>44834</v>
      </c>
      <c r="C181" s="9">
        <v>8</v>
      </c>
      <c r="D181" s="9" t="str">
        <f t="shared" si="30"/>
        <v>1740</v>
      </c>
      <c r="E181" s="9" t="str">
        <f t="shared" si="31"/>
        <v>Начисленные доходы по займам и финансовому лизингу, предоставленным клиентам</v>
      </c>
      <c r="F181" s="9" t="str">
        <f t="shared" si="29"/>
        <v>1</v>
      </c>
      <c r="G181" s="9" t="str">
        <f>"7"</f>
        <v>7</v>
      </c>
      <c r="H181" s="9" t="str">
        <f>"3"</f>
        <v>3</v>
      </c>
      <c r="I181" s="11">
        <v>2089228.04</v>
      </c>
    </row>
    <row r="182" spans="1:9" x14ac:dyDescent="0.25">
      <c r="A182" s="9">
        <v>175</v>
      </c>
      <c r="B182" s="10">
        <v>44834</v>
      </c>
      <c r="C182" s="9">
        <v>8</v>
      </c>
      <c r="D182" s="9" t="str">
        <f t="shared" si="30"/>
        <v>1740</v>
      </c>
      <c r="E182" s="9" t="str">
        <f t="shared" si="31"/>
        <v>Начисленные доходы по займам и финансовому лизингу, предоставленным клиентам</v>
      </c>
      <c r="F182" s="9" t="str">
        <f t="shared" si="29"/>
        <v>1</v>
      </c>
      <c r="G182" s="9" t="str">
        <f>"9"</f>
        <v>9</v>
      </c>
      <c r="H182" s="9" t="str">
        <f>"2"</f>
        <v>2</v>
      </c>
      <c r="I182" s="11">
        <v>3059825.11</v>
      </c>
    </row>
    <row r="183" spans="1:9" x14ac:dyDescent="0.25">
      <c r="A183" s="9">
        <v>176</v>
      </c>
      <c r="B183" s="10">
        <v>44834</v>
      </c>
      <c r="C183" s="9">
        <v>8</v>
      </c>
      <c r="D183" s="9" t="str">
        <f>"1698"</f>
        <v>1698</v>
      </c>
      <c r="E183" s="9" t="str">
        <f>"Начисленная амортизация по транспортным средствам"</f>
        <v>Начисленная амортизация по транспортным средствам</v>
      </c>
      <c r="F183" s="9" t="str">
        <f>""</f>
        <v/>
      </c>
      <c r="G183" s="9" t="str">
        <f>""</f>
        <v/>
      </c>
      <c r="H183" s="9" t="str">
        <f>""</f>
        <v/>
      </c>
      <c r="I183" s="11">
        <v>-363824546.66000003</v>
      </c>
    </row>
    <row r="184" spans="1:9" x14ac:dyDescent="0.25">
      <c r="A184" s="9">
        <v>177</v>
      </c>
      <c r="B184" s="10">
        <v>44834</v>
      </c>
      <c r="C184" s="9">
        <v>8</v>
      </c>
      <c r="D184" s="9" t="str">
        <f t="shared" ref="D184:D194" si="32">"1746"</f>
        <v>1746</v>
      </c>
      <c r="E184" s="9" t="str">
        <f t="shared" ref="E184:E194" si="33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84" s="9" t="str">
        <f>"1"</f>
        <v>1</v>
      </c>
      <c r="G184" s="9" t="str">
        <f>"5"</f>
        <v>5</v>
      </c>
      <c r="H184" s="9" t="str">
        <f>"1"</f>
        <v>1</v>
      </c>
      <c r="I184" s="11">
        <v>160638889.00999999</v>
      </c>
    </row>
    <row r="185" spans="1:9" x14ac:dyDescent="0.25">
      <c r="A185" s="9">
        <v>178</v>
      </c>
      <c r="B185" s="10">
        <v>44834</v>
      </c>
      <c r="C185" s="9">
        <v>8</v>
      </c>
      <c r="D185" s="9" t="str">
        <f t="shared" si="32"/>
        <v>1746</v>
      </c>
      <c r="E185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85" s="9" t="str">
        <f>"1"</f>
        <v>1</v>
      </c>
      <c r="G185" s="9" t="str">
        <f>"4"</f>
        <v>4</v>
      </c>
      <c r="H185" s="9" t="str">
        <f>"2"</f>
        <v>2</v>
      </c>
      <c r="I185" s="11">
        <v>36563671.299999997</v>
      </c>
    </row>
    <row r="186" spans="1:9" x14ac:dyDescent="0.25">
      <c r="A186" s="9">
        <v>179</v>
      </c>
      <c r="B186" s="10">
        <v>44834</v>
      </c>
      <c r="C186" s="9">
        <v>8</v>
      </c>
      <c r="D186" s="9" t="str">
        <f t="shared" si="32"/>
        <v>1746</v>
      </c>
      <c r="E186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86" s="9" t="str">
        <f>"1"</f>
        <v>1</v>
      </c>
      <c r="G186" s="9" t="str">
        <f>"7"</f>
        <v>7</v>
      </c>
      <c r="H186" s="9" t="str">
        <f>"2"</f>
        <v>2</v>
      </c>
      <c r="I186" s="11">
        <v>463528.97</v>
      </c>
    </row>
    <row r="187" spans="1:9" x14ac:dyDescent="0.25">
      <c r="A187" s="9">
        <v>180</v>
      </c>
      <c r="B187" s="10">
        <v>44834</v>
      </c>
      <c r="C187" s="9">
        <v>8</v>
      </c>
      <c r="D187" s="9" t="str">
        <f t="shared" si="32"/>
        <v>1746</v>
      </c>
      <c r="E187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87" s="9" t="str">
        <f>"2"</f>
        <v>2</v>
      </c>
      <c r="G187" s="9" t="str">
        <f>"5"</f>
        <v>5</v>
      </c>
      <c r="H187" s="9" t="str">
        <f>"1"</f>
        <v>1</v>
      </c>
      <c r="I187" s="11">
        <v>35753844.939999998</v>
      </c>
    </row>
    <row r="188" spans="1:9" x14ac:dyDescent="0.25">
      <c r="A188" s="9">
        <v>181</v>
      </c>
      <c r="B188" s="10">
        <v>44834</v>
      </c>
      <c r="C188" s="9">
        <v>8</v>
      </c>
      <c r="D188" s="9" t="str">
        <f t="shared" si="32"/>
        <v>1746</v>
      </c>
      <c r="E188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88" s="9" t="str">
        <f>"2"</f>
        <v>2</v>
      </c>
      <c r="G188" s="9" t="str">
        <f>"7"</f>
        <v>7</v>
      </c>
      <c r="H188" s="9" t="str">
        <f>"2"</f>
        <v>2</v>
      </c>
      <c r="I188" s="11">
        <v>10917984.25</v>
      </c>
    </row>
    <row r="189" spans="1:9" x14ac:dyDescent="0.25">
      <c r="A189" s="9">
        <v>182</v>
      </c>
      <c r="B189" s="10">
        <v>44834</v>
      </c>
      <c r="C189" s="9">
        <v>8</v>
      </c>
      <c r="D189" s="9" t="str">
        <f t="shared" si="32"/>
        <v>1746</v>
      </c>
      <c r="E189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89" s="9" t="str">
        <f>"2"</f>
        <v>2</v>
      </c>
      <c r="G189" s="9" t="str">
        <f>"3"</f>
        <v>3</v>
      </c>
      <c r="H189" s="9" t="str">
        <f>"1"</f>
        <v>1</v>
      </c>
      <c r="I189" s="11">
        <v>29161767.579999998</v>
      </c>
    </row>
    <row r="190" spans="1:9" x14ac:dyDescent="0.25">
      <c r="A190" s="9">
        <v>183</v>
      </c>
      <c r="B190" s="10">
        <v>44834</v>
      </c>
      <c r="C190" s="9">
        <v>8</v>
      </c>
      <c r="D190" s="9" t="str">
        <f t="shared" si="32"/>
        <v>1746</v>
      </c>
      <c r="E190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0" s="9" t="str">
        <f>"1"</f>
        <v>1</v>
      </c>
      <c r="G190" s="9" t="str">
        <f>"1"</f>
        <v>1</v>
      </c>
      <c r="H190" s="9" t="str">
        <f>"2"</f>
        <v>2</v>
      </c>
      <c r="I190" s="11">
        <v>1050059358.0599999</v>
      </c>
    </row>
    <row r="191" spans="1:9" x14ac:dyDescent="0.25">
      <c r="A191" s="9">
        <v>184</v>
      </c>
      <c r="B191" s="10">
        <v>44834</v>
      </c>
      <c r="C191" s="9">
        <v>8</v>
      </c>
      <c r="D191" s="9" t="str">
        <f t="shared" si="32"/>
        <v>1746</v>
      </c>
      <c r="E191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1" s="9" t="str">
        <f>"1"</f>
        <v>1</v>
      </c>
      <c r="G191" s="9" t="str">
        <f>"6"</f>
        <v>6</v>
      </c>
      <c r="H191" s="9" t="str">
        <f>"1"</f>
        <v>1</v>
      </c>
      <c r="I191" s="11">
        <v>58733215.710000001</v>
      </c>
    </row>
    <row r="192" spans="1:9" x14ac:dyDescent="0.25">
      <c r="A192" s="9">
        <v>185</v>
      </c>
      <c r="B192" s="10">
        <v>44834</v>
      </c>
      <c r="C192" s="9">
        <v>8</v>
      </c>
      <c r="D192" s="9" t="str">
        <f t="shared" si="32"/>
        <v>1746</v>
      </c>
      <c r="E192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2" s="9" t="str">
        <f>"1"</f>
        <v>1</v>
      </c>
      <c r="G192" s="9" t="str">
        <f>"6"</f>
        <v>6</v>
      </c>
      <c r="H192" s="9" t="str">
        <f>"2"</f>
        <v>2</v>
      </c>
      <c r="I192" s="11">
        <v>37593808.240000002</v>
      </c>
    </row>
    <row r="193" spans="1:9" x14ac:dyDescent="0.25">
      <c r="A193" s="9">
        <v>186</v>
      </c>
      <c r="B193" s="10">
        <v>44834</v>
      </c>
      <c r="C193" s="9">
        <v>8</v>
      </c>
      <c r="D193" s="9" t="str">
        <f t="shared" si="32"/>
        <v>1746</v>
      </c>
      <c r="E193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3" s="9" t="str">
        <f>"2"</f>
        <v>2</v>
      </c>
      <c r="G193" s="9" t="str">
        <f>"5"</f>
        <v>5</v>
      </c>
      <c r="H193" s="9" t="str">
        <f>"2"</f>
        <v>2</v>
      </c>
      <c r="I193" s="11">
        <v>14778038.6</v>
      </c>
    </row>
    <row r="194" spans="1:9" x14ac:dyDescent="0.25">
      <c r="A194" s="9">
        <v>187</v>
      </c>
      <c r="B194" s="10">
        <v>44834</v>
      </c>
      <c r="C194" s="9">
        <v>8</v>
      </c>
      <c r="D194" s="9" t="str">
        <f t="shared" si="32"/>
        <v>1746</v>
      </c>
      <c r="E194" s="9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4" s="9" t="str">
        <f>"1"</f>
        <v>1</v>
      </c>
      <c r="G194" s="9" t="str">
        <f>"1"</f>
        <v>1</v>
      </c>
      <c r="H194" s="9" t="str">
        <f>"1"</f>
        <v>1</v>
      </c>
      <c r="I194" s="11">
        <v>5288315025.1199999</v>
      </c>
    </row>
    <row r="195" spans="1:9" x14ac:dyDescent="0.25">
      <c r="A195" s="9">
        <v>188</v>
      </c>
      <c r="B195" s="10">
        <v>44834</v>
      </c>
      <c r="C195" s="9">
        <v>8</v>
      </c>
      <c r="D195" s="9" t="str">
        <f>"1492"</f>
        <v>1492</v>
      </c>
      <c r="E195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95" s="9" t="str">
        <f t="shared" ref="F195:F202" si="34">"1"</f>
        <v>1</v>
      </c>
      <c r="G195" s="9" t="str">
        <f>"9"</f>
        <v>9</v>
      </c>
      <c r="H195" s="9" t="str">
        <f>"1"</f>
        <v>1</v>
      </c>
      <c r="I195" s="11">
        <v>-11849522537.17</v>
      </c>
    </row>
    <row r="196" spans="1:9" x14ac:dyDescent="0.25">
      <c r="A196" s="9">
        <v>189</v>
      </c>
      <c r="B196" s="10">
        <v>44834</v>
      </c>
      <c r="C196" s="9">
        <v>8</v>
      </c>
      <c r="D196" s="9" t="str">
        <f>"1492"</f>
        <v>1492</v>
      </c>
      <c r="E196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96" s="9" t="str">
        <f t="shared" si="34"/>
        <v>1</v>
      </c>
      <c r="G196" s="9" t="str">
        <f>"7"</f>
        <v>7</v>
      </c>
      <c r="H196" s="9" t="str">
        <f>"1"</f>
        <v>1</v>
      </c>
      <c r="I196" s="11">
        <v>-4671685827.9799995</v>
      </c>
    </row>
    <row r="197" spans="1:9" x14ac:dyDescent="0.25">
      <c r="A197" s="9">
        <v>190</v>
      </c>
      <c r="B197" s="10">
        <v>44834</v>
      </c>
      <c r="C197" s="9">
        <v>8</v>
      </c>
      <c r="D197" s="9" t="str">
        <f>"1492"</f>
        <v>1492</v>
      </c>
      <c r="E197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97" s="9" t="str">
        <f t="shared" si="34"/>
        <v>1</v>
      </c>
      <c r="G197" s="9" t="str">
        <f>"5"</f>
        <v>5</v>
      </c>
      <c r="H197" s="9" t="str">
        <f>"1"</f>
        <v>1</v>
      </c>
      <c r="I197" s="11">
        <v>-3610014293.4499998</v>
      </c>
    </row>
    <row r="198" spans="1:9" x14ac:dyDescent="0.25">
      <c r="A198" s="9">
        <v>191</v>
      </c>
      <c r="B198" s="10">
        <v>44834</v>
      </c>
      <c r="C198" s="9">
        <v>8</v>
      </c>
      <c r="D198" s="9" t="str">
        <f>"1816"</f>
        <v>1816</v>
      </c>
      <c r="E198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98" s="9" t="str">
        <f t="shared" si="34"/>
        <v>1</v>
      </c>
      <c r="G198" s="9" t="str">
        <f>""</f>
        <v/>
      </c>
      <c r="H198" s="9" t="str">
        <f>"2"</f>
        <v>2</v>
      </c>
      <c r="I198" s="11">
        <v>2492513.9900000002</v>
      </c>
    </row>
    <row r="199" spans="1:9" x14ac:dyDescent="0.25">
      <c r="A199" s="9">
        <v>192</v>
      </c>
      <c r="B199" s="10">
        <v>44834</v>
      </c>
      <c r="C199" s="9">
        <v>8</v>
      </c>
      <c r="D199" s="9" t="str">
        <f>"1816"</f>
        <v>1816</v>
      </c>
      <c r="E199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99" s="9" t="str">
        <f t="shared" si="34"/>
        <v>1</v>
      </c>
      <c r="G199" s="9" t="str">
        <f>""</f>
        <v/>
      </c>
      <c r="H199" s="9" t="str">
        <f>"1"</f>
        <v>1</v>
      </c>
      <c r="I199" s="11">
        <v>66707611.859999999</v>
      </c>
    </row>
    <row r="200" spans="1:9" x14ac:dyDescent="0.25">
      <c r="A200" s="9">
        <v>193</v>
      </c>
      <c r="B200" s="10">
        <v>44834</v>
      </c>
      <c r="C200" s="9">
        <v>8</v>
      </c>
      <c r="D200" s="9" t="str">
        <f>"1816"</f>
        <v>1816</v>
      </c>
      <c r="E200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0" s="9" t="str">
        <f t="shared" si="34"/>
        <v>1</v>
      </c>
      <c r="G200" s="9" t="str">
        <f>""</f>
        <v/>
      </c>
      <c r="H200" s="9" t="str">
        <f>"3"</f>
        <v>3</v>
      </c>
      <c r="I200" s="11">
        <v>96082832.650000006</v>
      </c>
    </row>
    <row r="201" spans="1:9" x14ac:dyDescent="0.25">
      <c r="A201" s="9">
        <v>194</v>
      </c>
      <c r="B201" s="10">
        <v>44834</v>
      </c>
      <c r="C201" s="9">
        <v>8</v>
      </c>
      <c r="D201" s="9" t="str">
        <f>"1793"</f>
        <v>1793</v>
      </c>
      <c r="E201" s="9" t="str">
        <f>"Расходы будущих периодов"</f>
        <v>Расходы будущих периодов</v>
      </c>
      <c r="F201" s="9" t="str">
        <f t="shared" si="34"/>
        <v>1</v>
      </c>
      <c r="G201" s="9" t="str">
        <f>"7"</f>
        <v>7</v>
      </c>
      <c r="H201" s="9" t="str">
        <f t="shared" ref="H201:H211" si="35">"1"</f>
        <v>1</v>
      </c>
      <c r="I201" s="11">
        <v>323608573.20999998</v>
      </c>
    </row>
    <row r="202" spans="1:9" x14ac:dyDescent="0.25">
      <c r="A202" s="9">
        <v>195</v>
      </c>
      <c r="B202" s="10">
        <v>44834</v>
      </c>
      <c r="C202" s="9">
        <v>8</v>
      </c>
      <c r="D202" s="9" t="str">
        <f>"1793"</f>
        <v>1793</v>
      </c>
      <c r="E202" s="9" t="str">
        <f>"Расходы будущих периодов"</f>
        <v>Расходы будущих периодов</v>
      </c>
      <c r="F202" s="9" t="str">
        <f t="shared" si="34"/>
        <v>1</v>
      </c>
      <c r="G202" s="9" t="str">
        <f>"5"</f>
        <v>5</v>
      </c>
      <c r="H202" s="9" t="str">
        <f t="shared" si="35"/>
        <v>1</v>
      </c>
      <c r="I202" s="11">
        <v>9473720.1799999997</v>
      </c>
    </row>
    <row r="203" spans="1:9" x14ac:dyDescent="0.25">
      <c r="A203" s="9">
        <v>196</v>
      </c>
      <c r="B203" s="10">
        <v>44834</v>
      </c>
      <c r="C203" s="9">
        <v>8</v>
      </c>
      <c r="D203" s="9" t="str">
        <f>"1793"</f>
        <v>1793</v>
      </c>
      <c r="E203" s="9" t="str">
        <f>"Расходы будущих периодов"</f>
        <v>Расходы будущих периодов</v>
      </c>
      <c r="F203" s="9" t="str">
        <f>"2"</f>
        <v>2</v>
      </c>
      <c r="G203" s="9" t="str">
        <f>"7"</f>
        <v>7</v>
      </c>
      <c r="H203" s="9" t="str">
        <f t="shared" si="35"/>
        <v>1</v>
      </c>
      <c r="I203" s="11">
        <v>5506256.1600000001</v>
      </c>
    </row>
    <row r="204" spans="1:9" x14ac:dyDescent="0.25">
      <c r="A204" s="9">
        <v>197</v>
      </c>
      <c r="B204" s="10">
        <v>44834</v>
      </c>
      <c r="C204" s="9">
        <v>8</v>
      </c>
      <c r="D204" s="9" t="str">
        <f>"1819"</f>
        <v>1819</v>
      </c>
      <c r="E204" s="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04" s="9" t="str">
        <f>"1"</f>
        <v>1</v>
      </c>
      <c r="G204" s="9" t="str">
        <f>""</f>
        <v/>
      </c>
      <c r="H204" s="9" t="str">
        <f t="shared" si="35"/>
        <v>1</v>
      </c>
      <c r="I204" s="11">
        <v>6217510.3399999999</v>
      </c>
    </row>
    <row r="205" spans="1:9" x14ac:dyDescent="0.25">
      <c r="A205" s="9">
        <v>198</v>
      </c>
      <c r="B205" s="10">
        <v>44834</v>
      </c>
      <c r="C205" s="9">
        <v>8</v>
      </c>
      <c r="D205" s="9" t="str">
        <f>"1818"</f>
        <v>1818</v>
      </c>
      <c r="E205" s="9" t="str">
        <f>"Начисленные прочие комиссионные доходы"</f>
        <v>Начисленные прочие комиссионные доходы</v>
      </c>
      <c r="F205" s="9" t="str">
        <f>"2"</f>
        <v>2</v>
      </c>
      <c r="G205" s="9" t="str">
        <f>""</f>
        <v/>
      </c>
      <c r="H205" s="9" t="str">
        <f t="shared" si="35"/>
        <v>1</v>
      </c>
      <c r="I205" s="11">
        <v>16012.45</v>
      </c>
    </row>
    <row r="206" spans="1:9" x14ac:dyDescent="0.25">
      <c r="A206" s="9">
        <v>199</v>
      </c>
      <c r="B206" s="10">
        <v>44834</v>
      </c>
      <c r="C206" s="9">
        <v>8</v>
      </c>
      <c r="D206" s="9" t="str">
        <f>"1818"</f>
        <v>1818</v>
      </c>
      <c r="E206" s="9" t="str">
        <f>"Начисленные прочие комиссионные доходы"</f>
        <v>Начисленные прочие комиссионные доходы</v>
      </c>
      <c r="F206" s="9" t="str">
        <f>"1"</f>
        <v>1</v>
      </c>
      <c r="G206" s="9" t="str">
        <f>""</f>
        <v/>
      </c>
      <c r="H206" s="9" t="str">
        <f t="shared" si="35"/>
        <v>1</v>
      </c>
      <c r="I206" s="11">
        <v>2294846.65</v>
      </c>
    </row>
    <row r="207" spans="1:9" x14ac:dyDescent="0.25">
      <c r="A207" s="9">
        <v>200</v>
      </c>
      <c r="B207" s="10">
        <v>44834</v>
      </c>
      <c r="C207" s="9">
        <v>8</v>
      </c>
      <c r="D207" s="9" t="str">
        <f>"1799"</f>
        <v>1799</v>
      </c>
      <c r="E207" s="9" t="str">
        <f>"Прочие предоплаты"</f>
        <v>Прочие предоплаты</v>
      </c>
      <c r="F207" s="9" t="str">
        <f>"1"</f>
        <v>1</v>
      </c>
      <c r="G207" s="9" t="str">
        <f>"9"</f>
        <v>9</v>
      </c>
      <c r="H207" s="9" t="str">
        <f t="shared" si="35"/>
        <v>1</v>
      </c>
      <c r="I207" s="11">
        <v>7820505</v>
      </c>
    </row>
    <row r="208" spans="1:9" x14ac:dyDescent="0.25">
      <c r="A208" s="9">
        <v>201</v>
      </c>
      <c r="B208" s="10">
        <v>44834</v>
      </c>
      <c r="C208" s="9">
        <v>8</v>
      </c>
      <c r="D208" s="9" t="str">
        <f>"1799"</f>
        <v>1799</v>
      </c>
      <c r="E208" s="9" t="str">
        <f>"Прочие предоплаты"</f>
        <v>Прочие предоплаты</v>
      </c>
      <c r="F208" s="9" t="str">
        <f>"1"</f>
        <v>1</v>
      </c>
      <c r="G208" s="9" t="str">
        <f>"7"</f>
        <v>7</v>
      </c>
      <c r="H208" s="9" t="str">
        <f t="shared" si="35"/>
        <v>1</v>
      </c>
      <c r="I208" s="11">
        <v>162854123.84999999</v>
      </c>
    </row>
    <row r="209" spans="1:9" x14ac:dyDescent="0.25">
      <c r="A209" s="9">
        <v>202</v>
      </c>
      <c r="B209" s="10">
        <v>44834</v>
      </c>
      <c r="C209" s="9">
        <v>8</v>
      </c>
      <c r="D209" s="9" t="str">
        <f>"1799"</f>
        <v>1799</v>
      </c>
      <c r="E209" s="9" t="str">
        <f>"Прочие предоплаты"</f>
        <v>Прочие предоплаты</v>
      </c>
      <c r="F209" s="9" t="str">
        <f>"2"</f>
        <v>2</v>
      </c>
      <c r="G209" s="9" t="str">
        <f>"7"</f>
        <v>7</v>
      </c>
      <c r="H209" s="9" t="str">
        <f t="shared" si="35"/>
        <v>1</v>
      </c>
      <c r="I209" s="11">
        <v>111055806.86</v>
      </c>
    </row>
    <row r="210" spans="1:9" x14ac:dyDescent="0.25">
      <c r="A210" s="9">
        <v>203</v>
      </c>
      <c r="B210" s="10">
        <v>44834</v>
      </c>
      <c r="C210" s="9">
        <v>8</v>
      </c>
      <c r="D210" s="9" t="str">
        <f>"1799"</f>
        <v>1799</v>
      </c>
      <c r="E210" s="9" t="str">
        <f>"Прочие предоплаты"</f>
        <v>Прочие предоплаты</v>
      </c>
      <c r="F210" s="9" t="str">
        <f>"1"</f>
        <v>1</v>
      </c>
      <c r="G210" s="9" t="str">
        <f>"6"</f>
        <v>6</v>
      </c>
      <c r="H210" s="9" t="str">
        <f t="shared" si="35"/>
        <v>1</v>
      </c>
      <c r="I210" s="11">
        <v>544031.64</v>
      </c>
    </row>
    <row r="211" spans="1:9" x14ac:dyDescent="0.25">
      <c r="A211" s="9">
        <v>204</v>
      </c>
      <c r="B211" s="10">
        <v>44834</v>
      </c>
      <c r="C211" s="9">
        <v>8</v>
      </c>
      <c r="D211" s="9" t="str">
        <f>"1821"</f>
        <v>1821</v>
      </c>
      <c r="E211" s="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11" s="9" t="str">
        <f>"1"</f>
        <v>1</v>
      </c>
      <c r="G211" s="9" t="str">
        <f>""</f>
        <v/>
      </c>
      <c r="H211" s="9" t="str">
        <f t="shared" si="35"/>
        <v>1</v>
      </c>
      <c r="I211" s="11">
        <v>15949.69</v>
      </c>
    </row>
    <row r="212" spans="1:9" x14ac:dyDescent="0.25">
      <c r="A212" s="9">
        <v>205</v>
      </c>
      <c r="B212" s="10">
        <v>44834</v>
      </c>
      <c r="C212" s="9">
        <v>8</v>
      </c>
      <c r="D212" s="9" t="str">
        <f>"1692"</f>
        <v>1692</v>
      </c>
      <c r="E212" s="9" t="str">
        <f>"Начисленная амортизация по зданиям и сооружениям"</f>
        <v>Начисленная амортизация по зданиям и сооружениям</v>
      </c>
      <c r="F212" s="9" t="str">
        <f>""</f>
        <v/>
      </c>
      <c r="G212" s="9" t="str">
        <f>""</f>
        <v/>
      </c>
      <c r="H212" s="9" t="str">
        <f>""</f>
        <v/>
      </c>
      <c r="I212" s="11">
        <v>-1651224892.96</v>
      </c>
    </row>
    <row r="213" spans="1:9" x14ac:dyDescent="0.25">
      <c r="A213" s="9">
        <v>206</v>
      </c>
      <c r="B213" s="10">
        <v>44834</v>
      </c>
      <c r="C213" s="9">
        <v>8</v>
      </c>
      <c r="D213" s="9" t="str">
        <f>"1817"</f>
        <v>1817</v>
      </c>
      <c r="E213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13" s="9" t="str">
        <f>"2"</f>
        <v>2</v>
      </c>
      <c r="G213" s="9" t="str">
        <f>""</f>
        <v/>
      </c>
      <c r="H213" s="9" t="str">
        <f>"1"</f>
        <v>1</v>
      </c>
      <c r="I213" s="11">
        <v>539533.4</v>
      </c>
    </row>
    <row r="214" spans="1:9" x14ac:dyDescent="0.25">
      <c r="A214" s="9">
        <v>207</v>
      </c>
      <c r="B214" s="10">
        <v>44834</v>
      </c>
      <c r="C214" s="9">
        <v>8</v>
      </c>
      <c r="D214" s="9" t="str">
        <f>"1817"</f>
        <v>1817</v>
      </c>
      <c r="E214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14" s="9" t="str">
        <f>"1"</f>
        <v>1</v>
      </c>
      <c r="G214" s="9" t="str">
        <f>""</f>
        <v/>
      </c>
      <c r="H214" s="9" t="str">
        <f>"1"</f>
        <v>1</v>
      </c>
      <c r="I214" s="11">
        <v>1256126.49</v>
      </c>
    </row>
    <row r="215" spans="1:9" x14ac:dyDescent="0.25">
      <c r="A215" s="9">
        <v>208</v>
      </c>
      <c r="B215" s="10">
        <v>44834</v>
      </c>
      <c r="C215" s="9">
        <v>8</v>
      </c>
      <c r="D215" s="9" t="str">
        <f>"1822"</f>
        <v>1822</v>
      </c>
      <c r="E215" s="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15" s="9" t="str">
        <f>"1"</f>
        <v>1</v>
      </c>
      <c r="G215" s="9" t="str">
        <f>""</f>
        <v/>
      </c>
      <c r="H215" s="9" t="str">
        <f>"1"</f>
        <v>1</v>
      </c>
      <c r="I215" s="11">
        <v>307787.21999999997</v>
      </c>
    </row>
    <row r="216" spans="1:9" x14ac:dyDescent="0.25">
      <c r="A216" s="9">
        <v>209</v>
      </c>
      <c r="B216" s="10">
        <v>44834</v>
      </c>
      <c r="C216" s="9">
        <v>8</v>
      </c>
      <c r="D216" s="9" t="str">
        <f>"1822"</f>
        <v>1822</v>
      </c>
      <c r="E216" s="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16" s="9" t="str">
        <f>"1"</f>
        <v>1</v>
      </c>
      <c r="G216" s="9" t="str">
        <f>""</f>
        <v/>
      </c>
      <c r="H216" s="9" t="str">
        <f>"2"</f>
        <v>2</v>
      </c>
      <c r="I216" s="11">
        <v>608515.55000000005</v>
      </c>
    </row>
    <row r="217" spans="1:9" x14ac:dyDescent="0.25">
      <c r="A217" s="9">
        <v>210</v>
      </c>
      <c r="B217" s="10">
        <v>44834</v>
      </c>
      <c r="C217" s="9">
        <v>8</v>
      </c>
      <c r="D217" s="9" t="str">
        <f>"1811"</f>
        <v>1811</v>
      </c>
      <c r="E217" s="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7" s="9" t="str">
        <f>"1"</f>
        <v>1</v>
      </c>
      <c r="G217" s="9" t="str">
        <f>""</f>
        <v/>
      </c>
      <c r="H217" s="9" t="str">
        <f>"1"</f>
        <v>1</v>
      </c>
      <c r="I217" s="11">
        <v>393946.13</v>
      </c>
    </row>
    <row r="218" spans="1:9" x14ac:dyDescent="0.25">
      <c r="A218" s="9">
        <v>211</v>
      </c>
      <c r="B218" s="10">
        <v>44834</v>
      </c>
      <c r="C218" s="9">
        <v>8</v>
      </c>
      <c r="D218" s="9" t="str">
        <f>"1811"</f>
        <v>1811</v>
      </c>
      <c r="E218" s="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8" s="9" t="str">
        <f>"2"</f>
        <v>2</v>
      </c>
      <c r="G218" s="9" t="str">
        <f>""</f>
        <v/>
      </c>
      <c r="H218" s="9" t="str">
        <f>"1"</f>
        <v>1</v>
      </c>
      <c r="I218" s="11">
        <v>216173.45</v>
      </c>
    </row>
    <row r="219" spans="1:9" x14ac:dyDescent="0.25">
      <c r="A219" s="9">
        <v>212</v>
      </c>
      <c r="B219" s="10">
        <v>44834</v>
      </c>
      <c r="C219" s="9">
        <v>8</v>
      </c>
      <c r="D219" s="9" t="str">
        <f>"1725"</f>
        <v>1725</v>
      </c>
      <c r="E219" s="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19" s="9" t="str">
        <f>"2"</f>
        <v>2</v>
      </c>
      <c r="G219" s="9" t="str">
        <f>"4"</f>
        <v>4</v>
      </c>
      <c r="H219" s="9" t="str">
        <f>"3"</f>
        <v>3</v>
      </c>
      <c r="I219" s="11">
        <v>31951232.719999999</v>
      </c>
    </row>
    <row r="220" spans="1:9" x14ac:dyDescent="0.25">
      <c r="A220" s="9">
        <v>213</v>
      </c>
      <c r="B220" s="10">
        <v>44834</v>
      </c>
      <c r="C220" s="9">
        <v>8</v>
      </c>
      <c r="D220" s="9" t="str">
        <f>"1602"</f>
        <v>1602</v>
      </c>
      <c r="E220" s="9" t="str">
        <f>"Прочие запасы"</f>
        <v>Прочие запасы</v>
      </c>
      <c r="F220" s="9" t="str">
        <f>""</f>
        <v/>
      </c>
      <c r="G220" s="9" t="str">
        <f>""</f>
        <v/>
      </c>
      <c r="H220" s="9" t="str">
        <f>""</f>
        <v/>
      </c>
      <c r="I220" s="11">
        <v>3520147405.1900001</v>
      </c>
    </row>
    <row r="221" spans="1:9" x14ac:dyDescent="0.25">
      <c r="A221" s="9">
        <v>214</v>
      </c>
      <c r="B221" s="10">
        <v>44834</v>
      </c>
      <c r="C221" s="9">
        <v>8</v>
      </c>
      <c r="D221" s="9" t="str">
        <f>"1836"</f>
        <v>1836</v>
      </c>
      <c r="E221" s="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21" s="9" t="str">
        <f>"1"</f>
        <v>1</v>
      </c>
      <c r="G221" s="9" t="str">
        <f>""</f>
        <v/>
      </c>
      <c r="H221" s="9" t="str">
        <f>"1"</f>
        <v>1</v>
      </c>
      <c r="I221" s="11">
        <v>94672142.819999993</v>
      </c>
    </row>
    <row r="222" spans="1:9" x14ac:dyDescent="0.25">
      <c r="A222" s="9">
        <v>215</v>
      </c>
      <c r="B222" s="10">
        <v>44834</v>
      </c>
      <c r="C222" s="9">
        <v>8</v>
      </c>
      <c r="D222" s="9" t="str">
        <f>"1836"</f>
        <v>1836</v>
      </c>
      <c r="E222" s="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22" s="9" t="str">
        <f>"1"</f>
        <v>1</v>
      </c>
      <c r="G222" s="9" t="str">
        <f>""</f>
        <v/>
      </c>
      <c r="H222" s="9" t="str">
        <f>"2"</f>
        <v>2</v>
      </c>
      <c r="I222" s="11">
        <v>467030</v>
      </c>
    </row>
    <row r="223" spans="1:9" x14ac:dyDescent="0.25">
      <c r="A223" s="9">
        <v>216</v>
      </c>
      <c r="B223" s="10">
        <v>44834</v>
      </c>
      <c r="C223" s="9">
        <v>8</v>
      </c>
      <c r="D223" s="9" t="str">
        <f>"1837"</f>
        <v>1837</v>
      </c>
      <c r="E223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23" s="9" t="str">
        <f>"1"</f>
        <v>1</v>
      </c>
      <c r="G223" s="9" t="str">
        <f>""</f>
        <v/>
      </c>
      <c r="H223" s="9" t="str">
        <f t="shared" ref="H223:H232" si="36">"1"</f>
        <v>1</v>
      </c>
      <c r="I223" s="11">
        <v>15516336.16</v>
      </c>
    </row>
    <row r="224" spans="1:9" x14ac:dyDescent="0.25">
      <c r="A224" s="9">
        <v>217</v>
      </c>
      <c r="B224" s="10">
        <v>44834</v>
      </c>
      <c r="C224" s="9">
        <v>8</v>
      </c>
      <c r="D224" s="9" t="str">
        <f>"1837"</f>
        <v>1837</v>
      </c>
      <c r="E224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24" s="9" t="str">
        <f>"2"</f>
        <v>2</v>
      </c>
      <c r="G224" s="9" t="str">
        <f>""</f>
        <v/>
      </c>
      <c r="H224" s="9" t="str">
        <f t="shared" si="36"/>
        <v>1</v>
      </c>
      <c r="I224" s="11">
        <v>4143828.35</v>
      </c>
    </row>
    <row r="225" spans="1:9" x14ac:dyDescent="0.25">
      <c r="A225" s="9">
        <v>218</v>
      </c>
      <c r="B225" s="10">
        <v>44834</v>
      </c>
      <c r="C225" s="9">
        <v>8</v>
      </c>
      <c r="D225" s="9" t="str">
        <f>"1845"</f>
        <v>1845</v>
      </c>
      <c r="E225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5" s="9" t="str">
        <f>"2"</f>
        <v>2</v>
      </c>
      <c r="G225" s="9" t="str">
        <f>""</f>
        <v/>
      </c>
      <c r="H225" s="9" t="str">
        <f t="shared" si="36"/>
        <v>1</v>
      </c>
      <c r="I225" s="11">
        <v>-49471.41</v>
      </c>
    </row>
    <row r="226" spans="1:9" x14ac:dyDescent="0.25">
      <c r="A226" s="9">
        <v>219</v>
      </c>
      <c r="B226" s="10">
        <v>44834</v>
      </c>
      <c r="C226" s="9">
        <v>8</v>
      </c>
      <c r="D226" s="9" t="str">
        <f>"1845"</f>
        <v>1845</v>
      </c>
      <c r="E226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6" s="9" t="str">
        <f>"1"</f>
        <v>1</v>
      </c>
      <c r="G226" s="9" t="str">
        <f>""</f>
        <v/>
      </c>
      <c r="H226" s="9" t="str">
        <f t="shared" si="36"/>
        <v>1</v>
      </c>
      <c r="I226" s="11">
        <v>-244764915.36000001</v>
      </c>
    </row>
    <row r="227" spans="1:9" x14ac:dyDescent="0.25">
      <c r="A227" s="9">
        <v>220</v>
      </c>
      <c r="B227" s="10">
        <v>44834</v>
      </c>
      <c r="C227" s="9">
        <v>8</v>
      </c>
      <c r="D227" s="9" t="str">
        <f>"1831"</f>
        <v>1831</v>
      </c>
      <c r="E227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27" s="9" t="str">
        <f>"2"</f>
        <v>2</v>
      </c>
      <c r="G227" s="9" t="str">
        <f>""</f>
        <v/>
      </c>
      <c r="H227" s="9" t="str">
        <f t="shared" si="36"/>
        <v>1</v>
      </c>
      <c r="I227" s="11">
        <v>89581.33</v>
      </c>
    </row>
    <row r="228" spans="1:9" x14ac:dyDescent="0.25">
      <c r="A228" s="9">
        <v>221</v>
      </c>
      <c r="B228" s="10">
        <v>44834</v>
      </c>
      <c r="C228" s="9">
        <v>8</v>
      </c>
      <c r="D228" s="9" t="str">
        <f>"1831"</f>
        <v>1831</v>
      </c>
      <c r="E228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28" s="9" t="str">
        <f>"1"</f>
        <v>1</v>
      </c>
      <c r="G228" s="9" t="str">
        <f>""</f>
        <v/>
      </c>
      <c r="H228" s="9" t="str">
        <f t="shared" si="36"/>
        <v>1</v>
      </c>
      <c r="I228" s="11">
        <v>2818078.22</v>
      </c>
    </row>
    <row r="229" spans="1:9" x14ac:dyDescent="0.25">
      <c r="A229" s="9">
        <v>222</v>
      </c>
      <c r="B229" s="10">
        <v>44834</v>
      </c>
      <c r="C229" s="9">
        <v>8</v>
      </c>
      <c r="D229" s="9" t="str">
        <f>"1851"</f>
        <v>1851</v>
      </c>
      <c r="E229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29" s="9" t="str">
        <f>"1"</f>
        <v>1</v>
      </c>
      <c r="G229" s="9" t="str">
        <f>"1"</f>
        <v>1</v>
      </c>
      <c r="H229" s="9" t="str">
        <f t="shared" si="36"/>
        <v>1</v>
      </c>
      <c r="I229" s="11">
        <v>706273933.5</v>
      </c>
    </row>
    <row r="230" spans="1:9" x14ac:dyDescent="0.25">
      <c r="A230" s="9">
        <v>223</v>
      </c>
      <c r="B230" s="10">
        <v>44834</v>
      </c>
      <c r="C230" s="9">
        <v>8</v>
      </c>
      <c r="D230" s="9" t="str">
        <f>"1838"</f>
        <v>1838</v>
      </c>
      <c r="E230" s="9" t="str">
        <f>"Просроченные прочие комиссионные доходы"</f>
        <v>Просроченные прочие комиссионные доходы</v>
      </c>
      <c r="F230" s="9" t="str">
        <f>"1"</f>
        <v>1</v>
      </c>
      <c r="G230" s="9" t="str">
        <f>""</f>
        <v/>
      </c>
      <c r="H230" s="9" t="str">
        <f t="shared" si="36"/>
        <v>1</v>
      </c>
      <c r="I230" s="11">
        <v>254069371.18000001</v>
      </c>
    </row>
    <row r="231" spans="1:9" x14ac:dyDescent="0.25">
      <c r="A231" s="9">
        <v>224</v>
      </c>
      <c r="B231" s="10">
        <v>44834</v>
      </c>
      <c r="C231" s="9">
        <v>8</v>
      </c>
      <c r="D231" s="9" t="str">
        <f>"1838"</f>
        <v>1838</v>
      </c>
      <c r="E231" s="9" t="str">
        <f>"Просроченные прочие комиссионные доходы"</f>
        <v>Просроченные прочие комиссионные доходы</v>
      </c>
      <c r="F231" s="9" t="str">
        <f>"2"</f>
        <v>2</v>
      </c>
      <c r="G231" s="9" t="str">
        <f>""</f>
        <v/>
      </c>
      <c r="H231" s="9" t="str">
        <f t="shared" si="36"/>
        <v>1</v>
      </c>
      <c r="I231" s="11">
        <v>588467.03</v>
      </c>
    </row>
    <row r="232" spans="1:9" x14ac:dyDescent="0.25">
      <c r="A232" s="9">
        <v>225</v>
      </c>
      <c r="B232" s="10">
        <v>44834</v>
      </c>
      <c r="C232" s="9">
        <v>8</v>
      </c>
      <c r="D232" s="9" t="str">
        <f>"1841"</f>
        <v>1841</v>
      </c>
      <c r="E232" s="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2" s="9" t="str">
        <f>"1"</f>
        <v>1</v>
      </c>
      <c r="G232" s="9" t="str">
        <f>""</f>
        <v/>
      </c>
      <c r="H232" s="9" t="str">
        <f t="shared" si="36"/>
        <v>1</v>
      </c>
      <c r="I232" s="11">
        <v>594473.01</v>
      </c>
    </row>
    <row r="233" spans="1:9" x14ac:dyDescent="0.25">
      <c r="A233" s="9">
        <v>226</v>
      </c>
      <c r="B233" s="10">
        <v>44834</v>
      </c>
      <c r="C233" s="9">
        <v>8</v>
      </c>
      <c r="D233" s="9" t="str">
        <f>"1855"</f>
        <v>1855</v>
      </c>
      <c r="E233" s="9" t="str">
        <f>"Дебиторы по документарным расчетам"</f>
        <v>Дебиторы по документарным расчетам</v>
      </c>
      <c r="F233" s="9" t="str">
        <f>"1"</f>
        <v>1</v>
      </c>
      <c r="G233" s="9" t="str">
        <f>"7"</f>
        <v>7</v>
      </c>
      <c r="H233" s="9" t="str">
        <f>"2"</f>
        <v>2</v>
      </c>
      <c r="I233" s="11">
        <v>1283398440</v>
      </c>
    </row>
    <row r="234" spans="1:9" x14ac:dyDescent="0.25">
      <c r="A234" s="9">
        <v>227</v>
      </c>
      <c r="B234" s="10">
        <v>44834</v>
      </c>
      <c r="C234" s="9">
        <v>8</v>
      </c>
      <c r="D234" s="9" t="str">
        <f>"1878"</f>
        <v>1878</v>
      </c>
      <c r="E234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34" s="9" t="str">
        <f>"1"</f>
        <v>1</v>
      </c>
      <c r="G234" s="9" t="str">
        <f>"7"</f>
        <v>7</v>
      </c>
      <c r="H234" s="9" t="str">
        <f t="shared" ref="H234:H245" si="37">"1"</f>
        <v>1</v>
      </c>
      <c r="I234" s="11">
        <v>-24357142.48</v>
      </c>
    </row>
    <row r="235" spans="1:9" x14ac:dyDescent="0.25">
      <c r="A235" s="9">
        <v>228</v>
      </c>
      <c r="B235" s="10">
        <v>44834</v>
      </c>
      <c r="C235" s="9">
        <v>8</v>
      </c>
      <c r="D235" s="9" t="str">
        <f>"1879"</f>
        <v>1879</v>
      </c>
      <c r="E235" s="9" t="str">
        <f>"Начисленная неустойка (штраф, пеня)"</f>
        <v>Начисленная неустойка (штраф, пеня)</v>
      </c>
      <c r="F235" s="9" t="str">
        <f>"1"</f>
        <v>1</v>
      </c>
      <c r="G235" s="9" t="str">
        <f>"9"</f>
        <v>9</v>
      </c>
      <c r="H235" s="9" t="str">
        <f t="shared" si="37"/>
        <v>1</v>
      </c>
      <c r="I235" s="11">
        <v>859362.33</v>
      </c>
    </row>
    <row r="236" spans="1:9" x14ac:dyDescent="0.25">
      <c r="A236" s="9">
        <v>229</v>
      </c>
      <c r="B236" s="10">
        <v>44834</v>
      </c>
      <c r="C236" s="9">
        <v>8</v>
      </c>
      <c r="D236" s="9" t="str">
        <f>"1879"</f>
        <v>1879</v>
      </c>
      <c r="E236" s="9" t="str">
        <f>"Начисленная неустойка (штраф, пеня)"</f>
        <v>Начисленная неустойка (штраф, пеня)</v>
      </c>
      <c r="F236" s="9" t="str">
        <f>"2"</f>
        <v>2</v>
      </c>
      <c r="G236" s="9" t="str">
        <f>"9"</f>
        <v>9</v>
      </c>
      <c r="H236" s="9" t="str">
        <f t="shared" si="37"/>
        <v>1</v>
      </c>
      <c r="I236" s="11">
        <v>361900</v>
      </c>
    </row>
    <row r="237" spans="1:9" x14ac:dyDescent="0.25">
      <c r="A237" s="9">
        <v>230</v>
      </c>
      <c r="B237" s="10">
        <v>44834</v>
      </c>
      <c r="C237" s="9">
        <v>8</v>
      </c>
      <c r="D237" s="9" t="str">
        <f>"1892"</f>
        <v>1892</v>
      </c>
      <c r="E237" s="9" t="str">
        <f>"Требования по операциям форвард"</f>
        <v>Требования по операциям форвард</v>
      </c>
      <c r="F237" s="9" t="str">
        <f>"1"</f>
        <v>1</v>
      </c>
      <c r="G237" s="9" t="str">
        <f>"7"</f>
        <v>7</v>
      </c>
      <c r="H237" s="9" t="str">
        <f t="shared" si="37"/>
        <v>1</v>
      </c>
      <c r="I237" s="11">
        <v>87032253.790000007</v>
      </c>
    </row>
    <row r="238" spans="1:9" x14ac:dyDescent="0.25">
      <c r="A238" s="9">
        <v>231</v>
      </c>
      <c r="B238" s="10">
        <v>44834</v>
      </c>
      <c r="C238" s="9">
        <v>8</v>
      </c>
      <c r="D238" s="9" t="str">
        <f>"1861"</f>
        <v>1861</v>
      </c>
      <c r="E238" s="9" t="str">
        <f>"Дебиторы по гарантиям"</f>
        <v>Дебиторы по гарантиям</v>
      </c>
      <c r="F238" s="9" t="str">
        <f>"1"</f>
        <v>1</v>
      </c>
      <c r="G238" s="9" t="str">
        <f>"9"</f>
        <v>9</v>
      </c>
      <c r="H238" s="9" t="str">
        <f t="shared" si="37"/>
        <v>1</v>
      </c>
      <c r="I238" s="11">
        <v>1864596232.8599999</v>
      </c>
    </row>
    <row r="239" spans="1:9" x14ac:dyDescent="0.25">
      <c r="A239" s="9">
        <v>232</v>
      </c>
      <c r="B239" s="10">
        <v>44834</v>
      </c>
      <c r="C239" s="9">
        <v>8</v>
      </c>
      <c r="D239" s="9" t="str">
        <f>"1861"</f>
        <v>1861</v>
      </c>
      <c r="E239" s="9" t="str">
        <f>"Дебиторы по гарантиям"</f>
        <v>Дебиторы по гарантиям</v>
      </c>
      <c r="F239" s="9" t="str">
        <f>"1"</f>
        <v>1</v>
      </c>
      <c r="G239" s="9" t="str">
        <f>"7"</f>
        <v>7</v>
      </c>
      <c r="H239" s="9" t="str">
        <f t="shared" si="37"/>
        <v>1</v>
      </c>
      <c r="I239" s="11">
        <v>951185163.25</v>
      </c>
    </row>
    <row r="240" spans="1:9" x14ac:dyDescent="0.25">
      <c r="A240" s="9">
        <v>233</v>
      </c>
      <c r="B240" s="10">
        <v>44834</v>
      </c>
      <c r="C240" s="9">
        <v>8</v>
      </c>
      <c r="D240" s="9" t="str">
        <f>"1894"</f>
        <v>1894</v>
      </c>
      <c r="E240" s="9" t="str">
        <f>"Требования по операциям спот"</f>
        <v>Требования по операциям спот</v>
      </c>
      <c r="F240" s="9" t="str">
        <f>"2"</f>
        <v>2</v>
      </c>
      <c r="G240" s="9" t="str">
        <f>"4"</f>
        <v>4</v>
      </c>
      <c r="H240" s="9" t="str">
        <f t="shared" si="37"/>
        <v>1</v>
      </c>
      <c r="I240" s="11">
        <v>182252419.05000001</v>
      </c>
    </row>
    <row r="241" spans="1:9" x14ac:dyDescent="0.25">
      <c r="A241" s="9">
        <v>234</v>
      </c>
      <c r="B241" s="10">
        <v>44834</v>
      </c>
      <c r="C241" s="9">
        <v>8</v>
      </c>
      <c r="D241" s="9" t="str">
        <f>"1894"</f>
        <v>1894</v>
      </c>
      <c r="E241" s="9" t="str">
        <f>"Требования по операциям спот"</f>
        <v>Требования по операциям спот</v>
      </c>
      <c r="F241" s="9" t="str">
        <f>"1"</f>
        <v>1</v>
      </c>
      <c r="G241" s="9" t="str">
        <f>"5"</f>
        <v>5</v>
      </c>
      <c r="H241" s="9" t="str">
        <f t="shared" si="37"/>
        <v>1</v>
      </c>
      <c r="I241" s="11">
        <v>4555000</v>
      </c>
    </row>
    <row r="242" spans="1:9" x14ac:dyDescent="0.25">
      <c r="A242" s="9">
        <v>235</v>
      </c>
      <c r="B242" s="10">
        <v>44834</v>
      </c>
      <c r="C242" s="9">
        <v>8</v>
      </c>
      <c r="D242" s="9" t="str">
        <f>"1894"</f>
        <v>1894</v>
      </c>
      <c r="E242" s="9" t="str">
        <f>"Требования по операциям спот"</f>
        <v>Требования по операциям спот</v>
      </c>
      <c r="F242" s="9" t="str">
        <f>"1"</f>
        <v>1</v>
      </c>
      <c r="G242" s="9" t="str">
        <f>"4"</f>
        <v>4</v>
      </c>
      <c r="H242" s="9" t="str">
        <f t="shared" si="37"/>
        <v>1</v>
      </c>
      <c r="I242" s="11">
        <v>8410000</v>
      </c>
    </row>
    <row r="243" spans="1:9" x14ac:dyDescent="0.25">
      <c r="A243" s="9">
        <v>236</v>
      </c>
      <c r="B243" s="10">
        <v>44834</v>
      </c>
      <c r="C243" s="9">
        <v>8</v>
      </c>
      <c r="D243" s="9" t="str">
        <f>"1895"</f>
        <v>1895</v>
      </c>
      <c r="E243" s="9" t="str">
        <f>"Требования по операциям своп"</f>
        <v>Требования по операциям своп</v>
      </c>
      <c r="F243" s="9" t="str">
        <f>"1"</f>
        <v>1</v>
      </c>
      <c r="G243" s="9" t="str">
        <f>"5"</f>
        <v>5</v>
      </c>
      <c r="H243" s="9" t="str">
        <f t="shared" si="37"/>
        <v>1</v>
      </c>
      <c r="I243" s="11">
        <v>16990900</v>
      </c>
    </row>
    <row r="244" spans="1:9" x14ac:dyDescent="0.25">
      <c r="A244" s="9">
        <v>237</v>
      </c>
      <c r="B244" s="10">
        <v>44834</v>
      </c>
      <c r="C244" s="9">
        <v>8</v>
      </c>
      <c r="D244" s="9" t="str">
        <f t="shared" ref="D244:D254" si="38">"1860"</f>
        <v>1860</v>
      </c>
      <c r="E244" s="9" t="str">
        <f t="shared" ref="E244:E254" si="39">"Прочие дебиторы по банковской деятельности"</f>
        <v>Прочие дебиторы по банковской деятельности</v>
      </c>
      <c r="F244" s="9" t="str">
        <f>"1"</f>
        <v>1</v>
      </c>
      <c r="G244" s="9" t="str">
        <f>"5"</f>
        <v>5</v>
      </c>
      <c r="H244" s="9" t="str">
        <f t="shared" si="37"/>
        <v>1</v>
      </c>
      <c r="I244" s="11">
        <v>2781668.5</v>
      </c>
    </row>
    <row r="245" spans="1:9" x14ac:dyDescent="0.25">
      <c r="A245" s="9">
        <v>238</v>
      </c>
      <c r="B245" s="10">
        <v>44834</v>
      </c>
      <c r="C245" s="9">
        <v>8</v>
      </c>
      <c r="D245" s="9" t="str">
        <f t="shared" si="38"/>
        <v>1860</v>
      </c>
      <c r="E245" s="9" t="str">
        <f t="shared" si="39"/>
        <v>Прочие дебиторы по банковской деятельности</v>
      </c>
      <c r="F245" s="9" t="str">
        <f>"1"</f>
        <v>1</v>
      </c>
      <c r="G245" s="9" t="str">
        <f>"7"</f>
        <v>7</v>
      </c>
      <c r="H245" s="9" t="str">
        <f t="shared" si="37"/>
        <v>1</v>
      </c>
      <c r="I245" s="11">
        <v>930963336.11000001</v>
      </c>
    </row>
    <row r="246" spans="1:9" x14ac:dyDescent="0.25">
      <c r="A246" s="9">
        <v>239</v>
      </c>
      <c r="B246" s="10">
        <v>44834</v>
      </c>
      <c r="C246" s="9">
        <v>8</v>
      </c>
      <c r="D246" s="9" t="str">
        <f t="shared" si="38"/>
        <v>1860</v>
      </c>
      <c r="E246" s="9" t="str">
        <f t="shared" si="39"/>
        <v>Прочие дебиторы по банковской деятельности</v>
      </c>
      <c r="F246" s="9" t="str">
        <f>"2"</f>
        <v>2</v>
      </c>
      <c r="G246" s="9" t="str">
        <f>"7"</f>
        <v>7</v>
      </c>
      <c r="H246" s="9" t="str">
        <f>"2"</f>
        <v>2</v>
      </c>
      <c r="I246" s="11">
        <v>700.55</v>
      </c>
    </row>
    <row r="247" spans="1:9" x14ac:dyDescent="0.25">
      <c r="A247" s="9">
        <v>240</v>
      </c>
      <c r="B247" s="10">
        <v>44834</v>
      </c>
      <c r="C247" s="9">
        <v>8</v>
      </c>
      <c r="D247" s="9" t="str">
        <f t="shared" si="38"/>
        <v>1860</v>
      </c>
      <c r="E247" s="9" t="str">
        <f t="shared" si="39"/>
        <v>Прочие дебиторы по банковской деятельности</v>
      </c>
      <c r="F247" s="9" t="str">
        <f>"1"</f>
        <v>1</v>
      </c>
      <c r="G247" s="9" t="str">
        <f>"4"</f>
        <v>4</v>
      </c>
      <c r="H247" s="9" t="str">
        <f>"2"</f>
        <v>2</v>
      </c>
      <c r="I247" s="11">
        <v>13586235</v>
      </c>
    </row>
    <row r="248" spans="1:9" x14ac:dyDescent="0.25">
      <c r="A248" s="9">
        <v>241</v>
      </c>
      <c r="B248" s="10">
        <v>44834</v>
      </c>
      <c r="C248" s="9">
        <v>8</v>
      </c>
      <c r="D248" s="9" t="str">
        <f t="shared" si="38"/>
        <v>1860</v>
      </c>
      <c r="E248" s="9" t="str">
        <f t="shared" si="39"/>
        <v>Прочие дебиторы по банковской деятельности</v>
      </c>
      <c r="F248" s="9" t="str">
        <f>"2"</f>
        <v>2</v>
      </c>
      <c r="G248" s="9" t="str">
        <f>"9"</f>
        <v>9</v>
      </c>
      <c r="H248" s="9" t="str">
        <f>"2"</f>
        <v>2</v>
      </c>
      <c r="I248" s="11">
        <v>190340.77</v>
      </c>
    </row>
    <row r="249" spans="1:9" x14ac:dyDescent="0.25">
      <c r="A249" s="9">
        <v>242</v>
      </c>
      <c r="B249" s="10">
        <v>44834</v>
      </c>
      <c r="C249" s="9">
        <v>8</v>
      </c>
      <c r="D249" s="9" t="str">
        <f t="shared" si="38"/>
        <v>1860</v>
      </c>
      <c r="E249" s="9" t="str">
        <f t="shared" si="39"/>
        <v>Прочие дебиторы по банковской деятельности</v>
      </c>
      <c r="F249" s="9" t="str">
        <f>"1"</f>
        <v>1</v>
      </c>
      <c r="G249" s="9" t="str">
        <f>"9"</f>
        <v>9</v>
      </c>
      <c r="H249" s="9" t="str">
        <f>"2"</f>
        <v>2</v>
      </c>
      <c r="I249" s="11">
        <v>2934601.72</v>
      </c>
    </row>
    <row r="250" spans="1:9" x14ac:dyDescent="0.25">
      <c r="A250" s="9">
        <v>243</v>
      </c>
      <c r="B250" s="10">
        <v>44834</v>
      </c>
      <c r="C250" s="9">
        <v>8</v>
      </c>
      <c r="D250" s="9" t="str">
        <f t="shared" si="38"/>
        <v>1860</v>
      </c>
      <c r="E250" s="9" t="str">
        <f t="shared" si="39"/>
        <v>Прочие дебиторы по банковской деятельности</v>
      </c>
      <c r="F250" s="9" t="str">
        <f>"1"</f>
        <v>1</v>
      </c>
      <c r="G250" s="9" t="str">
        <f>"4"</f>
        <v>4</v>
      </c>
      <c r="H250" s="9" t="str">
        <f>"1"</f>
        <v>1</v>
      </c>
      <c r="I250" s="11">
        <v>348239046.97000003</v>
      </c>
    </row>
    <row r="251" spans="1:9" x14ac:dyDescent="0.25">
      <c r="A251" s="9">
        <v>244</v>
      </c>
      <c r="B251" s="10">
        <v>44834</v>
      </c>
      <c r="C251" s="9">
        <v>8</v>
      </c>
      <c r="D251" s="9" t="str">
        <f t="shared" si="38"/>
        <v>1860</v>
      </c>
      <c r="E251" s="9" t="str">
        <f t="shared" si="39"/>
        <v>Прочие дебиторы по банковской деятельности</v>
      </c>
      <c r="F251" s="9" t="str">
        <f>"2"</f>
        <v>2</v>
      </c>
      <c r="G251" s="9" t="str">
        <f>"9"</f>
        <v>9</v>
      </c>
      <c r="H251" s="9" t="str">
        <f>"1"</f>
        <v>1</v>
      </c>
      <c r="I251" s="11">
        <v>21418306.41</v>
      </c>
    </row>
    <row r="252" spans="1:9" x14ac:dyDescent="0.25">
      <c r="A252" s="9">
        <v>245</v>
      </c>
      <c r="B252" s="10">
        <v>44834</v>
      </c>
      <c r="C252" s="9">
        <v>8</v>
      </c>
      <c r="D252" s="9" t="str">
        <f t="shared" si="38"/>
        <v>1860</v>
      </c>
      <c r="E252" s="9" t="str">
        <f t="shared" si="39"/>
        <v>Прочие дебиторы по банковской деятельности</v>
      </c>
      <c r="F252" s="9" t="str">
        <f>"1"</f>
        <v>1</v>
      </c>
      <c r="G252" s="9" t="str">
        <f>"9"</f>
        <v>9</v>
      </c>
      <c r="H252" s="9" t="str">
        <f>"1"</f>
        <v>1</v>
      </c>
      <c r="I252" s="11">
        <v>260454308.09</v>
      </c>
    </row>
    <row r="253" spans="1:9" x14ac:dyDescent="0.25">
      <c r="A253" s="9">
        <v>246</v>
      </c>
      <c r="B253" s="10">
        <v>44834</v>
      </c>
      <c r="C253" s="9">
        <v>8</v>
      </c>
      <c r="D253" s="9" t="str">
        <f t="shared" si="38"/>
        <v>1860</v>
      </c>
      <c r="E253" s="9" t="str">
        <f t="shared" si="39"/>
        <v>Прочие дебиторы по банковской деятельности</v>
      </c>
      <c r="F253" s="9" t="str">
        <f>"1"</f>
        <v>1</v>
      </c>
      <c r="G253" s="9" t="str">
        <f>"9"</f>
        <v>9</v>
      </c>
      <c r="H253" s="9" t="str">
        <f>"3"</f>
        <v>3</v>
      </c>
      <c r="I253" s="11">
        <v>101.07</v>
      </c>
    </row>
    <row r="254" spans="1:9" x14ac:dyDescent="0.25">
      <c r="A254" s="9">
        <v>247</v>
      </c>
      <c r="B254" s="10">
        <v>44834</v>
      </c>
      <c r="C254" s="9">
        <v>8</v>
      </c>
      <c r="D254" s="9" t="str">
        <f t="shared" si="38"/>
        <v>1860</v>
      </c>
      <c r="E254" s="9" t="str">
        <f t="shared" si="39"/>
        <v>Прочие дебиторы по банковской деятельности</v>
      </c>
      <c r="F254" s="9" t="str">
        <f>"2"</f>
        <v>2</v>
      </c>
      <c r="G254" s="9" t="str">
        <f>"4"</f>
        <v>4</v>
      </c>
      <c r="H254" s="9" t="str">
        <f>"2"</f>
        <v>2</v>
      </c>
      <c r="I254" s="11">
        <v>75297378.780000001</v>
      </c>
    </row>
    <row r="255" spans="1:9" x14ac:dyDescent="0.25">
      <c r="A255" s="9">
        <v>248</v>
      </c>
      <c r="B255" s="10">
        <v>44834</v>
      </c>
      <c r="C255" s="9">
        <v>8</v>
      </c>
      <c r="D255" s="9" t="str">
        <f>"1854"</f>
        <v>1854</v>
      </c>
      <c r="E255" s="9" t="str">
        <f>"Расчеты с работниками"</f>
        <v>Расчеты с работниками</v>
      </c>
      <c r="F255" s="9" t="str">
        <f>""</f>
        <v/>
      </c>
      <c r="G255" s="9" t="str">
        <f>""</f>
        <v/>
      </c>
      <c r="H255" s="9" t="str">
        <f>""</f>
        <v/>
      </c>
      <c r="I255" s="11">
        <v>13647908.539999999</v>
      </c>
    </row>
    <row r="256" spans="1:9" x14ac:dyDescent="0.25">
      <c r="A256" s="9">
        <v>249</v>
      </c>
      <c r="B256" s="10">
        <v>44834</v>
      </c>
      <c r="C256" s="9">
        <v>8</v>
      </c>
      <c r="D256" s="9" t="str">
        <f t="shared" ref="D256:D266" si="40">"1877"</f>
        <v>1877</v>
      </c>
      <c r="E256" s="9" t="str">
        <f t="shared" ref="E256:E266" si="4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56" s="9" t="str">
        <f>"1"</f>
        <v>1</v>
      </c>
      <c r="G256" s="9" t="str">
        <f>"7"</f>
        <v>7</v>
      </c>
      <c r="H256" s="9" t="str">
        <f>"3"</f>
        <v>3</v>
      </c>
      <c r="I256" s="11">
        <v>-3781772.74</v>
      </c>
    </row>
    <row r="257" spans="1:9" x14ac:dyDescent="0.25">
      <c r="A257" s="9">
        <v>250</v>
      </c>
      <c r="B257" s="10">
        <v>44834</v>
      </c>
      <c r="C257" s="9">
        <v>8</v>
      </c>
      <c r="D257" s="9" t="str">
        <f t="shared" si="40"/>
        <v>1877</v>
      </c>
      <c r="E257" s="9" t="str">
        <f t="shared" si="41"/>
        <v>Резервы (провизии) по дебиторской задолженности, связанной с банковской деятельностью</v>
      </c>
      <c r="F257" s="9" t="str">
        <f>"1"</f>
        <v>1</v>
      </c>
      <c r="G257" s="9" t="str">
        <f>"9"</f>
        <v>9</v>
      </c>
      <c r="H257" s="9" t="str">
        <f>"1"</f>
        <v>1</v>
      </c>
      <c r="I257" s="11">
        <v>-2141517231.3099999</v>
      </c>
    </row>
    <row r="258" spans="1:9" x14ac:dyDescent="0.25">
      <c r="A258" s="9">
        <v>251</v>
      </c>
      <c r="B258" s="10">
        <v>44834</v>
      </c>
      <c r="C258" s="9">
        <v>8</v>
      </c>
      <c r="D258" s="9" t="str">
        <f t="shared" si="40"/>
        <v>1877</v>
      </c>
      <c r="E258" s="9" t="str">
        <f t="shared" si="41"/>
        <v>Резервы (провизии) по дебиторской задолженности, связанной с банковской деятельностью</v>
      </c>
      <c r="F258" s="9" t="str">
        <f>"2"</f>
        <v>2</v>
      </c>
      <c r="G258" s="9" t="str">
        <f>"7"</f>
        <v>7</v>
      </c>
      <c r="H258" s="9" t="str">
        <f>"1"</f>
        <v>1</v>
      </c>
      <c r="I258" s="11">
        <v>-162.1</v>
      </c>
    </row>
    <row r="259" spans="1:9" x14ac:dyDescent="0.25">
      <c r="A259" s="9">
        <v>252</v>
      </c>
      <c r="B259" s="10">
        <v>44834</v>
      </c>
      <c r="C259" s="9">
        <v>8</v>
      </c>
      <c r="D259" s="9" t="str">
        <f t="shared" si="40"/>
        <v>1877</v>
      </c>
      <c r="E259" s="9" t="str">
        <f t="shared" si="41"/>
        <v>Резервы (провизии) по дебиторской задолженности, связанной с банковской деятельностью</v>
      </c>
      <c r="F259" s="9" t="str">
        <f>"1"</f>
        <v>1</v>
      </c>
      <c r="G259" s="9" t="str">
        <f>"9"</f>
        <v>9</v>
      </c>
      <c r="H259" s="9" t="str">
        <f>"2"</f>
        <v>2</v>
      </c>
      <c r="I259" s="11">
        <v>-13646108.48</v>
      </c>
    </row>
    <row r="260" spans="1:9" x14ac:dyDescent="0.25">
      <c r="A260" s="9">
        <v>253</v>
      </c>
      <c r="B260" s="10">
        <v>44834</v>
      </c>
      <c r="C260" s="9">
        <v>8</v>
      </c>
      <c r="D260" s="9" t="str">
        <f t="shared" si="40"/>
        <v>1877</v>
      </c>
      <c r="E260" s="9" t="str">
        <f t="shared" si="41"/>
        <v>Резервы (провизии) по дебиторской задолженности, связанной с банковской деятельностью</v>
      </c>
      <c r="F260" s="9" t="str">
        <f>"1"</f>
        <v>1</v>
      </c>
      <c r="G260" s="9" t="str">
        <f>"9"</f>
        <v>9</v>
      </c>
      <c r="H260" s="9" t="str">
        <f>"3"</f>
        <v>3</v>
      </c>
      <c r="I260" s="11">
        <v>-2.09</v>
      </c>
    </row>
    <row r="261" spans="1:9" x14ac:dyDescent="0.25">
      <c r="A261" s="9">
        <v>254</v>
      </c>
      <c r="B261" s="10">
        <v>44834</v>
      </c>
      <c r="C261" s="9">
        <v>8</v>
      </c>
      <c r="D261" s="9" t="str">
        <f t="shared" si="40"/>
        <v>1877</v>
      </c>
      <c r="E261" s="9" t="str">
        <f t="shared" si="41"/>
        <v>Резервы (провизии) по дебиторской задолженности, связанной с банковской деятельностью</v>
      </c>
      <c r="F261" s="9" t="str">
        <f>"2"</f>
        <v>2</v>
      </c>
      <c r="G261" s="9" t="str">
        <f>"9"</f>
        <v>9</v>
      </c>
      <c r="H261" s="9" t="str">
        <f>"2"</f>
        <v>2</v>
      </c>
      <c r="I261" s="11">
        <v>-3894.43</v>
      </c>
    </row>
    <row r="262" spans="1:9" x14ac:dyDescent="0.25">
      <c r="A262" s="9">
        <v>255</v>
      </c>
      <c r="B262" s="10">
        <v>44834</v>
      </c>
      <c r="C262" s="9">
        <v>8</v>
      </c>
      <c r="D262" s="9" t="str">
        <f t="shared" si="40"/>
        <v>1877</v>
      </c>
      <c r="E262" s="9" t="str">
        <f t="shared" si="41"/>
        <v>Резервы (провизии) по дебиторской задолженности, связанной с банковской деятельностью</v>
      </c>
      <c r="F262" s="9" t="str">
        <f>"1"</f>
        <v>1</v>
      </c>
      <c r="G262" s="9" t="str">
        <f>"4"</f>
        <v>4</v>
      </c>
      <c r="H262" s="9" t="str">
        <f>"1"</f>
        <v>1</v>
      </c>
      <c r="I262" s="11">
        <v>-228542636.03</v>
      </c>
    </row>
    <row r="263" spans="1:9" x14ac:dyDescent="0.25">
      <c r="A263" s="9">
        <v>256</v>
      </c>
      <c r="B263" s="10">
        <v>44834</v>
      </c>
      <c r="C263" s="9">
        <v>8</v>
      </c>
      <c r="D263" s="9" t="str">
        <f t="shared" si="40"/>
        <v>1877</v>
      </c>
      <c r="E263" s="9" t="str">
        <f t="shared" si="41"/>
        <v>Резервы (провизии) по дебиторской задолженности, связанной с банковской деятельностью</v>
      </c>
      <c r="F263" s="9" t="str">
        <f>"1"</f>
        <v>1</v>
      </c>
      <c r="G263" s="9" t="str">
        <f>"7"</f>
        <v>7</v>
      </c>
      <c r="H263" s="9" t="str">
        <f>"2"</f>
        <v>2</v>
      </c>
      <c r="I263" s="11">
        <v>-21154.33</v>
      </c>
    </row>
    <row r="264" spans="1:9" x14ac:dyDescent="0.25">
      <c r="A264" s="9">
        <v>257</v>
      </c>
      <c r="B264" s="10">
        <v>44834</v>
      </c>
      <c r="C264" s="9">
        <v>8</v>
      </c>
      <c r="D264" s="9" t="str">
        <f t="shared" si="40"/>
        <v>1877</v>
      </c>
      <c r="E264" s="9" t="str">
        <f t="shared" si="41"/>
        <v>Резервы (провизии) по дебиторской задолженности, связанной с банковской деятельностью</v>
      </c>
      <c r="F264" s="9" t="str">
        <f>"2"</f>
        <v>2</v>
      </c>
      <c r="G264" s="9" t="str">
        <f>"9"</f>
        <v>9</v>
      </c>
      <c r="H264" s="9" t="str">
        <f t="shared" ref="H264:H275" si="42">"1"</f>
        <v>1</v>
      </c>
      <c r="I264" s="11">
        <v>-798833.44</v>
      </c>
    </row>
    <row r="265" spans="1:9" x14ac:dyDescent="0.25">
      <c r="A265" s="9">
        <v>258</v>
      </c>
      <c r="B265" s="10">
        <v>44834</v>
      </c>
      <c r="C265" s="9">
        <v>8</v>
      </c>
      <c r="D265" s="9" t="str">
        <f t="shared" si="40"/>
        <v>1877</v>
      </c>
      <c r="E265" s="9" t="str">
        <f t="shared" si="41"/>
        <v>Резервы (провизии) по дебиторской задолженности, связанной с банковской деятельностью</v>
      </c>
      <c r="F265" s="9" t="str">
        <f t="shared" ref="F265:F274" si="43">"1"</f>
        <v>1</v>
      </c>
      <c r="G265" s="9" t="str">
        <f>"7"</f>
        <v>7</v>
      </c>
      <c r="H265" s="9" t="str">
        <f t="shared" si="42"/>
        <v>1</v>
      </c>
      <c r="I265" s="11">
        <v>-1411643244.27</v>
      </c>
    </row>
    <row r="266" spans="1:9" x14ac:dyDescent="0.25">
      <c r="A266" s="9">
        <v>259</v>
      </c>
      <c r="B266" s="10">
        <v>44834</v>
      </c>
      <c r="C266" s="9">
        <v>8</v>
      </c>
      <c r="D266" s="9" t="str">
        <f t="shared" si="40"/>
        <v>1877</v>
      </c>
      <c r="E266" s="9" t="str">
        <f t="shared" si="41"/>
        <v>Резервы (провизии) по дебиторской задолженности, связанной с банковской деятельностью</v>
      </c>
      <c r="F266" s="9" t="str">
        <f t="shared" si="43"/>
        <v>1</v>
      </c>
      <c r="G266" s="9" t="str">
        <f>"5"</f>
        <v>5</v>
      </c>
      <c r="H266" s="9" t="str">
        <f t="shared" si="42"/>
        <v>1</v>
      </c>
      <c r="I266" s="11">
        <v>-1513945.83</v>
      </c>
    </row>
    <row r="267" spans="1:9" x14ac:dyDescent="0.25">
      <c r="A267" s="9">
        <v>260</v>
      </c>
      <c r="B267" s="10">
        <v>44834</v>
      </c>
      <c r="C267" s="9">
        <v>8</v>
      </c>
      <c r="D267" s="9" t="str">
        <f>"2056"</f>
        <v>2056</v>
      </c>
      <c r="E267" s="9" t="str">
        <f>"Долгосрочные займы, полученные от других банков"</f>
        <v>Долгосрочные займы, полученные от других банков</v>
      </c>
      <c r="F267" s="9" t="str">
        <f t="shared" si="43"/>
        <v>1</v>
      </c>
      <c r="G267" s="9" t="str">
        <f>"4"</f>
        <v>4</v>
      </c>
      <c r="H267" s="9" t="str">
        <f t="shared" si="42"/>
        <v>1</v>
      </c>
      <c r="I267" s="11">
        <v>7004072323.1499996</v>
      </c>
    </row>
    <row r="268" spans="1:9" x14ac:dyDescent="0.25">
      <c r="A268" s="9">
        <v>261</v>
      </c>
      <c r="B268" s="10">
        <v>44834</v>
      </c>
      <c r="C268" s="9">
        <v>8</v>
      </c>
      <c r="D268" s="9" t="str">
        <f t="shared" ref="D268:D275" si="44">"1867"</f>
        <v>1867</v>
      </c>
      <c r="E268" s="9" t="str">
        <f t="shared" ref="E268:E275" si="45">"Прочие дебиторы по неосновной деятельности"</f>
        <v>Прочие дебиторы по неосновной деятельности</v>
      </c>
      <c r="F268" s="9" t="str">
        <f t="shared" si="43"/>
        <v>1</v>
      </c>
      <c r="G268" s="9" t="str">
        <f>"9"</f>
        <v>9</v>
      </c>
      <c r="H268" s="9" t="str">
        <f t="shared" si="42"/>
        <v>1</v>
      </c>
      <c r="I268" s="11">
        <v>2674132215.29</v>
      </c>
    </row>
    <row r="269" spans="1:9" x14ac:dyDescent="0.25">
      <c r="A269" s="9">
        <v>262</v>
      </c>
      <c r="B269" s="10">
        <v>44834</v>
      </c>
      <c r="C269" s="9">
        <v>8</v>
      </c>
      <c r="D269" s="9" t="str">
        <f t="shared" si="44"/>
        <v>1867</v>
      </c>
      <c r="E269" s="9" t="str">
        <f t="shared" si="45"/>
        <v>Прочие дебиторы по неосновной деятельности</v>
      </c>
      <c r="F269" s="9" t="str">
        <f t="shared" si="43"/>
        <v>1</v>
      </c>
      <c r="G269" s="9" t="str">
        <f>"3"</f>
        <v>3</v>
      </c>
      <c r="H269" s="9" t="str">
        <f t="shared" si="42"/>
        <v>1</v>
      </c>
      <c r="I269" s="11">
        <v>4325</v>
      </c>
    </row>
    <row r="270" spans="1:9" x14ac:dyDescent="0.25">
      <c r="A270" s="9">
        <v>263</v>
      </c>
      <c r="B270" s="10">
        <v>44834</v>
      </c>
      <c r="C270" s="9">
        <v>8</v>
      </c>
      <c r="D270" s="9" t="str">
        <f t="shared" si="44"/>
        <v>1867</v>
      </c>
      <c r="E270" s="9" t="str">
        <f t="shared" si="45"/>
        <v>Прочие дебиторы по неосновной деятельности</v>
      </c>
      <c r="F270" s="9" t="str">
        <f t="shared" si="43"/>
        <v>1</v>
      </c>
      <c r="G270" s="9" t="str">
        <f>"5"</f>
        <v>5</v>
      </c>
      <c r="H270" s="9" t="str">
        <f t="shared" si="42"/>
        <v>1</v>
      </c>
      <c r="I270" s="11">
        <v>16183374.619999999</v>
      </c>
    </row>
    <row r="271" spans="1:9" x14ac:dyDescent="0.25">
      <c r="A271" s="9">
        <v>264</v>
      </c>
      <c r="B271" s="10">
        <v>44834</v>
      </c>
      <c r="C271" s="9">
        <v>8</v>
      </c>
      <c r="D271" s="9" t="str">
        <f t="shared" si="44"/>
        <v>1867</v>
      </c>
      <c r="E271" s="9" t="str">
        <f t="shared" si="45"/>
        <v>Прочие дебиторы по неосновной деятельности</v>
      </c>
      <c r="F271" s="9" t="str">
        <f t="shared" si="43"/>
        <v>1</v>
      </c>
      <c r="G271" s="9" t="str">
        <f>"7"</f>
        <v>7</v>
      </c>
      <c r="H271" s="9" t="str">
        <f t="shared" si="42"/>
        <v>1</v>
      </c>
      <c r="I271" s="11">
        <v>398456100.38</v>
      </c>
    </row>
    <row r="272" spans="1:9" x14ac:dyDescent="0.25">
      <c r="A272" s="9">
        <v>265</v>
      </c>
      <c r="B272" s="10">
        <v>44834</v>
      </c>
      <c r="C272" s="9">
        <v>8</v>
      </c>
      <c r="D272" s="9" t="str">
        <f t="shared" si="44"/>
        <v>1867</v>
      </c>
      <c r="E272" s="9" t="str">
        <f t="shared" si="45"/>
        <v>Прочие дебиторы по неосновной деятельности</v>
      </c>
      <c r="F272" s="9" t="str">
        <f t="shared" si="43"/>
        <v>1</v>
      </c>
      <c r="G272" s="9" t="str">
        <f>"1"</f>
        <v>1</v>
      </c>
      <c r="H272" s="9" t="str">
        <f t="shared" si="42"/>
        <v>1</v>
      </c>
      <c r="I272" s="11">
        <v>38964.04</v>
      </c>
    </row>
    <row r="273" spans="1:9" x14ac:dyDescent="0.25">
      <c r="A273" s="9">
        <v>266</v>
      </c>
      <c r="B273" s="10">
        <v>44834</v>
      </c>
      <c r="C273" s="9">
        <v>8</v>
      </c>
      <c r="D273" s="9" t="str">
        <f t="shared" si="44"/>
        <v>1867</v>
      </c>
      <c r="E273" s="9" t="str">
        <f t="shared" si="45"/>
        <v>Прочие дебиторы по неосновной деятельности</v>
      </c>
      <c r="F273" s="9" t="str">
        <f t="shared" si="43"/>
        <v>1</v>
      </c>
      <c r="G273" s="9" t="str">
        <f>"8"</f>
        <v>8</v>
      </c>
      <c r="H273" s="9" t="str">
        <f t="shared" si="42"/>
        <v>1</v>
      </c>
      <c r="I273" s="11">
        <v>253333946.09999999</v>
      </c>
    </row>
    <row r="274" spans="1:9" x14ac:dyDescent="0.25">
      <c r="A274" s="9">
        <v>267</v>
      </c>
      <c r="B274" s="10">
        <v>44834</v>
      </c>
      <c r="C274" s="9">
        <v>8</v>
      </c>
      <c r="D274" s="9" t="str">
        <f t="shared" si="44"/>
        <v>1867</v>
      </c>
      <c r="E274" s="9" t="str">
        <f t="shared" si="45"/>
        <v>Прочие дебиторы по неосновной деятельности</v>
      </c>
      <c r="F274" s="9" t="str">
        <f t="shared" si="43"/>
        <v>1</v>
      </c>
      <c r="G274" s="9" t="str">
        <f>"6"</f>
        <v>6</v>
      </c>
      <c r="H274" s="9" t="str">
        <f t="shared" si="42"/>
        <v>1</v>
      </c>
      <c r="I274" s="11">
        <v>787995.68</v>
      </c>
    </row>
    <row r="275" spans="1:9" x14ac:dyDescent="0.25">
      <c r="A275" s="9">
        <v>268</v>
      </c>
      <c r="B275" s="10">
        <v>44834</v>
      </c>
      <c r="C275" s="9">
        <v>8</v>
      </c>
      <c r="D275" s="9" t="str">
        <f t="shared" si="44"/>
        <v>1867</v>
      </c>
      <c r="E275" s="9" t="str">
        <f t="shared" si="45"/>
        <v>Прочие дебиторы по неосновной деятельности</v>
      </c>
      <c r="F275" s="9" t="str">
        <f>"2"</f>
        <v>2</v>
      </c>
      <c r="G275" s="9" t="str">
        <f>"7"</f>
        <v>7</v>
      </c>
      <c r="H275" s="9" t="str">
        <f t="shared" si="42"/>
        <v>1</v>
      </c>
      <c r="I275" s="11">
        <v>5695815.5999999996</v>
      </c>
    </row>
    <row r="276" spans="1:9" x14ac:dyDescent="0.25">
      <c r="A276" s="9">
        <v>269</v>
      </c>
      <c r="B276" s="10">
        <v>44834</v>
      </c>
      <c r="C276" s="9">
        <v>8</v>
      </c>
      <c r="D276" s="9" t="str">
        <f>"1871"</f>
        <v>1871</v>
      </c>
      <c r="E276" s="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76" s="9" t="str">
        <f>"1"</f>
        <v>1</v>
      </c>
      <c r="G276" s="9" t="str">
        <f>""</f>
        <v/>
      </c>
      <c r="H276" s="9" t="str">
        <f>"2"</f>
        <v>2</v>
      </c>
      <c r="I276" s="11">
        <v>362.3</v>
      </c>
    </row>
    <row r="277" spans="1:9" x14ac:dyDescent="0.25">
      <c r="A277" s="9">
        <v>270</v>
      </c>
      <c r="B277" s="10">
        <v>44834</v>
      </c>
      <c r="C277" s="9">
        <v>8</v>
      </c>
      <c r="D277" s="9" t="str">
        <f>"1871"</f>
        <v>1871</v>
      </c>
      <c r="E277" s="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77" s="9" t="str">
        <f>"2"</f>
        <v>2</v>
      </c>
      <c r="G277" s="9" t="str">
        <f>""</f>
        <v/>
      </c>
      <c r="H277" s="9" t="str">
        <f>"2"</f>
        <v>2</v>
      </c>
      <c r="I277" s="11">
        <v>371.83</v>
      </c>
    </row>
    <row r="278" spans="1:9" x14ac:dyDescent="0.25">
      <c r="A278" s="9">
        <v>271</v>
      </c>
      <c r="B278" s="10">
        <v>44834</v>
      </c>
      <c r="C278" s="9">
        <v>8</v>
      </c>
      <c r="D278" s="9" t="str">
        <f>"1856"</f>
        <v>1856</v>
      </c>
      <c r="E278" s="9" t="str">
        <f>"Дебиторы по капитальным вложениям"</f>
        <v>Дебиторы по капитальным вложениям</v>
      </c>
      <c r="F278" s="9" t="str">
        <f>"1"</f>
        <v>1</v>
      </c>
      <c r="G278" s="9" t="str">
        <f>"9"</f>
        <v>9</v>
      </c>
      <c r="H278" s="9" t="str">
        <f>"1"</f>
        <v>1</v>
      </c>
      <c r="I278" s="11">
        <v>330000</v>
      </c>
    </row>
    <row r="279" spans="1:9" x14ac:dyDescent="0.25">
      <c r="A279" s="9">
        <v>272</v>
      </c>
      <c r="B279" s="10">
        <v>44834</v>
      </c>
      <c r="C279" s="9">
        <v>8</v>
      </c>
      <c r="D279" s="9" t="str">
        <f>"1856"</f>
        <v>1856</v>
      </c>
      <c r="E279" s="9" t="str">
        <f>"Дебиторы по капитальным вложениям"</f>
        <v>Дебиторы по капитальным вложениям</v>
      </c>
      <c r="F279" s="9" t="str">
        <f>"2"</f>
        <v>2</v>
      </c>
      <c r="G279" s="9" t="str">
        <f>"7"</f>
        <v>7</v>
      </c>
      <c r="H279" s="9" t="str">
        <f>"1"</f>
        <v>1</v>
      </c>
      <c r="I279" s="11">
        <v>20655820.199999999</v>
      </c>
    </row>
    <row r="280" spans="1:9" x14ac:dyDescent="0.25">
      <c r="A280" s="9">
        <v>273</v>
      </c>
      <c r="B280" s="10">
        <v>44834</v>
      </c>
      <c r="C280" s="9">
        <v>8</v>
      </c>
      <c r="D280" s="9" t="str">
        <f>"1856"</f>
        <v>1856</v>
      </c>
      <c r="E280" s="9" t="str">
        <f>"Дебиторы по капитальным вложениям"</f>
        <v>Дебиторы по капитальным вложениям</v>
      </c>
      <c r="F280" s="9" t="str">
        <f>"1"</f>
        <v>1</v>
      </c>
      <c r="G280" s="9" t="str">
        <f>"7"</f>
        <v>7</v>
      </c>
      <c r="H280" s="9" t="str">
        <f>"1"</f>
        <v>1</v>
      </c>
      <c r="I280" s="11">
        <v>32345715.600000001</v>
      </c>
    </row>
    <row r="281" spans="1:9" x14ac:dyDescent="0.25">
      <c r="A281" s="9">
        <v>274</v>
      </c>
      <c r="B281" s="10">
        <v>44834</v>
      </c>
      <c r="C281" s="9">
        <v>8</v>
      </c>
      <c r="D281" s="9" t="str">
        <f>"2066"</f>
        <v>2066</v>
      </c>
      <c r="E281" s="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81" s="9" t="str">
        <f>"1"</f>
        <v>1</v>
      </c>
      <c r="G281" s="9" t="str">
        <f>"5"</f>
        <v>5</v>
      </c>
      <c r="H281" s="9" t="str">
        <f>"1"</f>
        <v>1</v>
      </c>
      <c r="I281" s="11">
        <v>25267638452.639999</v>
      </c>
    </row>
    <row r="282" spans="1:9" x14ac:dyDescent="0.25">
      <c r="A282" s="9">
        <v>275</v>
      </c>
      <c r="B282" s="10">
        <v>44834</v>
      </c>
      <c r="C282" s="9">
        <v>8</v>
      </c>
      <c r="D282" s="9" t="str">
        <f>"2070"</f>
        <v>2070</v>
      </c>
      <c r="E282" s="9" t="str">
        <f>"Дисконт по полученным займам"</f>
        <v>Дисконт по полученным займам</v>
      </c>
      <c r="F282" s="9" t="str">
        <f>"1"</f>
        <v>1</v>
      </c>
      <c r="G282" s="9" t="str">
        <f>"4"</f>
        <v>4</v>
      </c>
      <c r="H282" s="9" t="str">
        <f>"1"</f>
        <v>1</v>
      </c>
      <c r="I282" s="11">
        <v>-301366.63</v>
      </c>
    </row>
    <row r="283" spans="1:9" x14ac:dyDescent="0.25">
      <c r="A283" s="9">
        <v>276</v>
      </c>
      <c r="B283" s="10">
        <v>44834</v>
      </c>
      <c r="C283" s="9">
        <v>8</v>
      </c>
      <c r="D283" s="9" t="str">
        <f t="shared" ref="D283:D288" si="46">"1870"</f>
        <v>1870</v>
      </c>
      <c r="E283" s="9" t="str">
        <f t="shared" ref="E283:E288" si="47">"Прочие транзитные счета"</f>
        <v>Прочие транзитные счета</v>
      </c>
      <c r="F283" s="9" t="str">
        <f>"1"</f>
        <v>1</v>
      </c>
      <c r="G283" s="9" t="str">
        <f>"4"</f>
        <v>4</v>
      </c>
      <c r="H283" s="9" t="str">
        <f>"3"</f>
        <v>3</v>
      </c>
      <c r="I283" s="11">
        <v>1931814.84</v>
      </c>
    </row>
    <row r="284" spans="1:9" x14ac:dyDescent="0.25">
      <c r="A284" s="9">
        <v>277</v>
      </c>
      <c r="B284" s="10">
        <v>44834</v>
      </c>
      <c r="C284" s="9">
        <v>8</v>
      </c>
      <c r="D284" s="9" t="str">
        <f t="shared" si="46"/>
        <v>1870</v>
      </c>
      <c r="E284" s="9" t="str">
        <f t="shared" si="47"/>
        <v>Прочие транзитные счета</v>
      </c>
      <c r="F284" s="9" t="str">
        <f>"2"</f>
        <v>2</v>
      </c>
      <c r="G284" s="9" t="str">
        <f>"5"</f>
        <v>5</v>
      </c>
      <c r="H284" s="9" t="str">
        <f>"1"</f>
        <v>1</v>
      </c>
      <c r="I284" s="11">
        <v>29853177.100000001</v>
      </c>
    </row>
    <row r="285" spans="1:9" x14ac:dyDescent="0.25">
      <c r="A285" s="9">
        <v>278</v>
      </c>
      <c r="B285" s="10">
        <v>44834</v>
      </c>
      <c r="C285" s="9">
        <v>8</v>
      </c>
      <c r="D285" s="9" t="str">
        <f t="shared" si="46"/>
        <v>1870</v>
      </c>
      <c r="E285" s="9" t="str">
        <f t="shared" si="47"/>
        <v>Прочие транзитные счета</v>
      </c>
      <c r="F285" s="9" t="str">
        <f>"2"</f>
        <v>2</v>
      </c>
      <c r="G285" s="9" t="str">
        <f>"4"</f>
        <v>4</v>
      </c>
      <c r="H285" s="9" t="str">
        <f>"2"</f>
        <v>2</v>
      </c>
      <c r="I285" s="11">
        <v>4001716.32</v>
      </c>
    </row>
    <row r="286" spans="1:9" x14ac:dyDescent="0.25">
      <c r="A286" s="9">
        <v>279</v>
      </c>
      <c r="B286" s="10">
        <v>44834</v>
      </c>
      <c r="C286" s="9">
        <v>8</v>
      </c>
      <c r="D286" s="9" t="str">
        <f t="shared" si="46"/>
        <v>1870</v>
      </c>
      <c r="E286" s="9" t="str">
        <f t="shared" si="47"/>
        <v>Прочие транзитные счета</v>
      </c>
      <c r="F286" s="9" t="str">
        <f>"2"</f>
        <v>2</v>
      </c>
      <c r="G286" s="9" t="str">
        <f>"5"</f>
        <v>5</v>
      </c>
      <c r="H286" s="9" t="str">
        <f>"2"</f>
        <v>2</v>
      </c>
      <c r="I286" s="11">
        <v>18427201.210000001</v>
      </c>
    </row>
    <row r="287" spans="1:9" x14ac:dyDescent="0.25">
      <c r="A287" s="9">
        <v>280</v>
      </c>
      <c r="B287" s="10">
        <v>44834</v>
      </c>
      <c r="C287" s="9">
        <v>8</v>
      </c>
      <c r="D287" s="9" t="str">
        <f t="shared" si="46"/>
        <v>1870</v>
      </c>
      <c r="E287" s="9" t="str">
        <f t="shared" si="47"/>
        <v>Прочие транзитные счета</v>
      </c>
      <c r="F287" s="9" t="str">
        <f t="shared" ref="F287:F292" si="48">"1"</f>
        <v>1</v>
      </c>
      <c r="G287" s="9" t="str">
        <f>"4"</f>
        <v>4</v>
      </c>
      <c r="H287" s="9" t="str">
        <f>"2"</f>
        <v>2</v>
      </c>
      <c r="I287" s="11">
        <v>51529984.359999999</v>
      </c>
    </row>
    <row r="288" spans="1:9" x14ac:dyDescent="0.25">
      <c r="A288" s="9">
        <v>281</v>
      </c>
      <c r="B288" s="10">
        <v>44834</v>
      </c>
      <c r="C288" s="9">
        <v>8</v>
      </c>
      <c r="D288" s="9" t="str">
        <f t="shared" si="46"/>
        <v>1870</v>
      </c>
      <c r="E288" s="9" t="str">
        <f t="shared" si="47"/>
        <v>Прочие транзитные счета</v>
      </c>
      <c r="F288" s="9" t="str">
        <f t="shared" si="48"/>
        <v>1</v>
      </c>
      <c r="G288" s="9" t="str">
        <f>"4"</f>
        <v>4</v>
      </c>
      <c r="H288" s="9" t="str">
        <f>"1"</f>
        <v>1</v>
      </c>
      <c r="I288" s="11">
        <v>142659758.16999999</v>
      </c>
    </row>
    <row r="289" spans="1:9" x14ac:dyDescent="0.25">
      <c r="A289" s="9">
        <v>282</v>
      </c>
      <c r="B289" s="10">
        <v>44834</v>
      </c>
      <c r="C289" s="9">
        <v>8</v>
      </c>
      <c r="D289" s="9" t="str">
        <f>"2202"</f>
        <v>2202</v>
      </c>
      <c r="E289" s="9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89" s="9" t="str">
        <f t="shared" si="48"/>
        <v>1</v>
      </c>
      <c r="G289" s="9" t="str">
        <f>"5"</f>
        <v>5</v>
      </c>
      <c r="H289" s="9" t="str">
        <f>"2"</f>
        <v>2</v>
      </c>
      <c r="I289" s="11">
        <v>13758003.15</v>
      </c>
    </row>
    <row r="290" spans="1:9" x14ac:dyDescent="0.25">
      <c r="A290" s="9">
        <v>283</v>
      </c>
      <c r="B290" s="10">
        <v>44834</v>
      </c>
      <c r="C290" s="9">
        <v>8</v>
      </c>
      <c r="D290" s="9" t="str">
        <f>"2202"</f>
        <v>2202</v>
      </c>
      <c r="E290" s="9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90" s="9" t="str">
        <f t="shared" si="48"/>
        <v>1</v>
      </c>
      <c r="G290" s="9" t="str">
        <f>"5"</f>
        <v>5</v>
      </c>
      <c r="H290" s="9" t="str">
        <f>"1"</f>
        <v>1</v>
      </c>
      <c r="I290" s="11">
        <v>46851917.869999997</v>
      </c>
    </row>
    <row r="291" spans="1:9" x14ac:dyDescent="0.25">
      <c r="A291" s="9">
        <v>284</v>
      </c>
      <c r="B291" s="10">
        <v>44834</v>
      </c>
      <c r="C291" s="9">
        <v>8</v>
      </c>
      <c r="D291" s="9" t="str">
        <f>"2220"</f>
        <v>2220</v>
      </c>
      <c r="E291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1" s="9" t="str">
        <f t="shared" si="48"/>
        <v>1</v>
      </c>
      <c r="G291" s="9" t="str">
        <f>"8"</f>
        <v>8</v>
      </c>
      <c r="H291" s="9" t="str">
        <f>"1"</f>
        <v>1</v>
      </c>
      <c r="I291" s="11">
        <v>2000000000</v>
      </c>
    </row>
    <row r="292" spans="1:9" x14ac:dyDescent="0.25">
      <c r="A292" s="9">
        <v>285</v>
      </c>
      <c r="B292" s="10">
        <v>44834</v>
      </c>
      <c r="C292" s="9">
        <v>8</v>
      </c>
      <c r="D292" s="9" t="str">
        <f>"2220"</f>
        <v>2220</v>
      </c>
      <c r="E292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2" s="9" t="str">
        <f t="shared" si="48"/>
        <v>1</v>
      </c>
      <c r="G292" s="9" t="str">
        <f>"7"</f>
        <v>7</v>
      </c>
      <c r="H292" s="9" t="str">
        <f>"1"</f>
        <v>1</v>
      </c>
      <c r="I292" s="11">
        <v>6092154823</v>
      </c>
    </row>
    <row r="293" spans="1:9" x14ac:dyDescent="0.25">
      <c r="A293" s="9">
        <v>286</v>
      </c>
      <c r="B293" s="10">
        <v>44834</v>
      </c>
      <c r="C293" s="9">
        <v>8</v>
      </c>
      <c r="D293" s="9" t="str">
        <f>"2220"</f>
        <v>2220</v>
      </c>
      <c r="E293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3" s="9" t="str">
        <f>"2"</f>
        <v>2</v>
      </c>
      <c r="G293" s="9" t="str">
        <f>"7"</f>
        <v>7</v>
      </c>
      <c r="H293" s="9" t="str">
        <f>"2"</f>
        <v>2</v>
      </c>
      <c r="I293" s="11">
        <v>476710000</v>
      </c>
    </row>
    <row r="294" spans="1:9" x14ac:dyDescent="0.25">
      <c r="A294" s="9">
        <v>287</v>
      </c>
      <c r="B294" s="10">
        <v>44834</v>
      </c>
      <c r="C294" s="9">
        <v>8</v>
      </c>
      <c r="D294" s="9" t="str">
        <f>"2220"</f>
        <v>2220</v>
      </c>
      <c r="E294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4" s="9" t="str">
        <f>"1"</f>
        <v>1</v>
      </c>
      <c r="G294" s="9" t="str">
        <f>"7"</f>
        <v>7</v>
      </c>
      <c r="H294" s="9" t="str">
        <f>"2"</f>
        <v>2</v>
      </c>
      <c r="I294" s="11">
        <v>9724884000</v>
      </c>
    </row>
    <row r="295" spans="1:9" x14ac:dyDescent="0.25">
      <c r="A295" s="9">
        <v>288</v>
      </c>
      <c r="B295" s="10">
        <v>44834</v>
      </c>
      <c r="C295" s="9">
        <v>8</v>
      </c>
      <c r="D295" s="9" t="str">
        <f>"2220"</f>
        <v>2220</v>
      </c>
      <c r="E295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5" s="9" t="str">
        <f>"1"</f>
        <v>1</v>
      </c>
      <c r="G295" s="9" t="str">
        <f>"6"</f>
        <v>6</v>
      </c>
      <c r="H295" s="9" t="str">
        <f>"1"</f>
        <v>1</v>
      </c>
      <c r="I295" s="11">
        <v>962100000</v>
      </c>
    </row>
    <row r="296" spans="1:9" x14ac:dyDescent="0.25">
      <c r="A296" s="9">
        <v>289</v>
      </c>
      <c r="B296" s="10">
        <v>44834</v>
      </c>
      <c r="C296" s="9">
        <v>8</v>
      </c>
      <c r="D296" s="9" t="str">
        <f t="shared" ref="D296:D301" si="49">"2206"</f>
        <v>2206</v>
      </c>
      <c r="E296" s="9" t="str">
        <f t="shared" ref="E296:E301" si="50">"Краткосрочные вклады физических лиц"</f>
        <v>Краткосрочные вклады физических лиц</v>
      </c>
      <c r="F296" s="9" t="str">
        <f>"2"</f>
        <v>2</v>
      </c>
      <c r="G296" s="9" t="str">
        <f t="shared" ref="G296:G301" si="51">"9"</f>
        <v>9</v>
      </c>
      <c r="H296" s="9" t="str">
        <f>"3"</f>
        <v>3</v>
      </c>
      <c r="I296" s="11">
        <v>7905802.7800000003</v>
      </c>
    </row>
    <row r="297" spans="1:9" x14ac:dyDescent="0.25">
      <c r="A297" s="9">
        <v>290</v>
      </c>
      <c r="B297" s="10">
        <v>44834</v>
      </c>
      <c r="C297" s="9">
        <v>8</v>
      </c>
      <c r="D297" s="9" t="str">
        <f t="shared" si="49"/>
        <v>2206</v>
      </c>
      <c r="E297" s="9" t="str">
        <f t="shared" si="50"/>
        <v>Краткосрочные вклады физических лиц</v>
      </c>
      <c r="F297" s="9" t="str">
        <f>"1"</f>
        <v>1</v>
      </c>
      <c r="G297" s="9" t="str">
        <f t="shared" si="51"/>
        <v>9</v>
      </c>
      <c r="H297" s="9" t="str">
        <f>"1"</f>
        <v>1</v>
      </c>
      <c r="I297" s="11">
        <v>75757531260.880005</v>
      </c>
    </row>
    <row r="298" spans="1:9" x14ac:dyDescent="0.25">
      <c r="A298" s="9">
        <v>291</v>
      </c>
      <c r="B298" s="10">
        <v>44834</v>
      </c>
      <c r="C298" s="9">
        <v>8</v>
      </c>
      <c r="D298" s="9" t="str">
        <f t="shared" si="49"/>
        <v>2206</v>
      </c>
      <c r="E298" s="9" t="str">
        <f t="shared" si="50"/>
        <v>Краткосрочные вклады физических лиц</v>
      </c>
      <c r="F298" s="9" t="str">
        <f>"2"</f>
        <v>2</v>
      </c>
      <c r="G298" s="9" t="str">
        <f t="shared" si="51"/>
        <v>9</v>
      </c>
      <c r="H298" s="9" t="str">
        <f>"1"</f>
        <v>1</v>
      </c>
      <c r="I298" s="11">
        <v>3014121541.0999999</v>
      </c>
    </row>
    <row r="299" spans="1:9" x14ac:dyDescent="0.25">
      <c r="A299" s="9">
        <v>292</v>
      </c>
      <c r="B299" s="10">
        <v>44834</v>
      </c>
      <c r="C299" s="9">
        <v>8</v>
      </c>
      <c r="D299" s="9" t="str">
        <f t="shared" si="49"/>
        <v>2206</v>
      </c>
      <c r="E299" s="9" t="str">
        <f t="shared" si="50"/>
        <v>Краткосрочные вклады физических лиц</v>
      </c>
      <c r="F299" s="9" t="str">
        <f>"1"</f>
        <v>1</v>
      </c>
      <c r="G299" s="9" t="str">
        <f t="shared" si="51"/>
        <v>9</v>
      </c>
      <c r="H299" s="9" t="str">
        <f>"2"</f>
        <v>2</v>
      </c>
      <c r="I299" s="11">
        <v>86088466019.320007</v>
      </c>
    </row>
    <row r="300" spans="1:9" x14ac:dyDescent="0.25">
      <c r="A300" s="9">
        <v>293</v>
      </c>
      <c r="B300" s="10">
        <v>44834</v>
      </c>
      <c r="C300" s="9">
        <v>8</v>
      </c>
      <c r="D300" s="9" t="str">
        <f t="shared" si="49"/>
        <v>2206</v>
      </c>
      <c r="E300" s="9" t="str">
        <f t="shared" si="50"/>
        <v>Краткосрочные вклады физических лиц</v>
      </c>
      <c r="F300" s="9" t="str">
        <f>"2"</f>
        <v>2</v>
      </c>
      <c r="G300" s="9" t="str">
        <f t="shared" si="51"/>
        <v>9</v>
      </c>
      <c r="H300" s="9" t="str">
        <f>"2"</f>
        <v>2</v>
      </c>
      <c r="I300" s="11">
        <v>18473932078.869999</v>
      </c>
    </row>
    <row r="301" spans="1:9" x14ac:dyDescent="0.25">
      <c r="A301" s="9">
        <v>294</v>
      </c>
      <c r="B301" s="10">
        <v>44834</v>
      </c>
      <c r="C301" s="9">
        <v>8</v>
      </c>
      <c r="D301" s="9" t="str">
        <f t="shared" si="49"/>
        <v>2206</v>
      </c>
      <c r="E301" s="9" t="str">
        <f t="shared" si="50"/>
        <v>Краткосрочные вклады физических лиц</v>
      </c>
      <c r="F301" s="9" t="str">
        <f>"1"</f>
        <v>1</v>
      </c>
      <c r="G301" s="9" t="str">
        <f t="shared" si="51"/>
        <v>9</v>
      </c>
      <c r="H301" s="9" t="str">
        <f>"3"</f>
        <v>3</v>
      </c>
      <c r="I301" s="11">
        <v>100357144.68000001</v>
      </c>
    </row>
    <row r="302" spans="1:9" x14ac:dyDescent="0.25">
      <c r="A302" s="9">
        <v>295</v>
      </c>
      <c r="B302" s="10">
        <v>44834</v>
      </c>
      <c r="C302" s="9">
        <v>8</v>
      </c>
      <c r="D302" s="9" t="str">
        <f>"2127"</f>
        <v>2127</v>
      </c>
      <c r="E302" s="9" t="str">
        <f>"Долгосрочные вклады других банков"</f>
        <v>Долгосрочные вклады других банков</v>
      </c>
      <c r="F302" s="9" t="str">
        <f>"2"</f>
        <v>2</v>
      </c>
      <c r="G302" s="9" t="str">
        <f>"4"</f>
        <v>4</v>
      </c>
      <c r="H302" s="9" t="str">
        <f>"2"</f>
        <v>2</v>
      </c>
      <c r="I302" s="11">
        <v>4767100000</v>
      </c>
    </row>
    <row r="303" spans="1:9" x14ac:dyDescent="0.25">
      <c r="A303" s="9">
        <v>296</v>
      </c>
      <c r="B303" s="10">
        <v>44834</v>
      </c>
      <c r="C303" s="9">
        <v>8</v>
      </c>
      <c r="D303" s="9" t="str">
        <f t="shared" ref="D303:D308" si="52">"2207"</f>
        <v>2207</v>
      </c>
      <c r="E303" s="9" t="str">
        <f t="shared" ref="E303:E308" si="53">"Долгосрочные вклады физических лиц"</f>
        <v>Долгосрочные вклады физических лиц</v>
      </c>
      <c r="F303" s="9" t="str">
        <f>"1"</f>
        <v>1</v>
      </c>
      <c r="G303" s="9" t="str">
        <f t="shared" ref="G303:G308" si="54">"9"</f>
        <v>9</v>
      </c>
      <c r="H303" s="9" t="str">
        <f>"2"</f>
        <v>2</v>
      </c>
      <c r="I303" s="11">
        <v>60635647936.709999</v>
      </c>
    </row>
    <row r="304" spans="1:9" x14ac:dyDescent="0.25">
      <c r="A304" s="9">
        <v>297</v>
      </c>
      <c r="B304" s="10">
        <v>44834</v>
      </c>
      <c r="C304" s="9">
        <v>8</v>
      </c>
      <c r="D304" s="9" t="str">
        <f t="shared" si="52"/>
        <v>2207</v>
      </c>
      <c r="E304" s="9" t="str">
        <f t="shared" si="53"/>
        <v>Долгосрочные вклады физических лиц</v>
      </c>
      <c r="F304" s="9" t="str">
        <f>"2"</f>
        <v>2</v>
      </c>
      <c r="G304" s="9" t="str">
        <f t="shared" si="54"/>
        <v>9</v>
      </c>
      <c r="H304" s="9" t="str">
        <f>"3"</f>
        <v>3</v>
      </c>
      <c r="I304" s="11">
        <v>6255.13</v>
      </c>
    </row>
    <row r="305" spans="1:9" x14ac:dyDescent="0.25">
      <c r="A305" s="9">
        <v>298</v>
      </c>
      <c r="B305" s="10">
        <v>44834</v>
      </c>
      <c r="C305" s="9">
        <v>8</v>
      </c>
      <c r="D305" s="9" t="str">
        <f t="shared" si="52"/>
        <v>2207</v>
      </c>
      <c r="E305" s="9" t="str">
        <f t="shared" si="53"/>
        <v>Долгосрочные вклады физических лиц</v>
      </c>
      <c r="F305" s="9" t="str">
        <f>"2"</f>
        <v>2</v>
      </c>
      <c r="G305" s="9" t="str">
        <f t="shared" si="54"/>
        <v>9</v>
      </c>
      <c r="H305" s="9" t="str">
        <f>"2"</f>
        <v>2</v>
      </c>
      <c r="I305" s="11">
        <v>173777989.49000001</v>
      </c>
    </row>
    <row r="306" spans="1:9" x14ac:dyDescent="0.25">
      <c r="A306" s="9">
        <v>299</v>
      </c>
      <c r="B306" s="10">
        <v>44834</v>
      </c>
      <c r="C306" s="9">
        <v>8</v>
      </c>
      <c r="D306" s="9" t="str">
        <f t="shared" si="52"/>
        <v>2207</v>
      </c>
      <c r="E306" s="9" t="str">
        <f t="shared" si="53"/>
        <v>Долгосрочные вклады физических лиц</v>
      </c>
      <c r="F306" s="9" t="str">
        <f>"2"</f>
        <v>2</v>
      </c>
      <c r="G306" s="9" t="str">
        <f t="shared" si="54"/>
        <v>9</v>
      </c>
      <c r="H306" s="9" t="str">
        <f>"1"</f>
        <v>1</v>
      </c>
      <c r="I306" s="11">
        <v>37962923.799999997</v>
      </c>
    </row>
    <row r="307" spans="1:9" x14ac:dyDescent="0.25">
      <c r="A307" s="9">
        <v>300</v>
      </c>
      <c r="B307" s="10">
        <v>44834</v>
      </c>
      <c r="C307" s="9">
        <v>8</v>
      </c>
      <c r="D307" s="9" t="str">
        <f t="shared" si="52"/>
        <v>2207</v>
      </c>
      <c r="E307" s="9" t="str">
        <f t="shared" si="53"/>
        <v>Долгосрочные вклады физических лиц</v>
      </c>
      <c r="F307" s="9" t="str">
        <f t="shared" ref="F307:F313" si="55">"1"</f>
        <v>1</v>
      </c>
      <c r="G307" s="9" t="str">
        <f t="shared" si="54"/>
        <v>9</v>
      </c>
      <c r="H307" s="9" t="str">
        <f>"3"</f>
        <v>3</v>
      </c>
      <c r="I307" s="11">
        <v>39031141.43</v>
      </c>
    </row>
    <row r="308" spans="1:9" x14ac:dyDescent="0.25">
      <c r="A308" s="9">
        <v>301</v>
      </c>
      <c r="B308" s="10">
        <v>44834</v>
      </c>
      <c r="C308" s="9">
        <v>8</v>
      </c>
      <c r="D308" s="9" t="str">
        <f t="shared" si="52"/>
        <v>2207</v>
      </c>
      <c r="E308" s="9" t="str">
        <f t="shared" si="53"/>
        <v>Долгосрочные вклады физических лиц</v>
      </c>
      <c r="F308" s="9" t="str">
        <f t="shared" si="55"/>
        <v>1</v>
      </c>
      <c r="G308" s="9" t="str">
        <f t="shared" si="54"/>
        <v>9</v>
      </c>
      <c r="H308" s="9" t="str">
        <f>"1"</f>
        <v>1</v>
      </c>
      <c r="I308" s="11">
        <v>6332681095.1400003</v>
      </c>
    </row>
    <row r="309" spans="1:9" x14ac:dyDescent="0.25">
      <c r="A309" s="9">
        <v>302</v>
      </c>
      <c r="B309" s="10">
        <v>44834</v>
      </c>
      <c r="C309" s="9">
        <v>8</v>
      </c>
      <c r="D309" s="9" t="str">
        <f>"2211"</f>
        <v>2211</v>
      </c>
      <c r="E309" s="9" t="str">
        <f>"Вклады до востребования юридических лиц"</f>
        <v>Вклады до востребования юридических лиц</v>
      </c>
      <c r="F309" s="9" t="str">
        <f t="shared" si="55"/>
        <v>1</v>
      </c>
      <c r="G309" s="9" t="str">
        <f>"5"</f>
        <v>5</v>
      </c>
      <c r="H309" s="9" t="str">
        <f>"2"</f>
        <v>2</v>
      </c>
      <c r="I309" s="11">
        <v>1039971.47</v>
      </c>
    </row>
    <row r="310" spans="1:9" x14ac:dyDescent="0.25">
      <c r="A310" s="9">
        <v>303</v>
      </c>
      <c r="B310" s="10">
        <v>44834</v>
      </c>
      <c r="C310" s="9">
        <v>8</v>
      </c>
      <c r="D310" s="9" t="str">
        <f>"2211"</f>
        <v>2211</v>
      </c>
      <c r="E310" s="9" t="str">
        <f>"Вклады до востребования юридических лиц"</f>
        <v>Вклады до востребования юридических лиц</v>
      </c>
      <c r="F310" s="9" t="str">
        <f t="shared" si="55"/>
        <v>1</v>
      </c>
      <c r="G310" s="9" t="str">
        <f>"7"</f>
        <v>7</v>
      </c>
      <c r="H310" s="9" t="str">
        <f>"2"</f>
        <v>2</v>
      </c>
      <c r="I310" s="11">
        <v>210870583.97</v>
      </c>
    </row>
    <row r="311" spans="1:9" x14ac:dyDescent="0.25">
      <c r="A311" s="9">
        <v>304</v>
      </c>
      <c r="B311" s="10">
        <v>44834</v>
      </c>
      <c r="C311" s="9">
        <v>8</v>
      </c>
      <c r="D311" s="9" t="str">
        <f>"2211"</f>
        <v>2211</v>
      </c>
      <c r="E311" s="9" t="str">
        <f>"Вклады до востребования юридических лиц"</f>
        <v>Вклады до востребования юридических лиц</v>
      </c>
      <c r="F311" s="9" t="str">
        <f t="shared" si="55"/>
        <v>1</v>
      </c>
      <c r="G311" s="9" t="str">
        <f>"7"</f>
        <v>7</v>
      </c>
      <c r="H311" s="9" t="str">
        <f>"1"</f>
        <v>1</v>
      </c>
      <c r="I311" s="11">
        <v>127200000</v>
      </c>
    </row>
    <row r="312" spans="1:9" x14ac:dyDescent="0.25">
      <c r="A312" s="9">
        <v>305</v>
      </c>
      <c r="B312" s="10">
        <v>44834</v>
      </c>
      <c r="C312" s="9">
        <v>8</v>
      </c>
      <c r="D312" s="9" t="str">
        <f>"2223"</f>
        <v>2223</v>
      </c>
      <c r="E312" s="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12" s="9" t="str">
        <f t="shared" si="55"/>
        <v>1</v>
      </c>
      <c r="G312" s="9" t="str">
        <f>"7"</f>
        <v>7</v>
      </c>
      <c r="H312" s="9" t="str">
        <f>"2"</f>
        <v>2</v>
      </c>
      <c r="I312" s="11">
        <v>64935392215.300003</v>
      </c>
    </row>
    <row r="313" spans="1:9" x14ac:dyDescent="0.25">
      <c r="A313" s="9">
        <v>306</v>
      </c>
      <c r="B313" s="10">
        <v>44834</v>
      </c>
      <c r="C313" s="9">
        <v>8</v>
      </c>
      <c r="D313" s="9" t="str">
        <f>"2223"</f>
        <v>2223</v>
      </c>
      <c r="E313" s="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13" s="9" t="str">
        <f t="shared" si="55"/>
        <v>1</v>
      </c>
      <c r="G313" s="9" t="str">
        <f>"7"</f>
        <v>7</v>
      </c>
      <c r="H313" s="9" t="str">
        <f>"1"</f>
        <v>1</v>
      </c>
      <c r="I313" s="11">
        <v>24708868435.330002</v>
      </c>
    </row>
    <row r="314" spans="1:9" x14ac:dyDescent="0.25">
      <c r="A314" s="9">
        <v>307</v>
      </c>
      <c r="B314" s="10">
        <v>44834</v>
      </c>
      <c r="C314" s="9">
        <v>8</v>
      </c>
      <c r="D314" s="9" t="str">
        <f t="shared" ref="D314:D319" si="56">"2204"</f>
        <v>2204</v>
      </c>
      <c r="E314" s="9" t="str">
        <f t="shared" ref="E314:E319" si="57">"Текущие счета физических лиц"</f>
        <v>Текущие счета физических лиц</v>
      </c>
      <c r="F314" s="9" t="str">
        <f>"2"</f>
        <v>2</v>
      </c>
      <c r="G314" s="9" t="str">
        <f t="shared" ref="G314:G322" si="58">"9"</f>
        <v>9</v>
      </c>
      <c r="H314" s="9" t="str">
        <f>"1"</f>
        <v>1</v>
      </c>
      <c r="I314" s="11">
        <v>768167247.53999996</v>
      </c>
    </row>
    <row r="315" spans="1:9" x14ac:dyDescent="0.25">
      <c r="A315" s="9">
        <v>308</v>
      </c>
      <c r="B315" s="10">
        <v>44834</v>
      </c>
      <c r="C315" s="9">
        <v>8</v>
      </c>
      <c r="D315" s="9" t="str">
        <f t="shared" si="56"/>
        <v>2204</v>
      </c>
      <c r="E315" s="9" t="str">
        <f t="shared" si="57"/>
        <v>Текущие счета физических лиц</v>
      </c>
      <c r="F315" s="9" t="str">
        <f>"2"</f>
        <v>2</v>
      </c>
      <c r="G315" s="9" t="str">
        <f t="shared" si="58"/>
        <v>9</v>
      </c>
      <c r="H315" s="9" t="str">
        <f>"2"</f>
        <v>2</v>
      </c>
      <c r="I315" s="11">
        <v>21098106255.549999</v>
      </c>
    </row>
    <row r="316" spans="1:9" x14ac:dyDescent="0.25">
      <c r="A316" s="9">
        <v>309</v>
      </c>
      <c r="B316" s="10">
        <v>44834</v>
      </c>
      <c r="C316" s="9">
        <v>8</v>
      </c>
      <c r="D316" s="9" t="str">
        <f t="shared" si="56"/>
        <v>2204</v>
      </c>
      <c r="E316" s="9" t="str">
        <f t="shared" si="57"/>
        <v>Текущие счета физических лиц</v>
      </c>
      <c r="F316" s="9" t="str">
        <f>"1"</f>
        <v>1</v>
      </c>
      <c r="G316" s="9" t="str">
        <f t="shared" si="58"/>
        <v>9</v>
      </c>
      <c r="H316" s="9" t="str">
        <f>"3"</f>
        <v>3</v>
      </c>
      <c r="I316" s="11">
        <v>266955714.71000001</v>
      </c>
    </row>
    <row r="317" spans="1:9" x14ac:dyDescent="0.25">
      <c r="A317" s="9">
        <v>310</v>
      </c>
      <c r="B317" s="10">
        <v>44834</v>
      </c>
      <c r="C317" s="9">
        <v>8</v>
      </c>
      <c r="D317" s="9" t="str">
        <f t="shared" si="56"/>
        <v>2204</v>
      </c>
      <c r="E317" s="9" t="str">
        <f t="shared" si="57"/>
        <v>Текущие счета физических лиц</v>
      </c>
      <c r="F317" s="9" t="str">
        <f>"2"</f>
        <v>2</v>
      </c>
      <c r="G317" s="9" t="str">
        <f t="shared" si="58"/>
        <v>9</v>
      </c>
      <c r="H317" s="9" t="str">
        <f>"3"</f>
        <v>3</v>
      </c>
      <c r="I317" s="11">
        <v>2123200381.99</v>
      </c>
    </row>
    <row r="318" spans="1:9" x14ac:dyDescent="0.25">
      <c r="A318" s="9">
        <v>311</v>
      </c>
      <c r="B318" s="10">
        <v>44834</v>
      </c>
      <c r="C318" s="9">
        <v>8</v>
      </c>
      <c r="D318" s="9" t="str">
        <f t="shared" si="56"/>
        <v>2204</v>
      </c>
      <c r="E318" s="9" t="str">
        <f t="shared" si="57"/>
        <v>Текущие счета физических лиц</v>
      </c>
      <c r="F318" s="9" t="str">
        <f t="shared" ref="F318:F324" si="59">"1"</f>
        <v>1</v>
      </c>
      <c r="G318" s="9" t="str">
        <f t="shared" si="58"/>
        <v>9</v>
      </c>
      <c r="H318" s="9" t="str">
        <f>"1"</f>
        <v>1</v>
      </c>
      <c r="I318" s="11">
        <v>15905059394.190001</v>
      </c>
    </row>
    <row r="319" spans="1:9" x14ac:dyDescent="0.25">
      <c r="A319" s="9">
        <v>312</v>
      </c>
      <c r="B319" s="10">
        <v>44834</v>
      </c>
      <c r="C319" s="9">
        <v>8</v>
      </c>
      <c r="D319" s="9" t="str">
        <f t="shared" si="56"/>
        <v>2204</v>
      </c>
      <c r="E319" s="9" t="str">
        <f t="shared" si="57"/>
        <v>Текущие счета физических лиц</v>
      </c>
      <c r="F319" s="9" t="str">
        <f t="shared" si="59"/>
        <v>1</v>
      </c>
      <c r="G319" s="9" t="str">
        <f t="shared" si="58"/>
        <v>9</v>
      </c>
      <c r="H319" s="9" t="str">
        <f>"2"</f>
        <v>2</v>
      </c>
      <c r="I319" s="11">
        <v>7092833613.1599998</v>
      </c>
    </row>
    <row r="320" spans="1:9" x14ac:dyDescent="0.25">
      <c r="A320" s="9">
        <v>313</v>
      </c>
      <c r="B320" s="10">
        <v>44834</v>
      </c>
      <c r="C320" s="9">
        <v>8</v>
      </c>
      <c r="D320" s="9" t="str">
        <f>"2212"</f>
        <v>2212</v>
      </c>
      <c r="E320" s="9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20" s="9" t="str">
        <f t="shared" si="59"/>
        <v>1</v>
      </c>
      <c r="G320" s="9" t="str">
        <f t="shared" si="58"/>
        <v>9</v>
      </c>
      <c r="H320" s="9" t="str">
        <f>""</f>
        <v/>
      </c>
      <c r="I320" s="11">
        <v>255590546.03999999</v>
      </c>
    </row>
    <row r="321" spans="1:9" x14ac:dyDescent="0.25">
      <c r="A321" s="9">
        <v>314</v>
      </c>
      <c r="B321" s="10">
        <v>44834</v>
      </c>
      <c r="C321" s="9">
        <v>8</v>
      </c>
      <c r="D321" s="9" t="str">
        <f>"2208"</f>
        <v>2208</v>
      </c>
      <c r="E321" s="9" t="str">
        <f>"Условные вклады физических лиц"</f>
        <v>Условные вклады физических лиц</v>
      </c>
      <c r="F321" s="9" t="str">
        <f t="shared" si="59"/>
        <v>1</v>
      </c>
      <c r="G321" s="9" t="str">
        <f t="shared" si="58"/>
        <v>9</v>
      </c>
      <c r="H321" s="9" t="str">
        <f>"1"</f>
        <v>1</v>
      </c>
      <c r="I321" s="11">
        <v>5000</v>
      </c>
    </row>
    <row r="322" spans="1:9" x14ac:dyDescent="0.25">
      <c r="A322" s="9">
        <v>315</v>
      </c>
      <c r="B322" s="10">
        <v>44834</v>
      </c>
      <c r="C322" s="9">
        <v>8</v>
      </c>
      <c r="D322" s="9" t="str">
        <f>"2227"</f>
        <v>2227</v>
      </c>
      <c r="E322" s="9" t="str">
        <f>"Обязательства по аренде"</f>
        <v>Обязательства по аренде</v>
      </c>
      <c r="F322" s="9" t="str">
        <f t="shared" si="59"/>
        <v>1</v>
      </c>
      <c r="G322" s="9" t="str">
        <f t="shared" si="58"/>
        <v>9</v>
      </c>
      <c r="H322" s="9" t="str">
        <f>"1"</f>
        <v>1</v>
      </c>
      <c r="I322" s="11">
        <v>504121425.82999998</v>
      </c>
    </row>
    <row r="323" spans="1:9" x14ac:dyDescent="0.25">
      <c r="A323" s="9">
        <v>316</v>
      </c>
      <c r="B323" s="10">
        <v>44834</v>
      </c>
      <c r="C323" s="9">
        <v>8</v>
      </c>
      <c r="D323" s="9" t="str">
        <f>"2227"</f>
        <v>2227</v>
      </c>
      <c r="E323" s="9" t="str">
        <f>"Обязательства по аренде"</f>
        <v>Обязательства по аренде</v>
      </c>
      <c r="F323" s="9" t="str">
        <f t="shared" si="59"/>
        <v>1</v>
      </c>
      <c r="G323" s="9" t="str">
        <f>"7"</f>
        <v>7</v>
      </c>
      <c r="H323" s="9" t="str">
        <f>"1"</f>
        <v>1</v>
      </c>
      <c r="I323" s="11">
        <v>386596018.72000003</v>
      </c>
    </row>
    <row r="324" spans="1:9" x14ac:dyDescent="0.25">
      <c r="A324" s="9">
        <v>317</v>
      </c>
      <c r="B324" s="10">
        <v>44834</v>
      </c>
      <c r="C324" s="9">
        <v>8</v>
      </c>
      <c r="D324" s="9" t="str">
        <f>"2140"</f>
        <v>2140</v>
      </c>
      <c r="E324" s="9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324" s="9" t="str">
        <f t="shared" si="59"/>
        <v>1</v>
      </c>
      <c r="G324" s="9" t="str">
        <f>"3"</f>
        <v>3</v>
      </c>
      <c r="H324" s="9" t="str">
        <f>"1"</f>
        <v>1</v>
      </c>
      <c r="I324" s="11">
        <v>-108903212.41</v>
      </c>
    </row>
    <row r="325" spans="1:9" x14ac:dyDescent="0.25">
      <c r="A325" s="9">
        <v>318</v>
      </c>
      <c r="B325" s="10">
        <v>44834</v>
      </c>
      <c r="C325" s="9">
        <v>8</v>
      </c>
      <c r="D325" s="9" t="str">
        <f>"2214"</f>
        <v>2214</v>
      </c>
      <c r="E325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5" s="9" t="str">
        <f>"2"</f>
        <v>2</v>
      </c>
      <c r="G325" s="9" t="str">
        <f>"9"</f>
        <v>9</v>
      </c>
      <c r="H325" s="9" t="str">
        <f>"2"</f>
        <v>2</v>
      </c>
      <c r="I325" s="11">
        <v>597314717.29999995</v>
      </c>
    </row>
    <row r="326" spans="1:9" x14ac:dyDescent="0.25">
      <c r="A326" s="9">
        <v>319</v>
      </c>
      <c r="B326" s="10">
        <v>44834</v>
      </c>
      <c r="C326" s="9">
        <v>8</v>
      </c>
      <c r="D326" s="9" t="str">
        <f>"2214"</f>
        <v>2214</v>
      </c>
      <c r="E326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6" s="9" t="str">
        <f>"1"</f>
        <v>1</v>
      </c>
      <c r="G326" s="9" t="str">
        <f>"9"</f>
        <v>9</v>
      </c>
      <c r="H326" s="9" t="str">
        <f>"1"</f>
        <v>1</v>
      </c>
      <c r="I326" s="11">
        <v>42381008390.690002</v>
      </c>
    </row>
    <row r="327" spans="1:9" x14ac:dyDescent="0.25">
      <c r="A327" s="9">
        <v>320</v>
      </c>
      <c r="B327" s="10">
        <v>44834</v>
      </c>
      <c r="C327" s="9">
        <v>8</v>
      </c>
      <c r="D327" s="9" t="str">
        <f>"2214"</f>
        <v>2214</v>
      </c>
      <c r="E327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7" s="9" t="str">
        <f>"1"</f>
        <v>1</v>
      </c>
      <c r="G327" s="9" t="str">
        <f>"9"</f>
        <v>9</v>
      </c>
      <c r="H327" s="9" t="str">
        <f>"2"</f>
        <v>2</v>
      </c>
      <c r="I327" s="11">
        <v>379659472.57999998</v>
      </c>
    </row>
    <row r="328" spans="1:9" x14ac:dyDescent="0.25">
      <c r="A328" s="9">
        <v>321</v>
      </c>
      <c r="B328" s="10">
        <v>44834</v>
      </c>
      <c r="C328" s="9">
        <v>8</v>
      </c>
      <c r="D328" s="9" t="str">
        <f>"2214"</f>
        <v>2214</v>
      </c>
      <c r="E328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8" s="9" t="str">
        <f>"2"</f>
        <v>2</v>
      </c>
      <c r="G328" s="9" t="str">
        <f>"9"</f>
        <v>9</v>
      </c>
      <c r="H328" s="9" t="str">
        <f>"1"</f>
        <v>1</v>
      </c>
      <c r="I328" s="11">
        <v>395796917.26999998</v>
      </c>
    </row>
    <row r="329" spans="1:9" x14ac:dyDescent="0.25">
      <c r="A329" s="9">
        <v>322</v>
      </c>
      <c r="B329" s="10">
        <v>44834</v>
      </c>
      <c r="C329" s="9">
        <v>8</v>
      </c>
      <c r="D329" s="9" t="str">
        <f>"2218"</f>
        <v>2218</v>
      </c>
      <c r="E329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29" s="9" t="str">
        <f>"1"</f>
        <v>1</v>
      </c>
      <c r="G329" s="9" t="str">
        <f>"7"</f>
        <v>7</v>
      </c>
      <c r="H329" s="9" t="str">
        <f>"1"</f>
        <v>1</v>
      </c>
      <c r="I329" s="11">
        <v>10856949.6</v>
      </c>
    </row>
    <row r="330" spans="1:9" x14ac:dyDescent="0.25">
      <c r="A330" s="9">
        <v>323</v>
      </c>
      <c r="B330" s="10">
        <v>44834</v>
      </c>
      <c r="C330" s="9">
        <v>8</v>
      </c>
      <c r="D330" s="9" t="str">
        <f>"2218"</f>
        <v>2218</v>
      </c>
      <c r="E330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30" s="9" t="str">
        <f>"1"</f>
        <v>1</v>
      </c>
      <c r="G330" s="9" t="str">
        <f>"5"</f>
        <v>5</v>
      </c>
      <c r="H330" s="9" t="str">
        <f>"1"</f>
        <v>1</v>
      </c>
      <c r="I330" s="11">
        <v>1610567659.0899999</v>
      </c>
    </row>
    <row r="331" spans="1:9" x14ac:dyDescent="0.25">
      <c r="A331" s="9">
        <v>324</v>
      </c>
      <c r="B331" s="10">
        <v>44834</v>
      </c>
      <c r="C331" s="9">
        <v>8</v>
      </c>
      <c r="D331" s="9" t="str">
        <f>"2013"</f>
        <v>2013</v>
      </c>
      <c r="E331" s="9" t="str">
        <f>"Корреспондентские счета других банков"</f>
        <v>Корреспондентские счета других банков</v>
      </c>
      <c r="F331" s="9" t="str">
        <f>"2"</f>
        <v>2</v>
      </c>
      <c r="G331" s="9" t="str">
        <f>"4"</f>
        <v>4</v>
      </c>
      <c r="H331" s="9" t="str">
        <f>"1"</f>
        <v>1</v>
      </c>
      <c r="I331" s="11">
        <v>2324326.0699999998</v>
      </c>
    </row>
    <row r="332" spans="1:9" x14ac:dyDescent="0.25">
      <c r="A332" s="9">
        <v>325</v>
      </c>
      <c r="B332" s="10">
        <v>44834</v>
      </c>
      <c r="C332" s="9">
        <v>8</v>
      </c>
      <c r="D332" s="9" t="str">
        <f>"2013"</f>
        <v>2013</v>
      </c>
      <c r="E332" s="9" t="str">
        <f>"Корреспондентские счета других банков"</f>
        <v>Корреспондентские счета других банков</v>
      </c>
      <c r="F332" s="9" t="str">
        <f>"2"</f>
        <v>2</v>
      </c>
      <c r="G332" s="9" t="str">
        <f>"4"</f>
        <v>4</v>
      </c>
      <c r="H332" s="9" t="str">
        <f>"3"</f>
        <v>3</v>
      </c>
      <c r="I332" s="11">
        <v>82043668.459999993</v>
      </c>
    </row>
    <row r="333" spans="1:9" x14ac:dyDescent="0.25">
      <c r="A333" s="9">
        <v>326</v>
      </c>
      <c r="B333" s="10">
        <v>44834</v>
      </c>
      <c r="C333" s="9">
        <v>8</v>
      </c>
      <c r="D333" s="9" t="str">
        <f>"2013"</f>
        <v>2013</v>
      </c>
      <c r="E333" s="9" t="str">
        <f>"Корреспондентские счета других банков"</f>
        <v>Корреспондентские счета других банков</v>
      </c>
      <c r="F333" s="9" t="str">
        <f>"2"</f>
        <v>2</v>
      </c>
      <c r="G333" s="9" t="str">
        <f>"4"</f>
        <v>4</v>
      </c>
      <c r="H333" s="9" t="str">
        <f>"2"</f>
        <v>2</v>
      </c>
      <c r="I333" s="11">
        <v>5344813480.1899996</v>
      </c>
    </row>
    <row r="334" spans="1:9" x14ac:dyDescent="0.25">
      <c r="A334" s="9">
        <v>327</v>
      </c>
      <c r="B334" s="10">
        <v>44834</v>
      </c>
      <c r="C334" s="9">
        <v>8</v>
      </c>
      <c r="D334" s="9" t="str">
        <f>"2229"</f>
        <v>2229</v>
      </c>
      <c r="E334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34" s="9" t="str">
        <f>"1"</f>
        <v>1</v>
      </c>
      <c r="G334" s="9" t="str">
        <f>"9"</f>
        <v>9</v>
      </c>
      <c r="H334" s="9" t="str">
        <f>"2"</f>
        <v>2</v>
      </c>
      <c r="I334" s="11">
        <v>36808461.890000001</v>
      </c>
    </row>
    <row r="335" spans="1:9" x14ac:dyDescent="0.25">
      <c r="A335" s="9">
        <v>328</v>
      </c>
      <c r="B335" s="10">
        <v>44834</v>
      </c>
      <c r="C335" s="9">
        <v>8</v>
      </c>
      <c r="D335" s="9" t="str">
        <f>"2229"</f>
        <v>2229</v>
      </c>
      <c r="E335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35" s="9" t="str">
        <f>"1"</f>
        <v>1</v>
      </c>
      <c r="G335" s="9" t="str">
        <f>"9"</f>
        <v>9</v>
      </c>
      <c r="H335" s="9" t="str">
        <f>"1"</f>
        <v>1</v>
      </c>
      <c r="I335" s="11">
        <v>1517355120.5699999</v>
      </c>
    </row>
    <row r="336" spans="1:9" x14ac:dyDescent="0.25">
      <c r="A336" s="9">
        <v>329</v>
      </c>
      <c r="B336" s="10">
        <v>44834</v>
      </c>
      <c r="C336" s="9">
        <v>8</v>
      </c>
      <c r="D336" s="9" t="str">
        <f>"2229"</f>
        <v>2229</v>
      </c>
      <c r="E336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36" s="9" t="str">
        <f>"2"</f>
        <v>2</v>
      </c>
      <c r="G336" s="9" t="str">
        <f>"9"</f>
        <v>9</v>
      </c>
      <c r="H336" s="9" t="str">
        <f>"1"</f>
        <v>1</v>
      </c>
      <c r="I336" s="11">
        <v>18166786.57</v>
      </c>
    </row>
    <row r="337" spans="1:9" x14ac:dyDescent="0.25">
      <c r="A337" s="9">
        <v>330</v>
      </c>
      <c r="B337" s="10">
        <v>44834</v>
      </c>
      <c r="C337" s="9">
        <v>8</v>
      </c>
      <c r="D337" s="9" t="str">
        <f>"2213"</f>
        <v>2213</v>
      </c>
      <c r="E337" s="9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37" s="9" t="str">
        <f>"1"</f>
        <v>1</v>
      </c>
      <c r="G337" s="9" t="str">
        <f>"9"</f>
        <v>9</v>
      </c>
      <c r="H337" s="9" t="str">
        <f>"2"</f>
        <v>2</v>
      </c>
      <c r="I337" s="11">
        <v>28953835794.330002</v>
      </c>
    </row>
    <row r="338" spans="1:9" x14ac:dyDescent="0.25">
      <c r="A338" s="9">
        <v>331</v>
      </c>
      <c r="B338" s="10">
        <v>44834</v>
      </c>
      <c r="C338" s="9">
        <v>8</v>
      </c>
      <c r="D338" s="9" t="str">
        <f>"2213"</f>
        <v>2213</v>
      </c>
      <c r="E338" s="9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38" s="9" t="str">
        <f>"1"</f>
        <v>1</v>
      </c>
      <c r="G338" s="9" t="str">
        <f>"9"</f>
        <v>9</v>
      </c>
      <c r="H338" s="9" t="str">
        <f>"1"</f>
        <v>1</v>
      </c>
      <c r="I338" s="11">
        <v>14094090719.17</v>
      </c>
    </row>
    <row r="339" spans="1:9" x14ac:dyDescent="0.25">
      <c r="A339" s="9">
        <v>332</v>
      </c>
      <c r="B339" s="10">
        <v>44834</v>
      </c>
      <c r="C339" s="9">
        <v>8</v>
      </c>
      <c r="D339" s="9" t="str">
        <f t="shared" ref="D339:D350" si="60">"2215"</f>
        <v>2215</v>
      </c>
      <c r="E339" s="9" t="str">
        <f t="shared" ref="E339:E350" si="61">"Краткосрочные вклады юридических лиц"</f>
        <v>Краткосрочные вклады юридических лиц</v>
      </c>
      <c r="F339" s="9" t="str">
        <f>"1"</f>
        <v>1</v>
      </c>
      <c r="G339" s="9" t="str">
        <f>"8"</f>
        <v>8</v>
      </c>
      <c r="H339" s="9" t="str">
        <f>"3"</f>
        <v>3</v>
      </c>
      <c r="I339" s="11">
        <v>127360469.23999999</v>
      </c>
    </row>
    <row r="340" spans="1:9" x14ac:dyDescent="0.25">
      <c r="A340" s="9">
        <v>333</v>
      </c>
      <c r="B340" s="10">
        <v>44834</v>
      </c>
      <c r="C340" s="9">
        <v>8</v>
      </c>
      <c r="D340" s="9" t="str">
        <f t="shared" si="60"/>
        <v>2215</v>
      </c>
      <c r="E340" s="9" t="str">
        <f t="shared" si="61"/>
        <v>Краткосрочные вклады юридических лиц</v>
      </c>
      <c r="F340" s="9" t="str">
        <f>"1"</f>
        <v>1</v>
      </c>
      <c r="G340" s="9" t="str">
        <f>"7"</f>
        <v>7</v>
      </c>
      <c r="H340" s="9" t="str">
        <f>"1"</f>
        <v>1</v>
      </c>
      <c r="I340" s="11">
        <v>91891473361.139999</v>
      </c>
    </row>
    <row r="341" spans="1:9" x14ac:dyDescent="0.25">
      <c r="A341" s="9">
        <v>334</v>
      </c>
      <c r="B341" s="10">
        <v>44834</v>
      </c>
      <c r="C341" s="9">
        <v>8</v>
      </c>
      <c r="D341" s="9" t="str">
        <f t="shared" si="60"/>
        <v>2215</v>
      </c>
      <c r="E341" s="9" t="str">
        <f t="shared" si="61"/>
        <v>Краткосрочные вклады юридических лиц</v>
      </c>
      <c r="F341" s="9" t="str">
        <f>"1"</f>
        <v>1</v>
      </c>
      <c r="G341" s="9" t="str">
        <f>"7"</f>
        <v>7</v>
      </c>
      <c r="H341" s="9" t="str">
        <f>"2"</f>
        <v>2</v>
      </c>
      <c r="I341" s="11">
        <v>80998178297.5</v>
      </c>
    </row>
    <row r="342" spans="1:9" x14ac:dyDescent="0.25">
      <c r="A342" s="9">
        <v>335</v>
      </c>
      <c r="B342" s="10">
        <v>44834</v>
      </c>
      <c r="C342" s="9">
        <v>8</v>
      </c>
      <c r="D342" s="9" t="str">
        <f t="shared" si="60"/>
        <v>2215</v>
      </c>
      <c r="E342" s="9" t="str">
        <f t="shared" si="61"/>
        <v>Краткосрочные вклады юридических лиц</v>
      </c>
      <c r="F342" s="9" t="str">
        <f>"2"</f>
        <v>2</v>
      </c>
      <c r="G342" s="9" t="str">
        <f>"7"</f>
        <v>7</v>
      </c>
      <c r="H342" s="9" t="str">
        <f>"2"</f>
        <v>2</v>
      </c>
      <c r="I342" s="11">
        <v>47536178423.07</v>
      </c>
    </row>
    <row r="343" spans="1:9" x14ac:dyDescent="0.25">
      <c r="A343" s="9">
        <v>336</v>
      </c>
      <c r="B343" s="10">
        <v>44834</v>
      </c>
      <c r="C343" s="9">
        <v>8</v>
      </c>
      <c r="D343" s="9" t="str">
        <f t="shared" si="60"/>
        <v>2215</v>
      </c>
      <c r="E343" s="9" t="str">
        <f t="shared" si="61"/>
        <v>Краткосрочные вклады юридических лиц</v>
      </c>
      <c r="F343" s="9" t="str">
        <f>"1"</f>
        <v>1</v>
      </c>
      <c r="G343" s="9" t="str">
        <f>"8"</f>
        <v>8</v>
      </c>
      <c r="H343" s="9" t="str">
        <f>"1"</f>
        <v>1</v>
      </c>
      <c r="I343" s="11">
        <v>42770324066.940002</v>
      </c>
    </row>
    <row r="344" spans="1:9" x14ac:dyDescent="0.25">
      <c r="A344" s="9">
        <v>337</v>
      </c>
      <c r="B344" s="10">
        <v>44834</v>
      </c>
      <c r="C344" s="9">
        <v>8</v>
      </c>
      <c r="D344" s="9" t="str">
        <f t="shared" si="60"/>
        <v>2215</v>
      </c>
      <c r="E344" s="9" t="str">
        <f t="shared" si="61"/>
        <v>Краткосрочные вклады юридических лиц</v>
      </c>
      <c r="F344" s="9" t="str">
        <f>"2"</f>
        <v>2</v>
      </c>
      <c r="G344" s="9" t="str">
        <f>"7"</f>
        <v>7</v>
      </c>
      <c r="H344" s="9" t="str">
        <f>"1"</f>
        <v>1</v>
      </c>
      <c r="I344" s="11">
        <v>786833.16</v>
      </c>
    </row>
    <row r="345" spans="1:9" x14ac:dyDescent="0.25">
      <c r="A345" s="9">
        <v>338</v>
      </c>
      <c r="B345" s="10">
        <v>44834</v>
      </c>
      <c r="C345" s="9">
        <v>8</v>
      </c>
      <c r="D345" s="9" t="str">
        <f t="shared" si="60"/>
        <v>2215</v>
      </c>
      <c r="E345" s="9" t="str">
        <f t="shared" si="61"/>
        <v>Краткосрочные вклады юридических лиц</v>
      </c>
      <c r="F345" s="9" t="str">
        <f t="shared" ref="F345:F357" si="62">"1"</f>
        <v>1</v>
      </c>
      <c r="G345" s="9" t="str">
        <f>"5"</f>
        <v>5</v>
      </c>
      <c r="H345" s="9" t="str">
        <f>"1"</f>
        <v>1</v>
      </c>
      <c r="I345" s="11">
        <v>7739534227.5900002</v>
      </c>
    </row>
    <row r="346" spans="1:9" x14ac:dyDescent="0.25">
      <c r="A346" s="9">
        <v>339</v>
      </c>
      <c r="B346" s="10">
        <v>44834</v>
      </c>
      <c r="C346" s="9">
        <v>8</v>
      </c>
      <c r="D346" s="9" t="str">
        <f t="shared" si="60"/>
        <v>2215</v>
      </c>
      <c r="E346" s="9" t="str">
        <f t="shared" si="61"/>
        <v>Краткосрочные вклады юридических лиц</v>
      </c>
      <c r="F346" s="9" t="str">
        <f t="shared" si="62"/>
        <v>1</v>
      </c>
      <c r="G346" s="9" t="str">
        <f>"6"</f>
        <v>6</v>
      </c>
      <c r="H346" s="9" t="str">
        <f>"2"</f>
        <v>2</v>
      </c>
      <c r="I346" s="11">
        <v>238424847.55000001</v>
      </c>
    </row>
    <row r="347" spans="1:9" x14ac:dyDescent="0.25">
      <c r="A347" s="9">
        <v>340</v>
      </c>
      <c r="B347" s="10">
        <v>44834</v>
      </c>
      <c r="C347" s="9">
        <v>8</v>
      </c>
      <c r="D347" s="9" t="str">
        <f t="shared" si="60"/>
        <v>2215</v>
      </c>
      <c r="E347" s="9" t="str">
        <f t="shared" si="61"/>
        <v>Краткосрочные вклады юридических лиц</v>
      </c>
      <c r="F347" s="9" t="str">
        <f t="shared" si="62"/>
        <v>1</v>
      </c>
      <c r="G347" s="9" t="str">
        <f>"5"</f>
        <v>5</v>
      </c>
      <c r="H347" s="9" t="str">
        <f>"2"</f>
        <v>2</v>
      </c>
      <c r="I347" s="11">
        <v>7426722833.8800001</v>
      </c>
    </row>
    <row r="348" spans="1:9" x14ac:dyDescent="0.25">
      <c r="A348" s="9">
        <v>341</v>
      </c>
      <c r="B348" s="10">
        <v>44834</v>
      </c>
      <c r="C348" s="9">
        <v>8</v>
      </c>
      <c r="D348" s="9" t="str">
        <f t="shared" si="60"/>
        <v>2215</v>
      </c>
      <c r="E348" s="9" t="str">
        <f t="shared" si="61"/>
        <v>Краткосрочные вклады юридических лиц</v>
      </c>
      <c r="F348" s="9" t="str">
        <f t="shared" si="62"/>
        <v>1</v>
      </c>
      <c r="G348" s="9" t="str">
        <f>"8"</f>
        <v>8</v>
      </c>
      <c r="H348" s="9" t="str">
        <f>"2"</f>
        <v>2</v>
      </c>
      <c r="I348" s="11">
        <v>55918126461.660004</v>
      </c>
    </row>
    <row r="349" spans="1:9" x14ac:dyDescent="0.25">
      <c r="A349" s="9">
        <v>342</v>
      </c>
      <c r="B349" s="10">
        <v>44834</v>
      </c>
      <c r="C349" s="9">
        <v>8</v>
      </c>
      <c r="D349" s="9" t="str">
        <f t="shared" si="60"/>
        <v>2215</v>
      </c>
      <c r="E349" s="9" t="str">
        <f t="shared" si="61"/>
        <v>Краткосрочные вклады юридических лиц</v>
      </c>
      <c r="F349" s="9" t="str">
        <f t="shared" si="62"/>
        <v>1</v>
      </c>
      <c r="G349" s="9" t="str">
        <f>"6"</f>
        <v>6</v>
      </c>
      <c r="H349" s="9" t="str">
        <f>"1"</f>
        <v>1</v>
      </c>
      <c r="I349" s="11">
        <v>1616304000</v>
      </c>
    </row>
    <row r="350" spans="1:9" x14ac:dyDescent="0.25">
      <c r="A350" s="9">
        <v>343</v>
      </c>
      <c r="B350" s="10">
        <v>44834</v>
      </c>
      <c r="C350" s="9">
        <v>8</v>
      </c>
      <c r="D350" s="9" t="str">
        <f t="shared" si="60"/>
        <v>2215</v>
      </c>
      <c r="E350" s="9" t="str">
        <f t="shared" si="61"/>
        <v>Краткосрочные вклады юридических лиц</v>
      </c>
      <c r="F350" s="9" t="str">
        <f t="shared" si="62"/>
        <v>1</v>
      </c>
      <c r="G350" s="9" t="str">
        <f>"7"</f>
        <v>7</v>
      </c>
      <c r="H350" s="9" t="str">
        <f>"3"</f>
        <v>3</v>
      </c>
      <c r="I350" s="11">
        <v>223602655.34999999</v>
      </c>
    </row>
    <row r="351" spans="1:9" x14ac:dyDescent="0.25">
      <c r="A351" s="9">
        <v>344</v>
      </c>
      <c r="B351" s="10">
        <v>44834</v>
      </c>
      <c r="C351" s="9">
        <v>8</v>
      </c>
      <c r="D351" s="9" t="str">
        <f>"2217"</f>
        <v>2217</v>
      </c>
      <c r="E351" s="9" t="str">
        <f>"Долгосрочные вклады юридических лиц"</f>
        <v>Долгосрочные вклады юридических лиц</v>
      </c>
      <c r="F351" s="9" t="str">
        <f t="shared" si="62"/>
        <v>1</v>
      </c>
      <c r="G351" s="9" t="str">
        <f>"8"</f>
        <v>8</v>
      </c>
      <c r="H351" s="9" t="str">
        <f>"2"</f>
        <v>2</v>
      </c>
      <c r="I351" s="11">
        <v>9771473673.9400005</v>
      </c>
    </row>
    <row r="352" spans="1:9" x14ac:dyDescent="0.25">
      <c r="A352" s="9">
        <v>345</v>
      </c>
      <c r="B352" s="10">
        <v>44834</v>
      </c>
      <c r="C352" s="9">
        <v>8</v>
      </c>
      <c r="D352" s="9" t="str">
        <f>"2217"</f>
        <v>2217</v>
      </c>
      <c r="E352" s="9" t="str">
        <f>"Долгосрочные вклады юридических лиц"</f>
        <v>Долгосрочные вклады юридических лиц</v>
      </c>
      <c r="F352" s="9" t="str">
        <f t="shared" si="62"/>
        <v>1</v>
      </c>
      <c r="G352" s="9" t="str">
        <f>"7"</f>
        <v>7</v>
      </c>
      <c r="H352" s="9" t="str">
        <f>"1"</f>
        <v>1</v>
      </c>
      <c r="I352" s="11">
        <v>23576642970.040001</v>
      </c>
    </row>
    <row r="353" spans="1:9" x14ac:dyDescent="0.25">
      <c r="A353" s="9">
        <v>346</v>
      </c>
      <c r="B353" s="10">
        <v>44834</v>
      </c>
      <c r="C353" s="9">
        <v>8</v>
      </c>
      <c r="D353" s="9" t="str">
        <f>"2217"</f>
        <v>2217</v>
      </c>
      <c r="E353" s="9" t="str">
        <f>"Долгосрочные вклады юридических лиц"</f>
        <v>Долгосрочные вклады юридических лиц</v>
      </c>
      <c r="F353" s="9" t="str">
        <f t="shared" si="62"/>
        <v>1</v>
      </c>
      <c r="G353" s="9" t="str">
        <f>"7"</f>
        <v>7</v>
      </c>
      <c r="H353" s="9" t="str">
        <f>"2"</f>
        <v>2</v>
      </c>
      <c r="I353" s="11">
        <v>42868324524.68</v>
      </c>
    </row>
    <row r="354" spans="1:9" x14ac:dyDescent="0.25">
      <c r="A354" s="9">
        <v>347</v>
      </c>
      <c r="B354" s="10">
        <v>44834</v>
      </c>
      <c r="C354" s="9">
        <v>8</v>
      </c>
      <c r="D354" s="9" t="str">
        <f>"2217"</f>
        <v>2217</v>
      </c>
      <c r="E354" s="9" t="str">
        <f>"Долгосрочные вклады юридических лиц"</f>
        <v>Долгосрочные вклады юридических лиц</v>
      </c>
      <c r="F354" s="9" t="str">
        <f t="shared" si="62"/>
        <v>1</v>
      </c>
      <c r="G354" s="9" t="str">
        <f>"5"</f>
        <v>5</v>
      </c>
      <c r="H354" s="9" t="str">
        <f>"2"</f>
        <v>2</v>
      </c>
      <c r="I354" s="11">
        <v>477597109.63999999</v>
      </c>
    </row>
    <row r="355" spans="1:9" x14ac:dyDescent="0.25">
      <c r="A355" s="9">
        <v>348</v>
      </c>
      <c r="B355" s="10">
        <v>44834</v>
      </c>
      <c r="C355" s="9">
        <v>8</v>
      </c>
      <c r="D355" s="9" t="str">
        <f>"2217"</f>
        <v>2217</v>
      </c>
      <c r="E355" s="9" t="str">
        <f>"Долгосрочные вклады юридических лиц"</f>
        <v>Долгосрочные вклады юридических лиц</v>
      </c>
      <c r="F355" s="9" t="str">
        <f t="shared" si="62"/>
        <v>1</v>
      </c>
      <c r="G355" s="9" t="str">
        <f>"5"</f>
        <v>5</v>
      </c>
      <c r="H355" s="9" t="str">
        <f>"1"</f>
        <v>1</v>
      </c>
      <c r="I355" s="11">
        <v>6616926836.6800003</v>
      </c>
    </row>
    <row r="356" spans="1:9" x14ac:dyDescent="0.25">
      <c r="A356" s="9">
        <v>349</v>
      </c>
      <c r="B356" s="10">
        <v>44834</v>
      </c>
      <c r="C356" s="9">
        <v>8</v>
      </c>
      <c r="D356" s="9" t="str">
        <f>"2121"</f>
        <v>2121</v>
      </c>
      <c r="E356" s="9" t="str">
        <f>"Срочные вклады Национального Банка Республики Казахстан"</f>
        <v>Срочные вклады Национального Банка Республики Казахстан</v>
      </c>
      <c r="F356" s="9" t="str">
        <f t="shared" si="62"/>
        <v>1</v>
      </c>
      <c r="G356" s="9" t="str">
        <f>"3"</f>
        <v>3</v>
      </c>
      <c r="H356" s="9" t="str">
        <f>"1"</f>
        <v>1</v>
      </c>
      <c r="I356" s="11">
        <v>3100000000</v>
      </c>
    </row>
    <row r="357" spans="1:9" x14ac:dyDescent="0.25">
      <c r="A357" s="9">
        <v>350</v>
      </c>
      <c r="B357" s="10">
        <v>44834</v>
      </c>
      <c r="C357" s="9">
        <v>8</v>
      </c>
      <c r="D357" s="9" t="str">
        <f t="shared" ref="D357:D377" si="63">"2203"</f>
        <v>2203</v>
      </c>
      <c r="E357" s="9" t="str">
        <f t="shared" ref="E357:E377" si="64">"Текущие счета юридических лиц"</f>
        <v>Текущие счета юридических лиц</v>
      </c>
      <c r="F357" s="9" t="str">
        <f t="shared" si="62"/>
        <v>1</v>
      </c>
      <c r="G357" s="9" t="str">
        <f>"7"</f>
        <v>7</v>
      </c>
      <c r="H357" s="9" t="str">
        <f>"3"</f>
        <v>3</v>
      </c>
      <c r="I357" s="11">
        <v>1572001043.55</v>
      </c>
    </row>
    <row r="358" spans="1:9" x14ac:dyDescent="0.25">
      <c r="A358" s="9">
        <v>351</v>
      </c>
      <c r="B358" s="10">
        <v>44834</v>
      </c>
      <c r="C358" s="9">
        <v>8</v>
      </c>
      <c r="D358" s="9" t="str">
        <f t="shared" si="63"/>
        <v>2203</v>
      </c>
      <c r="E358" s="9" t="str">
        <f t="shared" si="64"/>
        <v>Текущие счета юридических лиц</v>
      </c>
      <c r="F358" s="9" t="str">
        <f>"2"</f>
        <v>2</v>
      </c>
      <c r="G358" s="9" t="str">
        <f>"8"</f>
        <v>8</v>
      </c>
      <c r="H358" s="9" t="str">
        <f>"1"</f>
        <v>1</v>
      </c>
      <c r="I358" s="11">
        <v>3246900.34</v>
      </c>
    </row>
    <row r="359" spans="1:9" x14ac:dyDescent="0.25">
      <c r="A359" s="9">
        <v>352</v>
      </c>
      <c r="B359" s="10">
        <v>44834</v>
      </c>
      <c r="C359" s="9">
        <v>8</v>
      </c>
      <c r="D359" s="9" t="str">
        <f t="shared" si="63"/>
        <v>2203</v>
      </c>
      <c r="E359" s="9" t="str">
        <f t="shared" si="64"/>
        <v>Текущие счета юридических лиц</v>
      </c>
      <c r="F359" s="9" t="str">
        <f>"2"</f>
        <v>2</v>
      </c>
      <c r="G359" s="9" t="str">
        <f>"5"</f>
        <v>5</v>
      </c>
      <c r="H359" s="9" t="str">
        <f>"2"</f>
        <v>2</v>
      </c>
      <c r="I359" s="11">
        <v>17393109.32</v>
      </c>
    </row>
    <row r="360" spans="1:9" x14ac:dyDescent="0.25">
      <c r="A360" s="9">
        <v>353</v>
      </c>
      <c r="B360" s="10">
        <v>44834</v>
      </c>
      <c r="C360" s="9">
        <v>8</v>
      </c>
      <c r="D360" s="9" t="str">
        <f t="shared" si="63"/>
        <v>2203</v>
      </c>
      <c r="E360" s="9" t="str">
        <f t="shared" si="64"/>
        <v>Текущие счета юридических лиц</v>
      </c>
      <c r="F360" s="9" t="str">
        <f>"2"</f>
        <v>2</v>
      </c>
      <c r="G360" s="9" t="str">
        <f>"1"</f>
        <v>1</v>
      </c>
      <c r="H360" s="9" t="str">
        <f>"1"</f>
        <v>1</v>
      </c>
      <c r="I360" s="11">
        <v>12759.59</v>
      </c>
    </row>
    <row r="361" spans="1:9" x14ac:dyDescent="0.25">
      <c r="A361" s="9">
        <v>354</v>
      </c>
      <c r="B361" s="10">
        <v>44834</v>
      </c>
      <c r="C361" s="9">
        <v>8</v>
      </c>
      <c r="D361" s="9" t="str">
        <f t="shared" si="63"/>
        <v>2203</v>
      </c>
      <c r="E361" s="9" t="str">
        <f t="shared" si="64"/>
        <v>Текущие счета юридических лиц</v>
      </c>
      <c r="F361" s="9" t="str">
        <f>"1"</f>
        <v>1</v>
      </c>
      <c r="G361" s="9" t="str">
        <f>"7"</f>
        <v>7</v>
      </c>
      <c r="H361" s="9" t="str">
        <f>"1"</f>
        <v>1</v>
      </c>
      <c r="I361" s="11">
        <v>72616226401.039993</v>
      </c>
    </row>
    <row r="362" spans="1:9" x14ac:dyDescent="0.25">
      <c r="A362" s="9">
        <v>355</v>
      </c>
      <c r="B362" s="10">
        <v>44834</v>
      </c>
      <c r="C362" s="9">
        <v>8</v>
      </c>
      <c r="D362" s="9" t="str">
        <f t="shared" si="63"/>
        <v>2203</v>
      </c>
      <c r="E362" s="9" t="str">
        <f t="shared" si="64"/>
        <v>Текущие счета юридических лиц</v>
      </c>
      <c r="F362" s="9" t="str">
        <f>"1"</f>
        <v>1</v>
      </c>
      <c r="G362" s="9" t="str">
        <f>"8"</f>
        <v>8</v>
      </c>
      <c r="H362" s="9" t="str">
        <f>"3"</f>
        <v>3</v>
      </c>
      <c r="I362" s="11">
        <v>14978656.060000001</v>
      </c>
    </row>
    <row r="363" spans="1:9" x14ac:dyDescent="0.25">
      <c r="A363" s="9">
        <v>356</v>
      </c>
      <c r="B363" s="10">
        <v>44834</v>
      </c>
      <c r="C363" s="9">
        <v>8</v>
      </c>
      <c r="D363" s="9" t="str">
        <f t="shared" si="63"/>
        <v>2203</v>
      </c>
      <c r="E363" s="9" t="str">
        <f t="shared" si="64"/>
        <v>Текущие счета юридических лиц</v>
      </c>
      <c r="F363" s="9" t="str">
        <f>"1"</f>
        <v>1</v>
      </c>
      <c r="G363" s="9" t="str">
        <f>"8"</f>
        <v>8</v>
      </c>
      <c r="H363" s="9" t="str">
        <f>"1"</f>
        <v>1</v>
      </c>
      <c r="I363" s="11">
        <v>838421731.55999994</v>
      </c>
    </row>
    <row r="364" spans="1:9" x14ac:dyDescent="0.25">
      <c r="A364" s="9">
        <v>357</v>
      </c>
      <c r="B364" s="10">
        <v>44834</v>
      </c>
      <c r="C364" s="9">
        <v>8</v>
      </c>
      <c r="D364" s="9" t="str">
        <f t="shared" si="63"/>
        <v>2203</v>
      </c>
      <c r="E364" s="9" t="str">
        <f t="shared" si="64"/>
        <v>Текущие счета юридических лиц</v>
      </c>
      <c r="F364" s="9" t="str">
        <f>"2"</f>
        <v>2</v>
      </c>
      <c r="G364" s="9" t="str">
        <f>"8"</f>
        <v>8</v>
      </c>
      <c r="H364" s="9" t="str">
        <f>"2"</f>
        <v>2</v>
      </c>
      <c r="I364" s="11">
        <v>235924969.86000001</v>
      </c>
    </row>
    <row r="365" spans="1:9" x14ac:dyDescent="0.25">
      <c r="A365" s="9">
        <v>358</v>
      </c>
      <c r="B365" s="10">
        <v>44834</v>
      </c>
      <c r="C365" s="9">
        <v>8</v>
      </c>
      <c r="D365" s="9" t="str">
        <f t="shared" si="63"/>
        <v>2203</v>
      </c>
      <c r="E365" s="9" t="str">
        <f t="shared" si="64"/>
        <v>Текущие счета юридических лиц</v>
      </c>
      <c r="F365" s="9" t="str">
        <f>"1"</f>
        <v>1</v>
      </c>
      <c r="G365" s="9" t="str">
        <f>"5"</f>
        <v>5</v>
      </c>
      <c r="H365" s="9" t="str">
        <f>"2"</f>
        <v>2</v>
      </c>
      <c r="I365" s="11">
        <v>637345961.38</v>
      </c>
    </row>
    <row r="366" spans="1:9" x14ac:dyDescent="0.25">
      <c r="A366" s="9">
        <v>359</v>
      </c>
      <c r="B366" s="10">
        <v>44834</v>
      </c>
      <c r="C366" s="9">
        <v>8</v>
      </c>
      <c r="D366" s="9" t="str">
        <f t="shared" si="63"/>
        <v>2203</v>
      </c>
      <c r="E366" s="9" t="str">
        <f t="shared" si="64"/>
        <v>Текущие счета юридических лиц</v>
      </c>
      <c r="F366" s="9" t="str">
        <f>"1"</f>
        <v>1</v>
      </c>
      <c r="G366" s="9" t="str">
        <f>"5"</f>
        <v>5</v>
      </c>
      <c r="H366" s="9" t="str">
        <f>"1"</f>
        <v>1</v>
      </c>
      <c r="I366" s="11">
        <v>729747729.53999996</v>
      </c>
    </row>
    <row r="367" spans="1:9" x14ac:dyDescent="0.25">
      <c r="A367" s="9">
        <v>360</v>
      </c>
      <c r="B367" s="10">
        <v>44834</v>
      </c>
      <c r="C367" s="9">
        <v>8</v>
      </c>
      <c r="D367" s="9" t="str">
        <f t="shared" si="63"/>
        <v>2203</v>
      </c>
      <c r="E367" s="9" t="str">
        <f t="shared" si="64"/>
        <v>Текущие счета юридических лиц</v>
      </c>
      <c r="F367" s="9" t="str">
        <f>"1"</f>
        <v>1</v>
      </c>
      <c r="G367" s="9" t="str">
        <f>"8"</f>
        <v>8</v>
      </c>
      <c r="H367" s="9" t="str">
        <f>"2"</f>
        <v>2</v>
      </c>
      <c r="I367" s="11">
        <v>324119426.50999999</v>
      </c>
    </row>
    <row r="368" spans="1:9" x14ac:dyDescent="0.25">
      <c r="A368" s="9">
        <v>361</v>
      </c>
      <c r="B368" s="10">
        <v>44834</v>
      </c>
      <c r="C368" s="9">
        <v>8</v>
      </c>
      <c r="D368" s="9" t="str">
        <f t="shared" si="63"/>
        <v>2203</v>
      </c>
      <c r="E368" s="9" t="str">
        <f t="shared" si="64"/>
        <v>Текущие счета юридических лиц</v>
      </c>
      <c r="F368" s="9" t="str">
        <f>"2"</f>
        <v>2</v>
      </c>
      <c r="G368" s="9" t="str">
        <f>"5"</f>
        <v>5</v>
      </c>
      <c r="H368" s="9" t="str">
        <f>"3"</f>
        <v>3</v>
      </c>
      <c r="I368" s="11">
        <v>490815.6</v>
      </c>
    </row>
    <row r="369" spans="1:9" x14ac:dyDescent="0.25">
      <c r="A369" s="9">
        <v>362</v>
      </c>
      <c r="B369" s="10">
        <v>44834</v>
      </c>
      <c r="C369" s="9">
        <v>8</v>
      </c>
      <c r="D369" s="9" t="str">
        <f t="shared" si="63"/>
        <v>2203</v>
      </c>
      <c r="E369" s="9" t="str">
        <f t="shared" si="64"/>
        <v>Текущие счета юридических лиц</v>
      </c>
      <c r="F369" s="9" t="str">
        <f>"2"</f>
        <v>2</v>
      </c>
      <c r="G369" s="9" t="str">
        <f>"7"</f>
        <v>7</v>
      </c>
      <c r="H369" s="9" t="str">
        <f>"3"</f>
        <v>3</v>
      </c>
      <c r="I369" s="11">
        <v>5635804184.7600002</v>
      </c>
    </row>
    <row r="370" spans="1:9" x14ac:dyDescent="0.25">
      <c r="A370" s="9">
        <v>363</v>
      </c>
      <c r="B370" s="10">
        <v>44834</v>
      </c>
      <c r="C370" s="9">
        <v>8</v>
      </c>
      <c r="D370" s="9" t="str">
        <f t="shared" si="63"/>
        <v>2203</v>
      </c>
      <c r="E370" s="9" t="str">
        <f t="shared" si="64"/>
        <v>Текущие счета юридических лиц</v>
      </c>
      <c r="F370" s="9" t="str">
        <f>"1"</f>
        <v>1</v>
      </c>
      <c r="G370" s="9" t="str">
        <f>"6"</f>
        <v>6</v>
      </c>
      <c r="H370" s="9" t="str">
        <f>"1"</f>
        <v>1</v>
      </c>
      <c r="I370" s="11">
        <v>802102241.92999995</v>
      </c>
    </row>
    <row r="371" spans="1:9" x14ac:dyDescent="0.25">
      <c r="A371" s="9">
        <v>364</v>
      </c>
      <c r="B371" s="10">
        <v>44834</v>
      </c>
      <c r="C371" s="9">
        <v>8</v>
      </c>
      <c r="D371" s="9" t="str">
        <f t="shared" si="63"/>
        <v>2203</v>
      </c>
      <c r="E371" s="9" t="str">
        <f t="shared" si="64"/>
        <v>Текущие счета юридических лиц</v>
      </c>
      <c r="F371" s="9" t="str">
        <f>"2"</f>
        <v>2</v>
      </c>
      <c r="G371" s="9" t="str">
        <f>"7"</f>
        <v>7</v>
      </c>
      <c r="H371" s="9" t="str">
        <f>"1"</f>
        <v>1</v>
      </c>
      <c r="I371" s="11">
        <v>418177443.25999999</v>
      </c>
    </row>
    <row r="372" spans="1:9" x14ac:dyDescent="0.25">
      <c r="A372" s="9">
        <v>365</v>
      </c>
      <c r="B372" s="10">
        <v>44834</v>
      </c>
      <c r="C372" s="9">
        <v>8</v>
      </c>
      <c r="D372" s="9" t="str">
        <f t="shared" si="63"/>
        <v>2203</v>
      </c>
      <c r="E372" s="9" t="str">
        <f t="shared" si="64"/>
        <v>Текущие счета юридических лиц</v>
      </c>
      <c r="F372" s="9" t="str">
        <f>"2"</f>
        <v>2</v>
      </c>
      <c r="G372" s="9" t="str">
        <f>"5"</f>
        <v>5</v>
      </c>
      <c r="H372" s="9" t="str">
        <f>"1"</f>
        <v>1</v>
      </c>
      <c r="I372" s="11">
        <v>2000</v>
      </c>
    </row>
    <row r="373" spans="1:9" x14ac:dyDescent="0.25">
      <c r="A373" s="9">
        <v>366</v>
      </c>
      <c r="B373" s="10">
        <v>44834</v>
      </c>
      <c r="C373" s="9">
        <v>8</v>
      </c>
      <c r="D373" s="9" t="str">
        <f t="shared" si="63"/>
        <v>2203</v>
      </c>
      <c r="E373" s="9" t="str">
        <f t="shared" si="64"/>
        <v>Текущие счета юридических лиц</v>
      </c>
      <c r="F373" s="9" t="str">
        <f>"2"</f>
        <v>2</v>
      </c>
      <c r="G373" s="9" t="str">
        <f>"7"</f>
        <v>7</v>
      </c>
      <c r="H373" s="9" t="str">
        <f>"2"</f>
        <v>2</v>
      </c>
      <c r="I373" s="11">
        <v>125086818591.64999</v>
      </c>
    </row>
    <row r="374" spans="1:9" x14ac:dyDescent="0.25">
      <c r="A374" s="9">
        <v>367</v>
      </c>
      <c r="B374" s="10">
        <v>44834</v>
      </c>
      <c r="C374" s="9">
        <v>8</v>
      </c>
      <c r="D374" s="9" t="str">
        <f t="shared" si="63"/>
        <v>2203</v>
      </c>
      <c r="E374" s="9" t="str">
        <f t="shared" si="64"/>
        <v>Текущие счета юридических лиц</v>
      </c>
      <c r="F374" s="9" t="str">
        <f>"1"</f>
        <v>1</v>
      </c>
      <c r="G374" s="9" t="str">
        <f>"7"</f>
        <v>7</v>
      </c>
      <c r="H374" s="9" t="str">
        <f>"2"</f>
        <v>2</v>
      </c>
      <c r="I374" s="11">
        <v>117919777466.32001</v>
      </c>
    </row>
    <row r="375" spans="1:9" x14ac:dyDescent="0.25">
      <c r="A375" s="9">
        <v>368</v>
      </c>
      <c r="B375" s="10">
        <v>44834</v>
      </c>
      <c r="C375" s="9">
        <v>8</v>
      </c>
      <c r="D375" s="9" t="str">
        <f t="shared" si="63"/>
        <v>2203</v>
      </c>
      <c r="E375" s="9" t="str">
        <f t="shared" si="64"/>
        <v>Текущие счета юридических лиц</v>
      </c>
      <c r="F375" s="9" t="str">
        <f>"1"</f>
        <v>1</v>
      </c>
      <c r="G375" s="9" t="str">
        <f>"6"</f>
        <v>6</v>
      </c>
      <c r="H375" s="9" t="str">
        <f>"2"</f>
        <v>2</v>
      </c>
      <c r="I375" s="11">
        <v>111557453.53</v>
      </c>
    </row>
    <row r="376" spans="1:9" x14ac:dyDescent="0.25">
      <c r="A376" s="9">
        <v>369</v>
      </c>
      <c r="B376" s="10">
        <v>44834</v>
      </c>
      <c r="C376" s="9">
        <v>8</v>
      </c>
      <c r="D376" s="9" t="str">
        <f t="shared" si="63"/>
        <v>2203</v>
      </c>
      <c r="E376" s="9" t="str">
        <f t="shared" si="64"/>
        <v>Текущие счета юридических лиц</v>
      </c>
      <c r="F376" s="9" t="str">
        <f>"1"</f>
        <v>1</v>
      </c>
      <c r="G376" s="9" t="str">
        <f>"6"</f>
        <v>6</v>
      </c>
      <c r="H376" s="9" t="str">
        <f>"3"</f>
        <v>3</v>
      </c>
      <c r="I376" s="11">
        <v>1681400.74</v>
      </c>
    </row>
    <row r="377" spans="1:9" x14ac:dyDescent="0.25">
      <c r="A377" s="9">
        <v>370</v>
      </c>
      <c r="B377" s="10">
        <v>44834</v>
      </c>
      <c r="C377" s="9">
        <v>8</v>
      </c>
      <c r="D377" s="9" t="str">
        <f t="shared" si="63"/>
        <v>2203</v>
      </c>
      <c r="E377" s="9" t="str">
        <f t="shared" si="64"/>
        <v>Текущие счета юридических лиц</v>
      </c>
      <c r="F377" s="9" t="str">
        <f>"2"</f>
        <v>2</v>
      </c>
      <c r="G377" s="9" t="str">
        <f>"8"</f>
        <v>8</v>
      </c>
      <c r="H377" s="9" t="str">
        <f>"3"</f>
        <v>3</v>
      </c>
      <c r="I377" s="11">
        <v>23320914.300000001</v>
      </c>
    </row>
    <row r="378" spans="1:9" x14ac:dyDescent="0.25">
      <c r="A378" s="9">
        <v>371</v>
      </c>
      <c r="B378" s="10">
        <v>44834</v>
      </c>
      <c r="C378" s="9">
        <v>8</v>
      </c>
      <c r="D378" s="9" t="str">
        <f>"2219"</f>
        <v>2219</v>
      </c>
      <c r="E378" s="9" t="str">
        <f>"Условные вклады юридических лиц"</f>
        <v>Условные вклады юридических лиц</v>
      </c>
      <c r="F378" s="9" t="str">
        <f t="shared" ref="F378:F386" si="65">"1"</f>
        <v>1</v>
      </c>
      <c r="G378" s="9" t="str">
        <f>"7"</f>
        <v>7</v>
      </c>
      <c r="H378" s="9" t="str">
        <f>"2"</f>
        <v>2</v>
      </c>
      <c r="I378" s="11">
        <v>3808177860.8499999</v>
      </c>
    </row>
    <row r="379" spans="1:9" x14ac:dyDescent="0.25">
      <c r="A379" s="9">
        <v>372</v>
      </c>
      <c r="B379" s="10">
        <v>44834</v>
      </c>
      <c r="C379" s="9">
        <v>8</v>
      </c>
      <c r="D379" s="9" t="str">
        <f>"2219"</f>
        <v>2219</v>
      </c>
      <c r="E379" s="9" t="str">
        <f>"Условные вклады юридических лиц"</f>
        <v>Условные вклады юридических лиц</v>
      </c>
      <c r="F379" s="9" t="str">
        <f t="shared" si="65"/>
        <v>1</v>
      </c>
      <c r="G379" s="9" t="str">
        <f>"7"</f>
        <v>7</v>
      </c>
      <c r="H379" s="9" t="str">
        <f t="shared" ref="H379:H386" si="66">"1"</f>
        <v>1</v>
      </c>
      <c r="I379" s="11">
        <v>6701978168.6400003</v>
      </c>
    </row>
    <row r="380" spans="1:9" x14ac:dyDescent="0.25">
      <c r="A380" s="9">
        <v>373</v>
      </c>
      <c r="B380" s="10">
        <v>44834</v>
      </c>
      <c r="C380" s="9">
        <v>8</v>
      </c>
      <c r="D380" s="9" t="str">
        <f>"2219"</f>
        <v>2219</v>
      </c>
      <c r="E380" s="9" t="str">
        <f>"Условные вклады юридических лиц"</f>
        <v>Условные вклады юридических лиц</v>
      </c>
      <c r="F380" s="9" t="str">
        <f t="shared" si="65"/>
        <v>1</v>
      </c>
      <c r="G380" s="9" t="str">
        <f>"6"</f>
        <v>6</v>
      </c>
      <c r="H380" s="9" t="str">
        <f t="shared" si="66"/>
        <v>1</v>
      </c>
      <c r="I380" s="11">
        <v>2505009.23</v>
      </c>
    </row>
    <row r="381" spans="1:9" x14ac:dyDescent="0.25">
      <c r="A381" s="9">
        <v>374</v>
      </c>
      <c r="B381" s="10">
        <v>44834</v>
      </c>
      <c r="C381" s="9">
        <v>8</v>
      </c>
      <c r="D381" s="9" t="str">
        <f>"2404"</f>
        <v>2404</v>
      </c>
      <c r="E381" s="9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81" s="9" t="str">
        <f t="shared" si="65"/>
        <v>1</v>
      </c>
      <c r="G381" s="9" t="str">
        <f>"5"</f>
        <v>5</v>
      </c>
      <c r="H381" s="9" t="str">
        <f t="shared" si="66"/>
        <v>1</v>
      </c>
      <c r="I381" s="11">
        <v>-140004763414.85999</v>
      </c>
    </row>
    <row r="382" spans="1:9" x14ac:dyDescent="0.25">
      <c r="A382" s="9">
        <v>375</v>
      </c>
      <c r="B382" s="10">
        <v>44834</v>
      </c>
      <c r="C382" s="9">
        <v>8</v>
      </c>
      <c r="D382" s="9" t="str">
        <f>"2239"</f>
        <v>2239</v>
      </c>
      <c r="E382" s="9" t="str">
        <f>"Дисконт по вкладам, привлеченным от клиентов"</f>
        <v>Дисконт по вкладам, привлеченным от клиентов</v>
      </c>
      <c r="F382" s="9" t="str">
        <f t="shared" si="65"/>
        <v>1</v>
      </c>
      <c r="G382" s="9" t="str">
        <f>"5"</f>
        <v>5</v>
      </c>
      <c r="H382" s="9" t="str">
        <f t="shared" si="66"/>
        <v>1</v>
      </c>
      <c r="I382" s="11">
        <v>-1239227933.21</v>
      </c>
    </row>
    <row r="383" spans="1:9" x14ac:dyDescent="0.25">
      <c r="A383" s="9">
        <v>376</v>
      </c>
      <c r="B383" s="10">
        <v>44834</v>
      </c>
      <c r="C383" s="9">
        <v>8</v>
      </c>
      <c r="D383" s="9" t="str">
        <f>"2406"</f>
        <v>2406</v>
      </c>
      <c r="E383" s="9" t="str">
        <f>"Субординированные облигации"</f>
        <v>Субординированные облигации</v>
      </c>
      <c r="F383" s="9" t="str">
        <f t="shared" si="65"/>
        <v>1</v>
      </c>
      <c r="G383" s="9" t="str">
        <f>"9"</f>
        <v>9</v>
      </c>
      <c r="H383" s="9" t="str">
        <f t="shared" si="66"/>
        <v>1</v>
      </c>
      <c r="I383" s="11">
        <v>748100000</v>
      </c>
    </row>
    <row r="384" spans="1:9" x14ac:dyDescent="0.25">
      <c r="A384" s="9">
        <v>377</v>
      </c>
      <c r="B384" s="10">
        <v>44834</v>
      </c>
      <c r="C384" s="9">
        <v>8</v>
      </c>
      <c r="D384" s="9" t="str">
        <f>"2406"</f>
        <v>2406</v>
      </c>
      <c r="E384" s="9" t="str">
        <f>"Субординированные облигации"</f>
        <v>Субординированные облигации</v>
      </c>
      <c r="F384" s="9" t="str">
        <f t="shared" si="65"/>
        <v>1</v>
      </c>
      <c r="G384" s="9" t="str">
        <f>"5"</f>
        <v>5</v>
      </c>
      <c r="H384" s="9" t="str">
        <f t="shared" si="66"/>
        <v>1</v>
      </c>
      <c r="I384" s="11">
        <v>243700000000</v>
      </c>
    </row>
    <row r="385" spans="1:9" x14ac:dyDescent="0.25">
      <c r="A385" s="9">
        <v>378</v>
      </c>
      <c r="B385" s="10">
        <v>44834</v>
      </c>
      <c r="C385" s="9">
        <v>8</v>
      </c>
      <c r="D385" s="9" t="str">
        <f>"2706"</f>
        <v>2706</v>
      </c>
      <c r="E385" s="9" t="str">
        <f>"Начисленные расходы по займам и финансовому лизингу"</f>
        <v>Начисленные расходы по займам и финансовому лизингу</v>
      </c>
      <c r="F385" s="9" t="str">
        <f t="shared" si="65"/>
        <v>1</v>
      </c>
      <c r="G385" s="9" t="str">
        <f>"5"</f>
        <v>5</v>
      </c>
      <c r="H385" s="9" t="str">
        <f t="shared" si="66"/>
        <v>1</v>
      </c>
      <c r="I385" s="11">
        <v>357555126.12</v>
      </c>
    </row>
    <row r="386" spans="1:9" x14ac:dyDescent="0.25">
      <c r="A386" s="9">
        <v>379</v>
      </c>
      <c r="B386" s="10">
        <v>44834</v>
      </c>
      <c r="C386" s="9">
        <v>8</v>
      </c>
      <c r="D386" s="9" t="str">
        <f t="shared" ref="D386:D399" si="67">"2237"</f>
        <v>2237</v>
      </c>
      <c r="E386" s="9" t="str">
        <f t="shared" ref="E386:E399" si="6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6" s="9" t="str">
        <f t="shared" si="65"/>
        <v>1</v>
      </c>
      <c r="G386" s="9" t="str">
        <f>"5"</f>
        <v>5</v>
      </c>
      <c r="H386" s="9" t="str">
        <f t="shared" si="66"/>
        <v>1</v>
      </c>
      <c r="I386" s="11">
        <v>138528</v>
      </c>
    </row>
    <row r="387" spans="1:9" x14ac:dyDescent="0.25">
      <c r="A387" s="9">
        <v>380</v>
      </c>
      <c r="B387" s="10">
        <v>44834</v>
      </c>
      <c r="C387" s="9">
        <v>8</v>
      </c>
      <c r="D387" s="9" t="str">
        <f t="shared" si="67"/>
        <v>2237</v>
      </c>
      <c r="E387" s="9" t="str">
        <f t="shared" si="68"/>
        <v>Счет хранения указаний отправителя в соответствии с валютным законодательством Республики Казахстан</v>
      </c>
      <c r="F387" s="9" t="str">
        <f>"2"</f>
        <v>2</v>
      </c>
      <c r="G387" s="9" t="str">
        <f>"7"</f>
        <v>7</v>
      </c>
      <c r="H387" s="9" t="str">
        <f>"2"</f>
        <v>2</v>
      </c>
      <c r="I387" s="11">
        <v>10062700419.780001</v>
      </c>
    </row>
    <row r="388" spans="1:9" x14ac:dyDescent="0.25">
      <c r="A388" s="9">
        <v>381</v>
      </c>
      <c r="B388" s="10">
        <v>44834</v>
      </c>
      <c r="C388" s="9">
        <v>8</v>
      </c>
      <c r="D388" s="9" t="str">
        <f t="shared" si="67"/>
        <v>2237</v>
      </c>
      <c r="E388" s="9" t="str">
        <f t="shared" si="68"/>
        <v>Счет хранения указаний отправителя в соответствии с валютным законодательством Республики Казахстан</v>
      </c>
      <c r="F388" s="9" t="str">
        <f>"1"</f>
        <v>1</v>
      </c>
      <c r="G388" s="9" t="str">
        <f>"8"</f>
        <v>8</v>
      </c>
      <c r="H388" s="9" t="str">
        <f>"2"</f>
        <v>2</v>
      </c>
      <c r="I388" s="11">
        <v>6039428.2000000002</v>
      </c>
    </row>
    <row r="389" spans="1:9" x14ac:dyDescent="0.25">
      <c r="A389" s="9">
        <v>382</v>
      </c>
      <c r="B389" s="10">
        <v>44834</v>
      </c>
      <c r="C389" s="9">
        <v>8</v>
      </c>
      <c r="D389" s="9" t="str">
        <f t="shared" si="67"/>
        <v>2237</v>
      </c>
      <c r="E389" s="9" t="str">
        <f t="shared" si="68"/>
        <v>Счет хранения указаний отправителя в соответствии с валютным законодательством Республики Казахстан</v>
      </c>
      <c r="F389" s="9" t="str">
        <f>"1"</f>
        <v>1</v>
      </c>
      <c r="G389" s="9" t="str">
        <f>"7"</f>
        <v>7</v>
      </c>
      <c r="H389" s="9" t="str">
        <f>"1"</f>
        <v>1</v>
      </c>
      <c r="I389" s="11">
        <v>78428504.099999994</v>
      </c>
    </row>
    <row r="390" spans="1:9" x14ac:dyDescent="0.25">
      <c r="A390" s="9">
        <v>383</v>
      </c>
      <c r="B390" s="10">
        <v>44834</v>
      </c>
      <c r="C390" s="9">
        <v>8</v>
      </c>
      <c r="D390" s="9" t="str">
        <f t="shared" si="67"/>
        <v>2237</v>
      </c>
      <c r="E390" s="9" t="str">
        <f t="shared" si="68"/>
        <v>Счет хранения указаний отправителя в соответствии с валютным законодательством Республики Казахстан</v>
      </c>
      <c r="F390" s="9" t="str">
        <f>"2"</f>
        <v>2</v>
      </c>
      <c r="G390" s="9" t="str">
        <f>"7"</f>
        <v>7</v>
      </c>
      <c r="H390" s="9" t="str">
        <f>"3"</f>
        <v>3</v>
      </c>
      <c r="I390" s="11">
        <v>67272920</v>
      </c>
    </row>
    <row r="391" spans="1:9" x14ac:dyDescent="0.25">
      <c r="A391" s="9">
        <v>384</v>
      </c>
      <c r="B391" s="10">
        <v>44834</v>
      </c>
      <c r="C391" s="9">
        <v>8</v>
      </c>
      <c r="D391" s="9" t="str">
        <f t="shared" si="67"/>
        <v>2237</v>
      </c>
      <c r="E391" s="9" t="str">
        <f t="shared" si="68"/>
        <v>Счет хранения указаний отправителя в соответствии с валютным законодательством Республики Казахстан</v>
      </c>
      <c r="F391" s="9" t="str">
        <f>"1"</f>
        <v>1</v>
      </c>
      <c r="G391" s="9" t="str">
        <f>"9"</f>
        <v>9</v>
      </c>
      <c r="H391" s="9" t="str">
        <f>"1"</f>
        <v>1</v>
      </c>
      <c r="I391" s="11">
        <v>1988612</v>
      </c>
    </row>
    <row r="392" spans="1:9" x14ac:dyDescent="0.25">
      <c r="A392" s="9">
        <v>385</v>
      </c>
      <c r="B392" s="10">
        <v>44834</v>
      </c>
      <c r="C392" s="9">
        <v>8</v>
      </c>
      <c r="D392" s="9" t="str">
        <f t="shared" si="67"/>
        <v>2237</v>
      </c>
      <c r="E392" s="9" t="str">
        <f t="shared" si="68"/>
        <v>Счет хранения указаний отправителя в соответствии с валютным законодательством Республики Казахстан</v>
      </c>
      <c r="F392" s="9" t="str">
        <f>"2"</f>
        <v>2</v>
      </c>
      <c r="G392" s="9" t="str">
        <f>"9"</f>
        <v>9</v>
      </c>
      <c r="H392" s="9" t="str">
        <f>"3"</f>
        <v>3</v>
      </c>
      <c r="I392" s="11">
        <v>125400</v>
      </c>
    </row>
    <row r="393" spans="1:9" x14ac:dyDescent="0.25">
      <c r="A393" s="9">
        <v>386</v>
      </c>
      <c r="B393" s="10">
        <v>44834</v>
      </c>
      <c r="C393" s="9">
        <v>8</v>
      </c>
      <c r="D393" s="9" t="str">
        <f t="shared" si="67"/>
        <v>2237</v>
      </c>
      <c r="E393" s="9" t="str">
        <f t="shared" si="68"/>
        <v>Счет хранения указаний отправителя в соответствии с валютным законодательством Республики Казахстан</v>
      </c>
      <c r="F393" s="9" t="str">
        <f>"1"</f>
        <v>1</v>
      </c>
      <c r="G393" s="9" t="str">
        <f>"9"</f>
        <v>9</v>
      </c>
      <c r="H393" s="9" t="str">
        <f>"3"</f>
        <v>3</v>
      </c>
      <c r="I393" s="11">
        <v>873378.98</v>
      </c>
    </row>
    <row r="394" spans="1:9" x14ac:dyDescent="0.25">
      <c r="A394" s="9">
        <v>387</v>
      </c>
      <c r="B394" s="10">
        <v>44834</v>
      </c>
      <c r="C394" s="9">
        <v>8</v>
      </c>
      <c r="D394" s="9" t="str">
        <f t="shared" si="67"/>
        <v>2237</v>
      </c>
      <c r="E394" s="9" t="str">
        <f t="shared" si="68"/>
        <v>Счет хранения указаний отправителя в соответствии с валютным законодательством Республики Казахстан</v>
      </c>
      <c r="F394" s="9" t="str">
        <f>"1"</f>
        <v>1</v>
      </c>
      <c r="G394" s="9" t="str">
        <f>"6"</f>
        <v>6</v>
      </c>
      <c r="H394" s="9" t="str">
        <f>"2"</f>
        <v>2</v>
      </c>
      <c r="I394" s="11">
        <v>4706728.34</v>
      </c>
    </row>
    <row r="395" spans="1:9" x14ac:dyDescent="0.25">
      <c r="A395" s="9">
        <v>388</v>
      </c>
      <c r="B395" s="10">
        <v>44834</v>
      </c>
      <c r="C395" s="9">
        <v>8</v>
      </c>
      <c r="D395" s="9" t="str">
        <f t="shared" si="67"/>
        <v>2237</v>
      </c>
      <c r="E395" s="9" t="str">
        <f t="shared" si="68"/>
        <v>Счет хранения указаний отправителя в соответствии с валютным законодательством Республики Казахстан</v>
      </c>
      <c r="F395" s="9" t="str">
        <f>"1"</f>
        <v>1</v>
      </c>
      <c r="G395" s="9" t="str">
        <f>"7"</f>
        <v>7</v>
      </c>
      <c r="H395" s="9" t="str">
        <f>"2"</f>
        <v>2</v>
      </c>
      <c r="I395" s="11">
        <v>2727402378.73</v>
      </c>
    </row>
    <row r="396" spans="1:9" x14ac:dyDescent="0.25">
      <c r="A396" s="9">
        <v>389</v>
      </c>
      <c r="B396" s="10">
        <v>44834</v>
      </c>
      <c r="C396" s="9">
        <v>8</v>
      </c>
      <c r="D396" s="9" t="str">
        <f t="shared" si="67"/>
        <v>2237</v>
      </c>
      <c r="E396" s="9" t="str">
        <f t="shared" si="68"/>
        <v>Счет хранения указаний отправителя в соответствии с валютным законодательством Республики Казахстан</v>
      </c>
      <c r="F396" s="9" t="str">
        <f>"2"</f>
        <v>2</v>
      </c>
      <c r="G396" s="9" t="str">
        <f>"8"</f>
        <v>8</v>
      </c>
      <c r="H396" s="9" t="str">
        <f>"2"</f>
        <v>2</v>
      </c>
      <c r="I396" s="11">
        <v>4359517.72</v>
      </c>
    </row>
    <row r="397" spans="1:9" x14ac:dyDescent="0.25">
      <c r="A397" s="9">
        <v>390</v>
      </c>
      <c r="B397" s="10">
        <v>44834</v>
      </c>
      <c r="C397" s="9">
        <v>8</v>
      </c>
      <c r="D397" s="9" t="str">
        <f t="shared" si="67"/>
        <v>2237</v>
      </c>
      <c r="E397" s="9" t="str">
        <f t="shared" si="68"/>
        <v>Счет хранения указаний отправителя в соответствии с валютным законодательством Республики Казахстан</v>
      </c>
      <c r="F397" s="9" t="str">
        <f>"1"</f>
        <v>1</v>
      </c>
      <c r="G397" s="9" t="str">
        <f>"7"</f>
        <v>7</v>
      </c>
      <c r="H397" s="9" t="str">
        <f>"3"</f>
        <v>3</v>
      </c>
      <c r="I397" s="11">
        <v>665427925.61000001</v>
      </c>
    </row>
    <row r="398" spans="1:9" x14ac:dyDescent="0.25">
      <c r="A398" s="9">
        <v>391</v>
      </c>
      <c r="B398" s="10">
        <v>44834</v>
      </c>
      <c r="C398" s="9">
        <v>8</v>
      </c>
      <c r="D398" s="9" t="str">
        <f t="shared" si="67"/>
        <v>2237</v>
      </c>
      <c r="E398" s="9" t="str">
        <f t="shared" si="68"/>
        <v>Счет хранения указаний отправителя в соответствии с валютным законодательством Республики Казахстан</v>
      </c>
      <c r="F398" s="9" t="str">
        <f>"1"</f>
        <v>1</v>
      </c>
      <c r="G398" s="9" t="str">
        <f>"9"</f>
        <v>9</v>
      </c>
      <c r="H398" s="9" t="str">
        <f>"2"</f>
        <v>2</v>
      </c>
      <c r="I398" s="11">
        <v>122751551.09</v>
      </c>
    </row>
    <row r="399" spans="1:9" x14ac:dyDescent="0.25">
      <c r="A399" s="9">
        <v>392</v>
      </c>
      <c r="B399" s="10">
        <v>44834</v>
      </c>
      <c r="C399" s="9">
        <v>8</v>
      </c>
      <c r="D399" s="9" t="str">
        <f t="shared" si="67"/>
        <v>2237</v>
      </c>
      <c r="E399" s="9" t="str">
        <f t="shared" si="68"/>
        <v>Счет хранения указаний отправителя в соответствии с валютным законодательством Республики Казахстан</v>
      </c>
      <c r="F399" s="9" t="str">
        <f>"2"</f>
        <v>2</v>
      </c>
      <c r="G399" s="9" t="str">
        <f>"9"</f>
        <v>9</v>
      </c>
      <c r="H399" s="9" t="str">
        <f>"2"</f>
        <v>2</v>
      </c>
      <c r="I399" s="11">
        <v>15917841.380000001</v>
      </c>
    </row>
    <row r="400" spans="1:9" x14ac:dyDescent="0.25">
      <c r="A400" s="9">
        <v>393</v>
      </c>
      <c r="B400" s="10">
        <v>44834</v>
      </c>
      <c r="C400" s="9">
        <v>8</v>
      </c>
      <c r="D400" s="9" t="str">
        <f>"2720"</f>
        <v>2720</v>
      </c>
      <c r="E400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0" s="9" t="str">
        <f t="shared" ref="F400:F411" si="69">"1"</f>
        <v>1</v>
      </c>
      <c r="G400" s="9" t="str">
        <f>"7"</f>
        <v>7</v>
      </c>
      <c r="H400" s="9" t="str">
        <f>"2"</f>
        <v>2</v>
      </c>
      <c r="I400" s="11">
        <v>125588.34</v>
      </c>
    </row>
    <row r="401" spans="1:9" x14ac:dyDescent="0.25">
      <c r="A401" s="9">
        <v>394</v>
      </c>
      <c r="B401" s="10">
        <v>44834</v>
      </c>
      <c r="C401" s="9">
        <v>8</v>
      </c>
      <c r="D401" s="9" t="str">
        <f>"2720"</f>
        <v>2720</v>
      </c>
      <c r="E401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1" s="9" t="str">
        <f t="shared" si="69"/>
        <v>1</v>
      </c>
      <c r="G401" s="9" t="str">
        <f>"7"</f>
        <v>7</v>
      </c>
      <c r="H401" s="9" t="str">
        <f>"1"</f>
        <v>1</v>
      </c>
      <c r="I401" s="11">
        <v>139971.60999999999</v>
      </c>
    </row>
    <row r="402" spans="1:9" x14ac:dyDescent="0.25">
      <c r="A402" s="9">
        <v>395</v>
      </c>
      <c r="B402" s="10">
        <v>44834</v>
      </c>
      <c r="C402" s="9">
        <v>8</v>
      </c>
      <c r="D402" s="9" t="str">
        <f>"2720"</f>
        <v>2720</v>
      </c>
      <c r="E402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2" s="9" t="str">
        <f t="shared" si="69"/>
        <v>1</v>
      </c>
      <c r="G402" s="9" t="str">
        <f>"5"</f>
        <v>5</v>
      </c>
      <c r="H402" s="9" t="str">
        <f>"2"</f>
        <v>2</v>
      </c>
      <c r="I402" s="11">
        <v>381.37</v>
      </c>
    </row>
    <row r="403" spans="1:9" x14ac:dyDescent="0.25">
      <c r="A403" s="9">
        <v>396</v>
      </c>
      <c r="B403" s="10">
        <v>44834</v>
      </c>
      <c r="C403" s="9">
        <v>8</v>
      </c>
      <c r="D403" s="9" t="str">
        <f>"2725"</f>
        <v>2725</v>
      </c>
      <c r="E403" s="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03" s="9" t="str">
        <f t="shared" si="69"/>
        <v>1</v>
      </c>
      <c r="G403" s="9" t="str">
        <f>"5"</f>
        <v>5</v>
      </c>
      <c r="H403" s="9" t="str">
        <f>"1"</f>
        <v>1</v>
      </c>
      <c r="I403" s="11">
        <v>37901004.68</v>
      </c>
    </row>
    <row r="404" spans="1:9" x14ac:dyDescent="0.25">
      <c r="A404" s="9">
        <v>397</v>
      </c>
      <c r="B404" s="10">
        <v>44834</v>
      </c>
      <c r="C404" s="9">
        <v>8</v>
      </c>
      <c r="D404" s="9" t="str">
        <f>"2723"</f>
        <v>2723</v>
      </c>
      <c r="E404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04" s="9" t="str">
        <f t="shared" si="69"/>
        <v>1</v>
      </c>
      <c r="G404" s="9" t="str">
        <f>"7"</f>
        <v>7</v>
      </c>
      <c r="H404" s="9" t="str">
        <f>"1"</f>
        <v>1</v>
      </c>
      <c r="I404" s="11">
        <v>208539663.16</v>
      </c>
    </row>
    <row r="405" spans="1:9" x14ac:dyDescent="0.25">
      <c r="A405" s="9">
        <v>398</v>
      </c>
      <c r="B405" s="10">
        <v>44834</v>
      </c>
      <c r="C405" s="9">
        <v>8</v>
      </c>
      <c r="D405" s="9" t="str">
        <f>"2723"</f>
        <v>2723</v>
      </c>
      <c r="E405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05" s="9" t="str">
        <f t="shared" si="69"/>
        <v>1</v>
      </c>
      <c r="G405" s="9" t="str">
        <f>"7"</f>
        <v>7</v>
      </c>
      <c r="H405" s="9" t="str">
        <f>"2"</f>
        <v>2</v>
      </c>
      <c r="I405" s="11">
        <v>21364035.149999999</v>
      </c>
    </row>
    <row r="406" spans="1:9" x14ac:dyDescent="0.25">
      <c r="A406" s="9">
        <v>399</v>
      </c>
      <c r="B406" s="10">
        <v>44834</v>
      </c>
      <c r="C406" s="9">
        <v>8</v>
      </c>
      <c r="D406" s="9" t="str">
        <f>"2723"</f>
        <v>2723</v>
      </c>
      <c r="E406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06" s="9" t="str">
        <f t="shared" si="69"/>
        <v>1</v>
      </c>
      <c r="G406" s="9" t="str">
        <f>"9"</f>
        <v>9</v>
      </c>
      <c r="H406" s="9" t="str">
        <f>"1"</f>
        <v>1</v>
      </c>
      <c r="I406" s="11">
        <v>330461156.43000001</v>
      </c>
    </row>
    <row r="407" spans="1:9" x14ac:dyDescent="0.25">
      <c r="A407" s="9">
        <v>400</v>
      </c>
      <c r="B407" s="10">
        <v>44834</v>
      </c>
      <c r="C407" s="9">
        <v>8</v>
      </c>
      <c r="D407" s="9" t="str">
        <f>"2723"</f>
        <v>2723</v>
      </c>
      <c r="E407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07" s="9" t="str">
        <f t="shared" si="69"/>
        <v>1</v>
      </c>
      <c r="G407" s="9" t="str">
        <f>"9"</f>
        <v>9</v>
      </c>
      <c r="H407" s="9" t="str">
        <f>"2"</f>
        <v>2</v>
      </c>
      <c r="I407" s="11">
        <v>8762433.5700000003</v>
      </c>
    </row>
    <row r="408" spans="1:9" x14ac:dyDescent="0.25">
      <c r="A408" s="9">
        <v>401</v>
      </c>
      <c r="B408" s="10">
        <v>44834</v>
      </c>
      <c r="C408" s="9">
        <v>8</v>
      </c>
      <c r="D408" s="9" t="str">
        <f t="shared" ref="D408:D417" si="70">"2724"</f>
        <v>2724</v>
      </c>
      <c r="E408" s="9" t="str">
        <f t="shared" ref="E408:E417" si="71">"Начисленные расходы по сберегательным вкладам клиентов"</f>
        <v>Начисленные расходы по сберегательным вкладам клиентов</v>
      </c>
      <c r="F408" s="9" t="str">
        <f t="shared" si="69"/>
        <v>1</v>
      </c>
      <c r="G408" s="9" t="str">
        <f>"5"</f>
        <v>5</v>
      </c>
      <c r="H408" s="9" t="str">
        <f>"1"</f>
        <v>1</v>
      </c>
      <c r="I408" s="11">
        <v>487207.22</v>
      </c>
    </row>
    <row r="409" spans="1:9" x14ac:dyDescent="0.25">
      <c r="A409" s="9">
        <v>402</v>
      </c>
      <c r="B409" s="10">
        <v>44834</v>
      </c>
      <c r="C409" s="9">
        <v>8</v>
      </c>
      <c r="D409" s="9" t="str">
        <f t="shared" si="70"/>
        <v>2724</v>
      </c>
      <c r="E409" s="9" t="str">
        <f t="shared" si="71"/>
        <v>Начисленные расходы по сберегательным вкладам клиентов</v>
      </c>
      <c r="F409" s="9" t="str">
        <f t="shared" si="69"/>
        <v>1</v>
      </c>
      <c r="G409" s="9" t="str">
        <f>"9"</f>
        <v>9</v>
      </c>
      <c r="H409" s="9" t="str">
        <f>"1"</f>
        <v>1</v>
      </c>
      <c r="I409" s="11">
        <v>3248238557.0700002</v>
      </c>
    </row>
    <row r="410" spans="1:9" x14ac:dyDescent="0.25">
      <c r="A410" s="9">
        <v>403</v>
      </c>
      <c r="B410" s="10">
        <v>44834</v>
      </c>
      <c r="C410" s="9">
        <v>8</v>
      </c>
      <c r="D410" s="9" t="str">
        <f t="shared" si="70"/>
        <v>2724</v>
      </c>
      <c r="E410" s="9" t="str">
        <f t="shared" si="71"/>
        <v>Начисленные расходы по сберегательным вкладам клиентов</v>
      </c>
      <c r="F410" s="9" t="str">
        <f t="shared" si="69"/>
        <v>1</v>
      </c>
      <c r="G410" s="9" t="str">
        <f>"8"</f>
        <v>8</v>
      </c>
      <c r="H410" s="9" t="str">
        <f>"1"</f>
        <v>1</v>
      </c>
      <c r="I410" s="11">
        <v>3178082.19</v>
      </c>
    </row>
    <row r="411" spans="1:9" x14ac:dyDescent="0.25">
      <c r="A411" s="9">
        <v>404</v>
      </c>
      <c r="B411" s="10">
        <v>44834</v>
      </c>
      <c r="C411" s="9">
        <v>8</v>
      </c>
      <c r="D411" s="9" t="str">
        <f t="shared" si="70"/>
        <v>2724</v>
      </c>
      <c r="E411" s="9" t="str">
        <f t="shared" si="71"/>
        <v>Начисленные расходы по сберегательным вкладам клиентов</v>
      </c>
      <c r="F411" s="9" t="str">
        <f t="shared" si="69"/>
        <v>1</v>
      </c>
      <c r="G411" s="9" t="str">
        <f>"6"</f>
        <v>6</v>
      </c>
      <c r="H411" s="9" t="str">
        <f>"1"</f>
        <v>1</v>
      </c>
      <c r="I411" s="11">
        <v>4978417.8099999996</v>
      </c>
    </row>
    <row r="412" spans="1:9" x14ac:dyDescent="0.25">
      <c r="A412" s="9">
        <v>405</v>
      </c>
      <c r="B412" s="10">
        <v>44834</v>
      </c>
      <c r="C412" s="9">
        <v>8</v>
      </c>
      <c r="D412" s="9" t="str">
        <f t="shared" si="70"/>
        <v>2724</v>
      </c>
      <c r="E412" s="9" t="str">
        <f t="shared" si="71"/>
        <v>Начисленные расходы по сберегательным вкладам клиентов</v>
      </c>
      <c r="F412" s="9" t="str">
        <f>"2"</f>
        <v>2</v>
      </c>
      <c r="G412" s="9" t="str">
        <f>"9"</f>
        <v>9</v>
      </c>
      <c r="H412" s="9" t="str">
        <f>"2"</f>
        <v>2</v>
      </c>
      <c r="I412" s="11">
        <v>264407.21000000002</v>
      </c>
    </row>
    <row r="413" spans="1:9" x14ac:dyDescent="0.25">
      <c r="A413" s="9">
        <v>406</v>
      </c>
      <c r="B413" s="10">
        <v>44834</v>
      </c>
      <c r="C413" s="9">
        <v>8</v>
      </c>
      <c r="D413" s="9" t="str">
        <f t="shared" si="70"/>
        <v>2724</v>
      </c>
      <c r="E413" s="9" t="str">
        <f t="shared" si="71"/>
        <v>Начисленные расходы по сберегательным вкладам клиентов</v>
      </c>
      <c r="F413" s="9" t="str">
        <f>"1"</f>
        <v>1</v>
      </c>
      <c r="G413" s="9" t="str">
        <f>"7"</f>
        <v>7</v>
      </c>
      <c r="H413" s="9" t="str">
        <f>"2"</f>
        <v>2</v>
      </c>
      <c r="I413" s="11">
        <v>11699636.1</v>
      </c>
    </row>
    <row r="414" spans="1:9" x14ac:dyDescent="0.25">
      <c r="A414" s="9">
        <v>407</v>
      </c>
      <c r="B414" s="10">
        <v>44834</v>
      </c>
      <c r="C414" s="9">
        <v>8</v>
      </c>
      <c r="D414" s="9" t="str">
        <f t="shared" si="70"/>
        <v>2724</v>
      </c>
      <c r="E414" s="9" t="str">
        <f t="shared" si="71"/>
        <v>Начисленные расходы по сберегательным вкладам клиентов</v>
      </c>
      <c r="F414" s="9" t="str">
        <f>"1"</f>
        <v>1</v>
      </c>
      <c r="G414" s="9" t="str">
        <f>"9"</f>
        <v>9</v>
      </c>
      <c r="H414" s="9" t="str">
        <f>"2"</f>
        <v>2</v>
      </c>
      <c r="I414" s="11">
        <v>942091.51</v>
      </c>
    </row>
    <row r="415" spans="1:9" x14ac:dyDescent="0.25">
      <c r="A415" s="9">
        <v>408</v>
      </c>
      <c r="B415" s="10">
        <v>44834</v>
      </c>
      <c r="C415" s="9">
        <v>8</v>
      </c>
      <c r="D415" s="9" t="str">
        <f t="shared" si="70"/>
        <v>2724</v>
      </c>
      <c r="E415" s="9" t="str">
        <f t="shared" si="71"/>
        <v>Начисленные расходы по сберегательным вкладам клиентов</v>
      </c>
      <c r="F415" s="9" t="str">
        <f>"2"</f>
        <v>2</v>
      </c>
      <c r="G415" s="9" t="str">
        <f>"7"</f>
        <v>7</v>
      </c>
      <c r="H415" s="9" t="str">
        <f>"2"</f>
        <v>2</v>
      </c>
      <c r="I415" s="11">
        <v>26118.94</v>
      </c>
    </row>
    <row r="416" spans="1:9" x14ac:dyDescent="0.25">
      <c r="A416" s="9">
        <v>409</v>
      </c>
      <c r="B416" s="10">
        <v>44834</v>
      </c>
      <c r="C416" s="9">
        <v>8</v>
      </c>
      <c r="D416" s="9" t="str">
        <f t="shared" si="70"/>
        <v>2724</v>
      </c>
      <c r="E416" s="9" t="str">
        <f t="shared" si="71"/>
        <v>Начисленные расходы по сберегательным вкладам клиентов</v>
      </c>
      <c r="F416" s="9" t="str">
        <f>"1"</f>
        <v>1</v>
      </c>
      <c r="G416" s="9" t="str">
        <f>"7"</f>
        <v>7</v>
      </c>
      <c r="H416" s="9" t="str">
        <f>"1"</f>
        <v>1</v>
      </c>
      <c r="I416" s="11">
        <v>66299175.170000002</v>
      </c>
    </row>
    <row r="417" spans="1:9" x14ac:dyDescent="0.25">
      <c r="A417" s="9">
        <v>410</v>
      </c>
      <c r="B417" s="10">
        <v>44834</v>
      </c>
      <c r="C417" s="9">
        <v>8</v>
      </c>
      <c r="D417" s="9" t="str">
        <f t="shared" si="70"/>
        <v>2724</v>
      </c>
      <c r="E417" s="9" t="str">
        <f t="shared" si="71"/>
        <v>Начисленные расходы по сберегательным вкладам клиентов</v>
      </c>
      <c r="F417" s="9" t="str">
        <f>"2"</f>
        <v>2</v>
      </c>
      <c r="G417" s="9" t="str">
        <f>"9"</f>
        <v>9</v>
      </c>
      <c r="H417" s="9" t="str">
        <f>"1"</f>
        <v>1</v>
      </c>
      <c r="I417" s="11">
        <v>33645182.289999999</v>
      </c>
    </row>
    <row r="418" spans="1:9" x14ac:dyDescent="0.25">
      <c r="A418" s="9">
        <v>411</v>
      </c>
      <c r="B418" s="10">
        <v>44834</v>
      </c>
      <c r="C418" s="9">
        <v>8</v>
      </c>
      <c r="D418" s="9" t="str">
        <f>"2255"</f>
        <v>2255</v>
      </c>
      <c r="E418" s="9" t="str">
        <f>"Операции «РЕПО» с ценными бумагами"</f>
        <v>Операции «РЕПО» с ценными бумагами</v>
      </c>
      <c r="F418" s="9" t="str">
        <f t="shared" ref="F418:F434" si="72">"1"</f>
        <v>1</v>
      </c>
      <c r="G418" s="9" t="str">
        <f>"5"</f>
        <v>5</v>
      </c>
      <c r="H418" s="9" t="str">
        <f>"1"</f>
        <v>1</v>
      </c>
      <c r="I418" s="11">
        <v>34551826746.150002</v>
      </c>
    </row>
    <row r="419" spans="1:9" x14ac:dyDescent="0.25">
      <c r="A419" s="9">
        <v>412</v>
      </c>
      <c r="B419" s="10">
        <v>44834</v>
      </c>
      <c r="C419" s="9">
        <v>8</v>
      </c>
      <c r="D419" s="9" t="str">
        <f>"2301"</f>
        <v>2301</v>
      </c>
      <c r="E419" s="9" t="str">
        <f>"Выпущенные в обращение облигации"</f>
        <v>Выпущенные в обращение облигации</v>
      </c>
      <c r="F419" s="9" t="str">
        <f t="shared" si="72"/>
        <v>1</v>
      </c>
      <c r="G419" s="9" t="str">
        <f>"9"</f>
        <v>9</v>
      </c>
      <c r="H419" s="9" t="str">
        <f>"2"</f>
        <v>2</v>
      </c>
      <c r="I419" s="11">
        <v>7102979000</v>
      </c>
    </row>
    <row r="420" spans="1:9" x14ac:dyDescent="0.25">
      <c r="A420" s="9">
        <v>413</v>
      </c>
      <c r="B420" s="10">
        <v>44834</v>
      </c>
      <c r="C420" s="9">
        <v>8</v>
      </c>
      <c r="D420" s="9" t="str">
        <f>"2301"</f>
        <v>2301</v>
      </c>
      <c r="E420" s="9" t="str">
        <f>"Выпущенные в обращение облигации"</f>
        <v>Выпущенные в обращение облигации</v>
      </c>
      <c r="F420" s="9" t="str">
        <f t="shared" si="72"/>
        <v>1</v>
      </c>
      <c r="G420" s="9" t="str">
        <f>"5"</f>
        <v>5</v>
      </c>
      <c r="H420" s="9" t="str">
        <f>"1"</f>
        <v>1</v>
      </c>
      <c r="I420" s="11">
        <v>129533856293</v>
      </c>
    </row>
    <row r="421" spans="1:9" x14ac:dyDescent="0.25">
      <c r="A421" s="9">
        <v>414</v>
      </c>
      <c r="B421" s="10">
        <v>44834</v>
      </c>
      <c r="C421" s="9">
        <v>8</v>
      </c>
      <c r="D421" s="9" t="str">
        <f>"2301"</f>
        <v>2301</v>
      </c>
      <c r="E421" s="9" t="str">
        <f>"Выпущенные в обращение облигации"</f>
        <v>Выпущенные в обращение облигации</v>
      </c>
      <c r="F421" s="9" t="str">
        <f t="shared" si="72"/>
        <v>1</v>
      </c>
      <c r="G421" s="9" t="str">
        <f>"4"</f>
        <v>4</v>
      </c>
      <c r="H421" s="9" t="str">
        <f>"1"</f>
        <v>1</v>
      </c>
      <c r="I421" s="11">
        <v>74065035000</v>
      </c>
    </row>
    <row r="422" spans="1:9" x14ac:dyDescent="0.25">
      <c r="A422" s="9">
        <v>415</v>
      </c>
      <c r="B422" s="10">
        <v>44834</v>
      </c>
      <c r="C422" s="9">
        <v>8</v>
      </c>
      <c r="D422" s="9" t="str">
        <f>"2306"</f>
        <v>2306</v>
      </c>
      <c r="E422" s="9" t="str">
        <f>"Выкупленные облигации"</f>
        <v>Выкупленные облигации</v>
      </c>
      <c r="F422" s="9" t="str">
        <f t="shared" si="72"/>
        <v>1</v>
      </c>
      <c r="G422" s="9" t="str">
        <f>"5"</f>
        <v>5</v>
      </c>
      <c r="H422" s="9" t="str">
        <f>"1"</f>
        <v>1</v>
      </c>
      <c r="I422" s="11">
        <v>-49533856293</v>
      </c>
    </row>
    <row r="423" spans="1:9" x14ac:dyDescent="0.25">
      <c r="A423" s="9">
        <v>416</v>
      </c>
      <c r="B423" s="10">
        <v>44834</v>
      </c>
      <c r="C423" s="9">
        <v>8</v>
      </c>
      <c r="D423" s="9" t="str">
        <f>"2306"</f>
        <v>2306</v>
      </c>
      <c r="E423" s="9" t="str">
        <f>"Выкупленные облигации"</f>
        <v>Выкупленные облигации</v>
      </c>
      <c r="F423" s="9" t="str">
        <f t="shared" si="72"/>
        <v>1</v>
      </c>
      <c r="G423" s="9" t="str">
        <f>"4"</f>
        <v>4</v>
      </c>
      <c r="H423" s="9" t="str">
        <f>"1"</f>
        <v>1</v>
      </c>
      <c r="I423" s="11">
        <v>-4470206400</v>
      </c>
    </row>
    <row r="424" spans="1:9" x14ac:dyDescent="0.25">
      <c r="A424" s="9">
        <v>417</v>
      </c>
      <c r="B424" s="10">
        <v>44834</v>
      </c>
      <c r="C424" s="9">
        <v>8</v>
      </c>
      <c r="D424" s="9" t="str">
        <f>"2306"</f>
        <v>2306</v>
      </c>
      <c r="E424" s="9" t="str">
        <f>"Выкупленные облигации"</f>
        <v>Выкупленные облигации</v>
      </c>
      <c r="F424" s="9" t="str">
        <f t="shared" si="72"/>
        <v>1</v>
      </c>
      <c r="G424" s="9" t="str">
        <f>"9"</f>
        <v>9</v>
      </c>
      <c r="H424" s="9" t="str">
        <f>"2"</f>
        <v>2</v>
      </c>
      <c r="I424" s="11">
        <v>-476710000</v>
      </c>
    </row>
    <row r="425" spans="1:9" x14ac:dyDescent="0.25">
      <c r="A425" s="9">
        <v>418</v>
      </c>
      <c r="B425" s="10">
        <v>44834</v>
      </c>
      <c r="C425" s="9">
        <v>8</v>
      </c>
      <c r="D425" s="9" t="str">
        <f>"2705"</f>
        <v>2705</v>
      </c>
      <c r="E425" s="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25" s="9" t="str">
        <f t="shared" si="72"/>
        <v>1</v>
      </c>
      <c r="G425" s="9" t="str">
        <f>"4"</f>
        <v>4</v>
      </c>
      <c r="H425" s="9" t="str">
        <f>"1"</f>
        <v>1</v>
      </c>
      <c r="I425" s="11">
        <v>27475335.420000002</v>
      </c>
    </row>
    <row r="426" spans="1:9" x14ac:dyDescent="0.25">
      <c r="A426" s="9">
        <v>419</v>
      </c>
      <c r="B426" s="10">
        <v>44834</v>
      </c>
      <c r="C426" s="9">
        <v>8</v>
      </c>
      <c r="D426" s="9" t="str">
        <f>"2305"</f>
        <v>2305</v>
      </c>
      <c r="E426" s="9" t="str">
        <f>"Дисконт по выпущенным в обращение ценным бумагам"</f>
        <v>Дисконт по выпущенным в обращение ценным бумагам</v>
      </c>
      <c r="F426" s="9" t="str">
        <f t="shared" si="72"/>
        <v>1</v>
      </c>
      <c r="G426" s="9" t="str">
        <f>"4"</f>
        <v>4</v>
      </c>
      <c r="H426" s="9" t="str">
        <f>"1"</f>
        <v>1</v>
      </c>
      <c r="I426" s="11">
        <v>-2030383841.05</v>
      </c>
    </row>
    <row r="427" spans="1:9" x14ac:dyDescent="0.25">
      <c r="A427" s="9">
        <v>420</v>
      </c>
      <c r="B427" s="10">
        <v>44834</v>
      </c>
      <c r="C427" s="9">
        <v>8</v>
      </c>
      <c r="D427" s="9" t="str">
        <f>"2305"</f>
        <v>2305</v>
      </c>
      <c r="E427" s="9" t="str">
        <f>"Дисконт по выпущенным в обращение ценным бумагам"</f>
        <v>Дисконт по выпущенным в обращение ценным бумагам</v>
      </c>
      <c r="F427" s="9" t="str">
        <f t="shared" si="72"/>
        <v>1</v>
      </c>
      <c r="G427" s="9" t="str">
        <f>"9"</f>
        <v>9</v>
      </c>
      <c r="H427" s="9" t="str">
        <f>"2"</f>
        <v>2</v>
      </c>
      <c r="I427" s="11">
        <v>-37838527.32</v>
      </c>
    </row>
    <row r="428" spans="1:9" x14ac:dyDescent="0.25">
      <c r="A428" s="9">
        <v>421</v>
      </c>
      <c r="B428" s="10">
        <v>44834</v>
      </c>
      <c r="C428" s="9">
        <v>8</v>
      </c>
      <c r="D428" s="9" t="str">
        <f>"2305"</f>
        <v>2305</v>
      </c>
      <c r="E428" s="9" t="str">
        <f>"Дисконт по выпущенным в обращение ценным бумагам"</f>
        <v>Дисконт по выпущенным в обращение ценным бумагам</v>
      </c>
      <c r="F428" s="9" t="str">
        <f t="shared" si="72"/>
        <v>1</v>
      </c>
      <c r="G428" s="9" t="str">
        <f>"5"</f>
        <v>5</v>
      </c>
      <c r="H428" s="9" t="str">
        <f>"1"</f>
        <v>1</v>
      </c>
      <c r="I428" s="11">
        <v>-244456553.37</v>
      </c>
    </row>
    <row r="429" spans="1:9" x14ac:dyDescent="0.25">
      <c r="A429" s="9">
        <v>422</v>
      </c>
      <c r="B429" s="10">
        <v>44834</v>
      </c>
      <c r="C429" s="9">
        <v>8</v>
      </c>
      <c r="D429" s="9" t="str">
        <f>"2719"</f>
        <v>2719</v>
      </c>
      <c r="E429" s="9" t="str">
        <f>"Начисленные расходы по условным вкладам клиентов"</f>
        <v>Начисленные расходы по условным вкладам клиентов</v>
      </c>
      <c r="F429" s="9" t="str">
        <f t="shared" si="72"/>
        <v>1</v>
      </c>
      <c r="G429" s="9" t="str">
        <f>"6"</f>
        <v>6</v>
      </c>
      <c r="H429" s="9" t="str">
        <f>"1"</f>
        <v>1</v>
      </c>
      <c r="I429" s="11">
        <v>11481.29</v>
      </c>
    </row>
    <row r="430" spans="1:9" x14ac:dyDescent="0.25">
      <c r="A430" s="9">
        <v>423</v>
      </c>
      <c r="B430" s="10">
        <v>44834</v>
      </c>
      <c r="C430" s="9">
        <v>8</v>
      </c>
      <c r="D430" s="9" t="str">
        <f>"2719"</f>
        <v>2719</v>
      </c>
      <c r="E430" s="9" t="str">
        <f>"Начисленные расходы по условным вкладам клиентов"</f>
        <v>Начисленные расходы по условным вкладам клиентов</v>
      </c>
      <c r="F430" s="9" t="str">
        <f t="shared" si="72"/>
        <v>1</v>
      </c>
      <c r="G430" s="9" t="str">
        <f>"7"</f>
        <v>7</v>
      </c>
      <c r="H430" s="9" t="str">
        <f>"1"</f>
        <v>1</v>
      </c>
      <c r="I430" s="11">
        <v>90297975.939999998</v>
      </c>
    </row>
    <row r="431" spans="1:9" x14ac:dyDescent="0.25">
      <c r="A431" s="9">
        <v>424</v>
      </c>
      <c r="B431" s="10">
        <v>44834</v>
      </c>
      <c r="C431" s="9">
        <v>8</v>
      </c>
      <c r="D431" s="9" t="str">
        <f>"2719"</f>
        <v>2719</v>
      </c>
      <c r="E431" s="9" t="str">
        <f>"Начисленные расходы по условным вкладам клиентов"</f>
        <v>Начисленные расходы по условным вкладам клиентов</v>
      </c>
      <c r="F431" s="9" t="str">
        <f t="shared" si="72"/>
        <v>1</v>
      </c>
      <c r="G431" s="9" t="str">
        <f>"7"</f>
        <v>7</v>
      </c>
      <c r="H431" s="9" t="str">
        <f>"2"</f>
        <v>2</v>
      </c>
      <c r="I431" s="11">
        <v>334195266.82999998</v>
      </c>
    </row>
    <row r="432" spans="1:9" x14ac:dyDescent="0.25">
      <c r="A432" s="9">
        <v>425</v>
      </c>
      <c r="B432" s="10">
        <v>44834</v>
      </c>
      <c r="C432" s="9">
        <v>8</v>
      </c>
      <c r="D432" s="9" t="str">
        <f>"2304"</f>
        <v>2304</v>
      </c>
      <c r="E432" s="9" t="str">
        <f>"Премия по выпущенным в обращение ценным бумагам"</f>
        <v>Премия по выпущенным в обращение ценным бумагам</v>
      </c>
      <c r="F432" s="9" t="str">
        <f t="shared" si="72"/>
        <v>1</v>
      </c>
      <c r="G432" s="9" t="str">
        <f>"4"</f>
        <v>4</v>
      </c>
      <c r="H432" s="9" t="str">
        <f>"1"</f>
        <v>1</v>
      </c>
      <c r="I432" s="11">
        <v>1920696103.45</v>
      </c>
    </row>
    <row r="433" spans="1:9" x14ac:dyDescent="0.25">
      <c r="A433" s="9">
        <v>426</v>
      </c>
      <c r="B433" s="10">
        <v>44834</v>
      </c>
      <c r="C433" s="9">
        <v>8</v>
      </c>
      <c r="D433" s="9" t="str">
        <f>"2304"</f>
        <v>2304</v>
      </c>
      <c r="E433" s="9" t="str">
        <f>"Премия по выпущенным в обращение ценным бумагам"</f>
        <v>Премия по выпущенным в обращение ценным бумагам</v>
      </c>
      <c r="F433" s="9" t="str">
        <f t="shared" si="72"/>
        <v>1</v>
      </c>
      <c r="G433" s="9" t="str">
        <f>"9"</f>
        <v>9</v>
      </c>
      <c r="H433" s="9" t="str">
        <f>"2"</f>
        <v>2</v>
      </c>
      <c r="I433" s="11">
        <v>3744571.35</v>
      </c>
    </row>
    <row r="434" spans="1:9" x14ac:dyDescent="0.25">
      <c r="A434" s="9">
        <v>427</v>
      </c>
      <c r="B434" s="10">
        <v>44834</v>
      </c>
      <c r="C434" s="9">
        <v>8</v>
      </c>
      <c r="D434" s="9" t="str">
        <f t="shared" ref="D434:D451" si="73">"2721"</f>
        <v>2721</v>
      </c>
      <c r="E434" s="9" t="str">
        <f t="shared" ref="E434:E451" si="74">"Начисленные расходы по срочным вкладам клиентов"</f>
        <v>Начисленные расходы по срочным вкладам клиентов</v>
      </c>
      <c r="F434" s="9" t="str">
        <f t="shared" si="72"/>
        <v>1</v>
      </c>
      <c r="G434" s="9" t="str">
        <f>"9"</f>
        <v>9</v>
      </c>
      <c r="H434" s="9" t="str">
        <f>"2"</f>
        <v>2</v>
      </c>
      <c r="I434" s="11">
        <v>94534582.450000003</v>
      </c>
    </row>
    <row r="435" spans="1:9" x14ac:dyDescent="0.25">
      <c r="A435" s="9">
        <v>428</v>
      </c>
      <c r="B435" s="10">
        <v>44834</v>
      </c>
      <c r="C435" s="9">
        <v>8</v>
      </c>
      <c r="D435" s="9" t="str">
        <f t="shared" si="73"/>
        <v>2721</v>
      </c>
      <c r="E435" s="9" t="str">
        <f t="shared" si="74"/>
        <v>Начисленные расходы по срочным вкладам клиентов</v>
      </c>
      <c r="F435" s="9" t="str">
        <f>"2"</f>
        <v>2</v>
      </c>
      <c r="G435" s="9" t="str">
        <f>"9"</f>
        <v>9</v>
      </c>
      <c r="H435" s="9" t="str">
        <f>"1"</f>
        <v>1</v>
      </c>
      <c r="I435" s="11">
        <v>31463671.870000001</v>
      </c>
    </row>
    <row r="436" spans="1:9" x14ac:dyDescent="0.25">
      <c r="A436" s="9">
        <v>429</v>
      </c>
      <c r="B436" s="10">
        <v>44834</v>
      </c>
      <c r="C436" s="9">
        <v>8</v>
      </c>
      <c r="D436" s="9" t="str">
        <f t="shared" si="73"/>
        <v>2721</v>
      </c>
      <c r="E436" s="9" t="str">
        <f t="shared" si="74"/>
        <v>Начисленные расходы по срочным вкладам клиентов</v>
      </c>
      <c r="F436" s="9" t="str">
        <f t="shared" ref="F436:F441" si="75">"1"</f>
        <v>1</v>
      </c>
      <c r="G436" s="9" t="str">
        <f>"9"</f>
        <v>9</v>
      </c>
      <c r="H436" s="9" t="str">
        <f>"3"</f>
        <v>3</v>
      </c>
      <c r="I436" s="11">
        <v>12710.85</v>
      </c>
    </row>
    <row r="437" spans="1:9" x14ac:dyDescent="0.25">
      <c r="A437" s="9">
        <v>430</v>
      </c>
      <c r="B437" s="10">
        <v>44834</v>
      </c>
      <c r="C437" s="9">
        <v>8</v>
      </c>
      <c r="D437" s="9" t="str">
        <f t="shared" si="73"/>
        <v>2721</v>
      </c>
      <c r="E437" s="9" t="str">
        <f t="shared" si="74"/>
        <v>Начисленные расходы по срочным вкладам клиентов</v>
      </c>
      <c r="F437" s="9" t="str">
        <f t="shared" si="75"/>
        <v>1</v>
      </c>
      <c r="G437" s="9" t="str">
        <f>"5"</f>
        <v>5</v>
      </c>
      <c r="H437" s="9" t="str">
        <f>"1"</f>
        <v>1</v>
      </c>
      <c r="I437" s="11">
        <v>52954663.490000002</v>
      </c>
    </row>
    <row r="438" spans="1:9" x14ac:dyDescent="0.25">
      <c r="A438" s="9">
        <v>431</v>
      </c>
      <c r="B438" s="10">
        <v>44834</v>
      </c>
      <c r="C438" s="9">
        <v>8</v>
      </c>
      <c r="D438" s="9" t="str">
        <f t="shared" si="73"/>
        <v>2721</v>
      </c>
      <c r="E438" s="9" t="str">
        <f t="shared" si="74"/>
        <v>Начисленные расходы по срочным вкладам клиентов</v>
      </c>
      <c r="F438" s="9" t="str">
        <f t="shared" si="75"/>
        <v>1</v>
      </c>
      <c r="G438" s="9" t="str">
        <f>"8"</f>
        <v>8</v>
      </c>
      <c r="H438" s="9" t="str">
        <f>"2"</f>
        <v>2</v>
      </c>
      <c r="I438" s="11">
        <v>17837587.219999999</v>
      </c>
    </row>
    <row r="439" spans="1:9" x14ac:dyDescent="0.25">
      <c r="A439" s="9">
        <v>432</v>
      </c>
      <c r="B439" s="10">
        <v>44834</v>
      </c>
      <c r="C439" s="9">
        <v>8</v>
      </c>
      <c r="D439" s="9" t="str">
        <f t="shared" si="73"/>
        <v>2721</v>
      </c>
      <c r="E439" s="9" t="str">
        <f t="shared" si="74"/>
        <v>Начисленные расходы по срочным вкладам клиентов</v>
      </c>
      <c r="F439" s="9" t="str">
        <f t="shared" si="75"/>
        <v>1</v>
      </c>
      <c r="G439" s="9" t="str">
        <f>"8"</f>
        <v>8</v>
      </c>
      <c r="H439" s="9" t="str">
        <f>"1"</f>
        <v>1</v>
      </c>
      <c r="I439" s="11">
        <v>424741033.62</v>
      </c>
    </row>
    <row r="440" spans="1:9" x14ac:dyDescent="0.25">
      <c r="A440" s="9">
        <v>433</v>
      </c>
      <c r="B440" s="10">
        <v>44834</v>
      </c>
      <c r="C440" s="9">
        <v>8</v>
      </c>
      <c r="D440" s="9" t="str">
        <f t="shared" si="73"/>
        <v>2721</v>
      </c>
      <c r="E440" s="9" t="str">
        <f t="shared" si="74"/>
        <v>Начисленные расходы по срочным вкладам клиентов</v>
      </c>
      <c r="F440" s="9" t="str">
        <f t="shared" si="75"/>
        <v>1</v>
      </c>
      <c r="G440" s="9" t="str">
        <f>"7"</f>
        <v>7</v>
      </c>
      <c r="H440" s="9" t="str">
        <f>"3"</f>
        <v>3</v>
      </c>
      <c r="I440" s="11">
        <v>1529407.66</v>
      </c>
    </row>
    <row r="441" spans="1:9" x14ac:dyDescent="0.25">
      <c r="A441" s="9">
        <v>434</v>
      </c>
      <c r="B441" s="10">
        <v>44834</v>
      </c>
      <c r="C441" s="9">
        <v>8</v>
      </c>
      <c r="D441" s="9" t="str">
        <f t="shared" si="73"/>
        <v>2721</v>
      </c>
      <c r="E441" s="9" t="str">
        <f t="shared" si="74"/>
        <v>Начисленные расходы по срочным вкладам клиентов</v>
      </c>
      <c r="F441" s="9" t="str">
        <f t="shared" si="75"/>
        <v>1</v>
      </c>
      <c r="G441" s="9" t="str">
        <f>"7"</f>
        <v>7</v>
      </c>
      <c r="H441" s="9" t="str">
        <f>"1"</f>
        <v>1</v>
      </c>
      <c r="I441" s="11">
        <v>952331500.78999996</v>
      </c>
    </row>
    <row r="442" spans="1:9" x14ac:dyDescent="0.25">
      <c r="A442" s="9">
        <v>435</v>
      </c>
      <c r="B442" s="10">
        <v>44834</v>
      </c>
      <c r="C442" s="9">
        <v>8</v>
      </c>
      <c r="D442" s="9" t="str">
        <f t="shared" si="73"/>
        <v>2721</v>
      </c>
      <c r="E442" s="9" t="str">
        <f t="shared" si="74"/>
        <v>Начисленные расходы по срочным вкладам клиентов</v>
      </c>
      <c r="F442" s="9" t="str">
        <f>"2"</f>
        <v>2</v>
      </c>
      <c r="G442" s="9" t="str">
        <f>"7"</f>
        <v>7</v>
      </c>
      <c r="H442" s="9" t="str">
        <f>"1"</f>
        <v>1</v>
      </c>
      <c r="I442" s="11">
        <v>14486.36</v>
      </c>
    </row>
    <row r="443" spans="1:9" x14ac:dyDescent="0.25">
      <c r="A443" s="9">
        <v>436</v>
      </c>
      <c r="B443" s="10">
        <v>44834</v>
      </c>
      <c r="C443" s="9">
        <v>8</v>
      </c>
      <c r="D443" s="9" t="str">
        <f t="shared" si="73"/>
        <v>2721</v>
      </c>
      <c r="E443" s="9" t="str">
        <f t="shared" si="74"/>
        <v>Начисленные расходы по срочным вкладам клиентов</v>
      </c>
      <c r="F443" s="9" t="str">
        <f>"1"</f>
        <v>1</v>
      </c>
      <c r="G443" s="9" t="str">
        <f>"5"</f>
        <v>5</v>
      </c>
      <c r="H443" s="9" t="str">
        <f>"2"</f>
        <v>2</v>
      </c>
      <c r="I443" s="11">
        <v>8020917.4800000004</v>
      </c>
    </row>
    <row r="444" spans="1:9" x14ac:dyDescent="0.25">
      <c r="A444" s="9">
        <v>437</v>
      </c>
      <c r="B444" s="10">
        <v>44834</v>
      </c>
      <c r="C444" s="9">
        <v>8</v>
      </c>
      <c r="D444" s="9" t="str">
        <f t="shared" si="73"/>
        <v>2721</v>
      </c>
      <c r="E444" s="9" t="str">
        <f t="shared" si="74"/>
        <v>Начисленные расходы по срочным вкладам клиентов</v>
      </c>
      <c r="F444" s="9" t="str">
        <f>"2"</f>
        <v>2</v>
      </c>
      <c r="G444" s="9" t="str">
        <f>"9"</f>
        <v>9</v>
      </c>
      <c r="H444" s="9" t="str">
        <f>"2"</f>
        <v>2</v>
      </c>
      <c r="I444" s="11">
        <v>13748347.84</v>
      </c>
    </row>
    <row r="445" spans="1:9" x14ac:dyDescent="0.25">
      <c r="A445" s="9">
        <v>438</v>
      </c>
      <c r="B445" s="10">
        <v>44834</v>
      </c>
      <c r="C445" s="9">
        <v>8</v>
      </c>
      <c r="D445" s="9" t="str">
        <f t="shared" si="73"/>
        <v>2721</v>
      </c>
      <c r="E445" s="9" t="str">
        <f t="shared" si="74"/>
        <v>Начисленные расходы по срочным вкладам клиентов</v>
      </c>
      <c r="F445" s="9" t="str">
        <f>"1"</f>
        <v>1</v>
      </c>
      <c r="G445" s="9" t="str">
        <f>"7"</f>
        <v>7</v>
      </c>
      <c r="H445" s="9" t="str">
        <f>"2"</f>
        <v>2</v>
      </c>
      <c r="I445" s="11">
        <v>116282163.70999999</v>
      </c>
    </row>
    <row r="446" spans="1:9" x14ac:dyDescent="0.25">
      <c r="A446" s="9">
        <v>439</v>
      </c>
      <c r="B446" s="10">
        <v>44834</v>
      </c>
      <c r="C446" s="9">
        <v>8</v>
      </c>
      <c r="D446" s="9" t="str">
        <f t="shared" si="73"/>
        <v>2721</v>
      </c>
      <c r="E446" s="9" t="str">
        <f t="shared" si="74"/>
        <v>Начисленные расходы по срочным вкладам клиентов</v>
      </c>
      <c r="F446" s="9" t="str">
        <f>"1"</f>
        <v>1</v>
      </c>
      <c r="G446" s="9" t="str">
        <f>"8"</f>
        <v>8</v>
      </c>
      <c r="H446" s="9" t="str">
        <f>"3"</f>
        <v>3</v>
      </c>
      <c r="I446" s="11">
        <v>56448.480000000003</v>
      </c>
    </row>
    <row r="447" spans="1:9" x14ac:dyDescent="0.25">
      <c r="A447" s="9">
        <v>440</v>
      </c>
      <c r="B447" s="10">
        <v>44834</v>
      </c>
      <c r="C447" s="9">
        <v>8</v>
      </c>
      <c r="D447" s="9" t="str">
        <f t="shared" si="73"/>
        <v>2721</v>
      </c>
      <c r="E447" s="9" t="str">
        <f t="shared" si="74"/>
        <v>Начисленные расходы по срочным вкладам клиентов</v>
      </c>
      <c r="F447" s="9" t="str">
        <f>"1"</f>
        <v>1</v>
      </c>
      <c r="G447" s="9" t="str">
        <f>"6"</f>
        <v>6</v>
      </c>
      <c r="H447" s="9" t="str">
        <f>"1"</f>
        <v>1</v>
      </c>
      <c r="I447" s="11">
        <v>17869457.300000001</v>
      </c>
    </row>
    <row r="448" spans="1:9" x14ac:dyDescent="0.25">
      <c r="A448" s="9">
        <v>441</v>
      </c>
      <c r="B448" s="10">
        <v>44834</v>
      </c>
      <c r="C448" s="9">
        <v>8</v>
      </c>
      <c r="D448" s="9" t="str">
        <f t="shared" si="73"/>
        <v>2721</v>
      </c>
      <c r="E448" s="9" t="str">
        <f t="shared" si="74"/>
        <v>Начисленные расходы по срочным вкладам клиентов</v>
      </c>
      <c r="F448" s="9" t="str">
        <f>"1"</f>
        <v>1</v>
      </c>
      <c r="G448" s="9" t="str">
        <f>"6"</f>
        <v>6</v>
      </c>
      <c r="H448" s="9" t="str">
        <f>"2"</f>
        <v>2</v>
      </c>
      <c r="I448" s="11">
        <v>704763.3</v>
      </c>
    </row>
    <row r="449" spans="1:9" x14ac:dyDescent="0.25">
      <c r="A449" s="9">
        <v>442</v>
      </c>
      <c r="B449" s="10">
        <v>44834</v>
      </c>
      <c r="C449" s="9">
        <v>8</v>
      </c>
      <c r="D449" s="9" t="str">
        <f t="shared" si="73"/>
        <v>2721</v>
      </c>
      <c r="E449" s="9" t="str">
        <f t="shared" si="74"/>
        <v>Начисленные расходы по срочным вкладам клиентов</v>
      </c>
      <c r="F449" s="9" t="str">
        <f>"2"</f>
        <v>2</v>
      </c>
      <c r="G449" s="9" t="str">
        <f>"7"</f>
        <v>7</v>
      </c>
      <c r="H449" s="9" t="str">
        <f>"2"</f>
        <v>2</v>
      </c>
      <c r="I449" s="11">
        <v>4132039.55</v>
      </c>
    </row>
    <row r="450" spans="1:9" x14ac:dyDescent="0.25">
      <c r="A450" s="9">
        <v>443</v>
      </c>
      <c r="B450" s="10">
        <v>44834</v>
      </c>
      <c r="C450" s="9">
        <v>8</v>
      </c>
      <c r="D450" s="9" t="str">
        <f t="shared" si="73"/>
        <v>2721</v>
      </c>
      <c r="E450" s="9" t="str">
        <f t="shared" si="74"/>
        <v>Начисленные расходы по срочным вкладам клиентов</v>
      </c>
      <c r="F450" s="9" t="str">
        <f>"2"</f>
        <v>2</v>
      </c>
      <c r="G450" s="9" t="str">
        <f>"9"</f>
        <v>9</v>
      </c>
      <c r="H450" s="9" t="str">
        <f>"3"</f>
        <v>3</v>
      </c>
      <c r="I450" s="11">
        <v>655.67</v>
      </c>
    </row>
    <row r="451" spans="1:9" x14ac:dyDescent="0.25">
      <c r="A451" s="9">
        <v>444</v>
      </c>
      <c r="B451" s="10">
        <v>44834</v>
      </c>
      <c r="C451" s="9">
        <v>8</v>
      </c>
      <c r="D451" s="9" t="str">
        <f t="shared" si="73"/>
        <v>2721</v>
      </c>
      <c r="E451" s="9" t="str">
        <f t="shared" si="74"/>
        <v>Начисленные расходы по срочным вкладам клиентов</v>
      </c>
      <c r="F451" s="9" t="str">
        <f>"1"</f>
        <v>1</v>
      </c>
      <c r="G451" s="9" t="str">
        <f>"9"</f>
        <v>9</v>
      </c>
      <c r="H451" s="9" t="str">
        <f>"1"</f>
        <v>1</v>
      </c>
      <c r="I451" s="11">
        <v>794200563.13999999</v>
      </c>
    </row>
    <row r="452" spans="1:9" x14ac:dyDescent="0.25">
      <c r="A452" s="9">
        <v>445</v>
      </c>
      <c r="B452" s="10">
        <v>44834</v>
      </c>
      <c r="C452" s="9">
        <v>8</v>
      </c>
      <c r="D452" s="9" t="str">
        <f>"2712"</f>
        <v>2712</v>
      </c>
      <c r="E452" s="9" t="str">
        <f>"Начисленные расходы по срочным вкладам других банков"</f>
        <v>Начисленные расходы по срочным вкладам других банков</v>
      </c>
      <c r="F452" s="9" t="str">
        <f>"2"</f>
        <v>2</v>
      </c>
      <c r="G452" s="9" t="str">
        <f>"4"</f>
        <v>4</v>
      </c>
      <c r="H452" s="9" t="str">
        <f>"2"</f>
        <v>2</v>
      </c>
      <c r="I452" s="11">
        <v>5879297.7999999998</v>
      </c>
    </row>
    <row r="453" spans="1:9" x14ac:dyDescent="0.25">
      <c r="A453" s="9">
        <v>446</v>
      </c>
      <c r="B453" s="10">
        <v>44834</v>
      </c>
      <c r="C453" s="9">
        <v>8</v>
      </c>
      <c r="D453" s="9" t="str">
        <f>"2712"</f>
        <v>2712</v>
      </c>
      <c r="E453" s="9" t="str">
        <f>"Начисленные расходы по срочным вкладам других банков"</f>
        <v>Начисленные расходы по срочным вкладам других банков</v>
      </c>
      <c r="F453" s="9" t="str">
        <f>"1"</f>
        <v>1</v>
      </c>
      <c r="G453" s="9" t="str">
        <f>"3"</f>
        <v>3</v>
      </c>
      <c r="H453" s="9" t="str">
        <f>"1"</f>
        <v>1</v>
      </c>
      <c r="I453" s="11">
        <v>21402739.75</v>
      </c>
    </row>
    <row r="454" spans="1:9" x14ac:dyDescent="0.25">
      <c r="A454" s="9">
        <v>447</v>
      </c>
      <c r="B454" s="10">
        <v>44834</v>
      </c>
      <c r="C454" s="9">
        <v>8</v>
      </c>
      <c r="D454" s="9" t="str">
        <f>"2756"</f>
        <v>2756</v>
      </c>
      <c r="E454" s="9" t="str">
        <f>"Начисленные расходы по субординированным облигациям"</f>
        <v>Начисленные расходы по субординированным облигациям</v>
      </c>
      <c r="F454" s="9" t="str">
        <f>"1"</f>
        <v>1</v>
      </c>
      <c r="G454" s="9" t="str">
        <f>"5"</f>
        <v>5</v>
      </c>
      <c r="H454" s="9" t="str">
        <f>"1"</f>
        <v>1</v>
      </c>
      <c r="I454" s="11">
        <v>8339955555.5600004</v>
      </c>
    </row>
    <row r="455" spans="1:9" x14ac:dyDescent="0.25">
      <c r="A455" s="9">
        <v>448</v>
      </c>
      <c r="B455" s="10">
        <v>44834</v>
      </c>
      <c r="C455" s="9">
        <v>8</v>
      </c>
      <c r="D455" s="9" t="str">
        <f>"2818"</f>
        <v>2818</v>
      </c>
      <c r="E455" s="9" t="str">
        <f>"Начисленные прочие комиссионные расходы"</f>
        <v>Начисленные прочие комиссионные расходы</v>
      </c>
      <c r="F455" s="9" t="str">
        <f>"2"</f>
        <v>2</v>
      </c>
      <c r="G455" s="9" t="str">
        <f>""</f>
        <v/>
      </c>
      <c r="H455" s="9" t="str">
        <f>"3"</f>
        <v>3</v>
      </c>
      <c r="I455" s="11">
        <v>62700</v>
      </c>
    </row>
    <row r="456" spans="1:9" x14ac:dyDescent="0.25">
      <c r="A456" s="9">
        <v>449</v>
      </c>
      <c r="B456" s="10">
        <v>44834</v>
      </c>
      <c r="C456" s="9">
        <v>8</v>
      </c>
      <c r="D456" s="9" t="str">
        <f>"2818"</f>
        <v>2818</v>
      </c>
      <c r="E456" s="9" t="str">
        <f>"Начисленные прочие комиссионные расходы"</f>
        <v>Начисленные прочие комиссионные расходы</v>
      </c>
      <c r="F456" s="9" t="str">
        <f>"1"</f>
        <v>1</v>
      </c>
      <c r="G456" s="9" t="str">
        <f>""</f>
        <v/>
      </c>
      <c r="H456" s="9" t="str">
        <f>"1"</f>
        <v>1</v>
      </c>
      <c r="I456" s="11">
        <v>614633.43000000005</v>
      </c>
    </row>
    <row r="457" spans="1:9" x14ac:dyDescent="0.25">
      <c r="A457" s="9">
        <v>450</v>
      </c>
      <c r="B457" s="10">
        <v>44834</v>
      </c>
      <c r="C457" s="9">
        <v>8</v>
      </c>
      <c r="D457" s="9" t="str">
        <f>"2818"</f>
        <v>2818</v>
      </c>
      <c r="E457" s="9" t="str">
        <f>"Начисленные прочие комиссионные расходы"</f>
        <v>Начисленные прочие комиссионные расходы</v>
      </c>
      <c r="F457" s="9" t="str">
        <f>"2"</f>
        <v>2</v>
      </c>
      <c r="G457" s="9" t="str">
        <f>""</f>
        <v/>
      </c>
      <c r="H457" s="9" t="str">
        <f>"2"</f>
        <v>2</v>
      </c>
      <c r="I457" s="11">
        <v>5272022.6900000004</v>
      </c>
    </row>
    <row r="458" spans="1:9" x14ac:dyDescent="0.25">
      <c r="A458" s="9">
        <v>451</v>
      </c>
      <c r="B458" s="10">
        <v>44834</v>
      </c>
      <c r="C458" s="9">
        <v>8</v>
      </c>
      <c r="D458" s="9" t="str">
        <f>"2818"</f>
        <v>2818</v>
      </c>
      <c r="E458" s="9" t="str">
        <f>"Начисленные прочие комиссионные расходы"</f>
        <v>Начисленные прочие комиссионные расходы</v>
      </c>
      <c r="F458" s="9" t="str">
        <f>"1"</f>
        <v>1</v>
      </c>
      <c r="G458" s="9" t="str">
        <f>""</f>
        <v/>
      </c>
      <c r="H458" s="9" t="str">
        <f>"2"</f>
        <v>2</v>
      </c>
      <c r="I458" s="11">
        <v>43504442.299999997</v>
      </c>
    </row>
    <row r="459" spans="1:9" x14ac:dyDescent="0.25">
      <c r="A459" s="9">
        <v>452</v>
      </c>
      <c r="B459" s="10">
        <v>44834</v>
      </c>
      <c r="C459" s="9">
        <v>8</v>
      </c>
      <c r="D459" s="9" t="str">
        <f t="shared" ref="D459:D466" si="76">"2770"</f>
        <v>2770</v>
      </c>
      <c r="E459" s="9" t="str">
        <f t="shared" ref="E459:E466" si="77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9" s="9" t="str">
        <f>"1"</f>
        <v>1</v>
      </c>
      <c r="G459" s="9" t="str">
        <f>"5"</f>
        <v>5</v>
      </c>
      <c r="H459" s="9" t="str">
        <f t="shared" ref="H459:H469" si="78">"1"</f>
        <v>1</v>
      </c>
      <c r="I459" s="11">
        <v>15075878.34</v>
      </c>
    </row>
    <row r="460" spans="1:9" x14ac:dyDescent="0.25">
      <c r="A460" s="9">
        <v>453</v>
      </c>
      <c r="B460" s="10">
        <v>44834</v>
      </c>
      <c r="C460" s="9">
        <v>8</v>
      </c>
      <c r="D460" s="9" t="str">
        <f t="shared" si="76"/>
        <v>2770</v>
      </c>
      <c r="E460" s="9" t="str">
        <f t="shared" si="77"/>
        <v>Начисленные расходы по административно-хозяйственной деятельности</v>
      </c>
      <c r="F460" s="9" t="str">
        <f>"1"</f>
        <v>1</v>
      </c>
      <c r="G460" s="9" t="str">
        <f>"9"</f>
        <v>9</v>
      </c>
      <c r="H460" s="9" t="str">
        <f t="shared" si="78"/>
        <v>1</v>
      </c>
      <c r="I460" s="11">
        <v>1989377164</v>
      </c>
    </row>
    <row r="461" spans="1:9" x14ac:dyDescent="0.25">
      <c r="A461" s="9">
        <v>454</v>
      </c>
      <c r="B461" s="10">
        <v>44834</v>
      </c>
      <c r="C461" s="9">
        <v>8</v>
      </c>
      <c r="D461" s="9" t="str">
        <f t="shared" si="76"/>
        <v>2770</v>
      </c>
      <c r="E461" s="9" t="str">
        <f t="shared" si="77"/>
        <v>Начисленные расходы по административно-хозяйственной деятельности</v>
      </c>
      <c r="F461" s="9" t="str">
        <f>"2"</f>
        <v>2</v>
      </c>
      <c r="G461" s="9" t="str">
        <f>"7"</f>
        <v>7</v>
      </c>
      <c r="H461" s="9" t="str">
        <f t="shared" si="78"/>
        <v>1</v>
      </c>
      <c r="I461" s="11">
        <v>223150119.11000001</v>
      </c>
    </row>
    <row r="462" spans="1:9" x14ac:dyDescent="0.25">
      <c r="A462" s="9">
        <v>455</v>
      </c>
      <c r="B462" s="10">
        <v>44834</v>
      </c>
      <c r="C462" s="9">
        <v>8</v>
      </c>
      <c r="D462" s="9" t="str">
        <f t="shared" si="76"/>
        <v>2770</v>
      </c>
      <c r="E462" s="9" t="str">
        <f t="shared" si="77"/>
        <v>Начисленные расходы по административно-хозяйственной деятельности</v>
      </c>
      <c r="F462" s="9" t="str">
        <f>"1"</f>
        <v>1</v>
      </c>
      <c r="G462" s="9" t="str">
        <f>"1"</f>
        <v>1</v>
      </c>
      <c r="H462" s="9" t="str">
        <f t="shared" si="78"/>
        <v>1</v>
      </c>
      <c r="I462" s="11">
        <v>1500000</v>
      </c>
    </row>
    <row r="463" spans="1:9" x14ac:dyDescent="0.25">
      <c r="A463" s="9">
        <v>456</v>
      </c>
      <c r="B463" s="10">
        <v>44834</v>
      </c>
      <c r="C463" s="9">
        <v>8</v>
      </c>
      <c r="D463" s="9" t="str">
        <f t="shared" si="76"/>
        <v>2770</v>
      </c>
      <c r="E463" s="9" t="str">
        <f t="shared" si="77"/>
        <v>Начисленные расходы по административно-хозяйственной деятельности</v>
      </c>
      <c r="F463" s="9" t="str">
        <f>"1"</f>
        <v>1</v>
      </c>
      <c r="G463" s="9" t="str">
        <f>"6"</f>
        <v>6</v>
      </c>
      <c r="H463" s="9" t="str">
        <f t="shared" si="78"/>
        <v>1</v>
      </c>
      <c r="I463" s="11">
        <v>7496115.5199999996</v>
      </c>
    </row>
    <row r="464" spans="1:9" x14ac:dyDescent="0.25">
      <c r="A464" s="9">
        <v>457</v>
      </c>
      <c r="B464" s="10">
        <v>44834</v>
      </c>
      <c r="C464" s="9">
        <v>8</v>
      </c>
      <c r="D464" s="9" t="str">
        <f t="shared" si="76"/>
        <v>2770</v>
      </c>
      <c r="E464" s="9" t="str">
        <f t="shared" si="77"/>
        <v>Начисленные расходы по административно-хозяйственной деятельности</v>
      </c>
      <c r="F464" s="9" t="str">
        <f>"1"</f>
        <v>1</v>
      </c>
      <c r="G464" s="9" t="str">
        <f>"8"</f>
        <v>8</v>
      </c>
      <c r="H464" s="9" t="str">
        <f t="shared" si="78"/>
        <v>1</v>
      </c>
      <c r="I464" s="11">
        <v>2209627.5</v>
      </c>
    </row>
    <row r="465" spans="1:9" x14ac:dyDescent="0.25">
      <c r="A465" s="9">
        <v>458</v>
      </c>
      <c r="B465" s="10">
        <v>44834</v>
      </c>
      <c r="C465" s="9">
        <v>8</v>
      </c>
      <c r="D465" s="9" t="str">
        <f t="shared" si="76"/>
        <v>2770</v>
      </c>
      <c r="E465" s="9" t="str">
        <f t="shared" si="77"/>
        <v>Начисленные расходы по административно-хозяйственной деятельности</v>
      </c>
      <c r="F465" s="9" t="str">
        <f>"1"</f>
        <v>1</v>
      </c>
      <c r="G465" s="9" t="str">
        <f>"7"</f>
        <v>7</v>
      </c>
      <c r="H465" s="9" t="str">
        <f t="shared" si="78"/>
        <v>1</v>
      </c>
      <c r="I465" s="11">
        <v>176805560.75999999</v>
      </c>
    </row>
    <row r="466" spans="1:9" x14ac:dyDescent="0.25">
      <c r="A466" s="9">
        <v>459</v>
      </c>
      <c r="B466" s="10">
        <v>44834</v>
      </c>
      <c r="C466" s="9">
        <v>8</v>
      </c>
      <c r="D466" s="9" t="str">
        <f t="shared" si="76"/>
        <v>2770</v>
      </c>
      <c r="E466" s="9" t="str">
        <f t="shared" si="77"/>
        <v>Начисленные расходы по административно-хозяйственной деятельности</v>
      </c>
      <c r="F466" s="9" t="str">
        <f>"1"</f>
        <v>1</v>
      </c>
      <c r="G466" s="9" t="str">
        <f>"4"</f>
        <v>4</v>
      </c>
      <c r="H466" s="9" t="str">
        <f t="shared" si="78"/>
        <v>1</v>
      </c>
      <c r="I466" s="11">
        <v>600000</v>
      </c>
    </row>
    <row r="467" spans="1:9" x14ac:dyDescent="0.25">
      <c r="A467" s="9">
        <v>460</v>
      </c>
      <c r="B467" s="10">
        <v>44834</v>
      </c>
      <c r="C467" s="9">
        <v>8</v>
      </c>
      <c r="D467" s="9" t="str">
        <f>"2792"</f>
        <v>2792</v>
      </c>
      <c r="E467" s="9" t="str">
        <f>"Предоплата вознаграждения по предоставленным займам"</f>
        <v>Предоплата вознаграждения по предоставленным займам</v>
      </c>
      <c r="F467" s="9" t="str">
        <f>"1"</f>
        <v>1</v>
      </c>
      <c r="G467" s="9" t="str">
        <f>"7"</f>
        <v>7</v>
      </c>
      <c r="H467" s="9" t="str">
        <f t="shared" si="78"/>
        <v>1</v>
      </c>
      <c r="I467" s="11">
        <v>4295752.6900000004</v>
      </c>
    </row>
    <row r="468" spans="1:9" x14ac:dyDescent="0.25">
      <c r="A468" s="9">
        <v>461</v>
      </c>
      <c r="B468" s="10">
        <v>44834</v>
      </c>
      <c r="C468" s="9">
        <v>8</v>
      </c>
      <c r="D468" s="9" t="str">
        <f t="shared" ref="D468:D475" si="79">"2794"</f>
        <v>2794</v>
      </c>
      <c r="E468" s="9" t="str">
        <f t="shared" ref="E468:E475" si="80">"Доходы будущих периодов"</f>
        <v>Доходы будущих периодов</v>
      </c>
      <c r="F468" s="9" t="str">
        <f>"2"</f>
        <v>2</v>
      </c>
      <c r="G468" s="9" t="str">
        <f>"9"</f>
        <v>9</v>
      </c>
      <c r="H468" s="9" t="str">
        <f t="shared" si="78"/>
        <v>1</v>
      </c>
      <c r="I468" s="11">
        <v>405435.12</v>
      </c>
    </row>
    <row r="469" spans="1:9" x14ac:dyDescent="0.25">
      <c r="A469" s="9">
        <v>462</v>
      </c>
      <c r="B469" s="10">
        <v>44834</v>
      </c>
      <c r="C469" s="9">
        <v>8</v>
      </c>
      <c r="D469" s="9" t="str">
        <f t="shared" si="79"/>
        <v>2794</v>
      </c>
      <c r="E469" s="9" t="str">
        <f t="shared" si="80"/>
        <v>Доходы будущих периодов</v>
      </c>
      <c r="F469" s="9" t="str">
        <f>"1"</f>
        <v>1</v>
      </c>
      <c r="G469" s="9" t="str">
        <f>"9"</f>
        <v>9</v>
      </c>
      <c r="H469" s="9" t="str">
        <f t="shared" si="78"/>
        <v>1</v>
      </c>
      <c r="I469" s="11">
        <v>22228928.539999999</v>
      </c>
    </row>
    <row r="470" spans="1:9" x14ac:dyDescent="0.25">
      <c r="A470" s="9">
        <v>463</v>
      </c>
      <c r="B470" s="10">
        <v>44834</v>
      </c>
      <c r="C470" s="9">
        <v>8</v>
      </c>
      <c r="D470" s="9" t="str">
        <f t="shared" si="79"/>
        <v>2794</v>
      </c>
      <c r="E470" s="9" t="str">
        <f t="shared" si="80"/>
        <v>Доходы будущих периодов</v>
      </c>
      <c r="F470" s="9" t="str">
        <f>"1"</f>
        <v>1</v>
      </c>
      <c r="G470" s="9" t="str">
        <f>"7"</f>
        <v>7</v>
      </c>
      <c r="H470" s="9" t="str">
        <f>"3"</f>
        <v>3</v>
      </c>
      <c r="I470" s="11">
        <v>5156100.1399999997</v>
      </c>
    </row>
    <row r="471" spans="1:9" x14ac:dyDescent="0.25">
      <c r="A471" s="9">
        <v>464</v>
      </c>
      <c r="B471" s="10">
        <v>44834</v>
      </c>
      <c r="C471" s="9">
        <v>8</v>
      </c>
      <c r="D471" s="9" t="str">
        <f t="shared" si="79"/>
        <v>2794</v>
      </c>
      <c r="E471" s="9" t="str">
        <f t="shared" si="80"/>
        <v>Доходы будущих периодов</v>
      </c>
      <c r="F471" s="9" t="str">
        <f>"1"</f>
        <v>1</v>
      </c>
      <c r="G471" s="9" t="str">
        <f>"7"</f>
        <v>7</v>
      </c>
      <c r="H471" s="9" t="str">
        <f>"2"</f>
        <v>2</v>
      </c>
      <c r="I471" s="11">
        <v>93309055.049999997</v>
      </c>
    </row>
    <row r="472" spans="1:9" x14ac:dyDescent="0.25">
      <c r="A472" s="9">
        <v>465</v>
      </c>
      <c r="B472" s="10">
        <v>44834</v>
      </c>
      <c r="C472" s="9">
        <v>8</v>
      </c>
      <c r="D472" s="9" t="str">
        <f t="shared" si="79"/>
        <v>2794</v>
      </c>
      <c r="E472" s="9" t="str">
        <f t="shared" si="80"/>
        <v>Доходы будущих периодов</v>
      </c>
      <c r="F472" s="9" t="str">
        <f>"2"</f>
        <v>2</v>
      </c>
      <c r="G472" s="9" t="str">
        <f>"7"</f>
        <v>7</v>
      </c>
      <c r="H472" s="9" t="str">
        <f>"2"</f>
        <v>2</v>
      </c>
      <c r="I472" s="11">
        <v>15252360.289999999</v>
      </c>
    </row>
    <row r="473" spans="1:9" x14ac:dyDescent="0.25">
      <c r="A473" s="9">
        <v>466</v>
      </c>
      <c r="B473" s="10">
        <v>44834</v>
      </c>
      <c r="C473" s="9">
        <v>8</v>
      </c>
      <c r="D473" s="9" t="str">
        <f t="shared" si="79"/>
        <v>2794</v>
      </c>
      <c r="E473" s="9" t="str">
        <f t="shared" si="80"/>
        <v>Доходы будущих периодов</v>
      </c>
      <c r="F473" s="9" t="str">
        <f t="shared" ref="F473:F487" si="81">"1"</f>
        <v>1</v>
      </c>
      <c r="G473" s="9" t="str">
        <f>"6"</f>
        <v>6</v>
      </c>
      <c r="H473" s="9" t="str">
        <f>"1"</f>
        <v>1</v>
      </c>
      <c r="I473" s="11">
        <v>7826.66</v>
      </c>
    </row>
    <row r="474" spans="1:9" x14ac:dyDescent="0.25">
      <c r="A474" s="9">
        <v>467</v>
      </c>
      <c r="B474" s="10">
        <v>44834</v>
      </c>
      <c r="C474" s="9">
        <v>8</v>
      </c>
      <c r="D474" s="9" t="str">
        <f t="shared" si="79"/>
        <v>2794</v>
      </c>
      <c r="E474" s="9" t="str">
        <f t="shared" si="80"/>
        <v>Доходы будущих периодов</v>
      </c>
      <c r="F474" s="9" t="str">
        <f t="shared" si="81"/>
        <v>1</v>
      </c>
      <c r="G474" s="9" t="str">
        <f>"2"</f>
        <v>2</v>
      </c>
      <c r="H474" s="9" t="str">
        <f>"1"</f>
        <v>1</v>
      </c>
      <c r="I474" s="11">
        <v>18095.009999999998</v>
      </c>
    </row>
    <row r="475" spans="1:9" x14ac:dyDescent="0.25">
      <c r="A475" s="9">
        <v>468</v>
      </c>
      <c r="B475" s="10">
        <v>44834</v>
      </c>
      <c r="C475" s="9">
        <v>8</v>
      </c>
      <c r="D475" s="9" t="str">
        <f t="shared" si="79"/>
        <v>2794</v>
      </c>
      <c r="E475" s="9" t="str">
        <f t="shared" si="80"/>
        <v>Доходы будущих периодов</v>
      </c>
      <c r="F475" s="9" t="str">
        <f t="shared" si="81"/>
        <v>1</v>
      </c>
      <c r="G475" s="9" t="str">
        <f>"7"</f>
        <v>7</v>
      </c>
      <c r="H475" s="9" t="str">
        <f>"1"</f>
        <v>1</v>
      </c>
      <c r="I475" s="11">
        <v>558846446.69000006</v>
      </c>
    </row>
    <row r="476" spans="1:9" x14ac:dyDescent="0.25">
      <c r="A476" s="9">
        <v>469</v>
      </c>
      <c r="B476" s="10">
        <v>44834</v>
      </c>
      <c r="C476" s="9">
        <v>8</v>
      </c>
      <c r="D476" s="9" t="str">
        <f>"2240"</f>
        <v>2240</v>
      </c>
      <c r="E476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6" s="9" t="str">
        <f t="shared" si="81"/>
        <v>1</v>
      </c>
      <c r="G476" s="9" t="str">
        <f>"9"</f>
        <v>9</v>
      </c>
      <c r="H476" s="9" t="str">
        <f>"1"</f>
        <v>1</v>
      </c>
      <c r="I476" s="11">
        <v>5552445510</v>
      </c>
    </row>
    <row r="477" spans="1:9" x14ac:dyDescent="0.25">
      <c r="A477" s="9">
        <v>470</v>
      </c>
      <c r="B477" s="10">
        <v>44834</v>
      </c>
      <c r="C477" s="9">
        <v>8</v>
      </c>
      <c r="D477" s="9" t="str">
        <f>"2240"</f>
        <v>2240</v>
      </c>
      <c r="E477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7" s="9" t="str">
        <f t="shared" si="81"/>
        <v>1</v>
      </c>
      <c r="G477" s="9" t="str">
        <f>"7"</f>
        <v>7</v>
      </c>
      <c r="H477" s="9" t="str">
        <f>"1"</f>
        <v>1</v>
      </c>
      <c r="I477" s="11">
        <v>2099681679.9200001</v>
      </c>
    </row>
    <row r="478" spans="1:9" x14ac:dyDescent="0.25">
      <c r="A478" s="9">
        <v>471</v>
      </c>
      <c r="B478" s="10">
        <v>44834</v>
      </c>
      <c r="C478" s="9">
        <v>8</v>
      </c>
      <c r="D478" s="9" t="str">
        <f>"2240"</f>
        <v>2240</v>
      </c>
      <c r="E478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8" s="9" t="str">
        <f t="shared" si="81"/>
        <v>1</v>
      </c>
      <c r="G478" s="9" t="str">
        <f>"7"</f>
        <v>7</v>
      </c>
      <c r="H478" s="9" t="str">
        <f>"2"</f>
        <v>2</v>
      </c>
      <c r="I478" s="11">
        <v>47671</v>
      </c>
    </row>
    <row r="479" spans="1:9" x14ac:dyDescent="0.25">
      <c r="A479" s="9">
        <v>472</v>
      </c>
      <c r="B479" s="10">
        <v>44834</v>
      </c>
      <c r="C479" s="9">
        <v>8</v>
      </c>
      <c r="D479" s="9" t="str">
        <f>"2730"</f>
        <v>2730</v>
      </c>
      <c r="E479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79" s="9" t="str">
        <f t="shared" si="81"/>
        <v>1</v>
      </c>
      <c r="G479" s="9" t="str">
        <f>"5"</f>
        <v>5</v>
      </c>
      <c r="H479" s="9" t="str">
        <f>"1"</f>
        <v>1</v>
      </c>
      <c r="I479" s="11">
        <v>150758539.99000001</v>
      </c>
    </row>
    <row r="480" spans="1:9" x14ac:dyDescent="0.25">
      <c r="A480" s="9">
        <v>473</v>
      </c>
      <c r="B480" s="10">
        <v>44834</v>
      </c>
      <c r="C480" s="9">
        <v>8</v>
      </c>
      <c r="D480" s="9" t="str">
        <f>"2730"</f>
        <v>2730</v>
      </c>
      <c r="E480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80" s="9" t="str">
        <f t="shared" si="81"/>
        <v>1</v>
      </c>
      <c r="G480" s="9" t="str">
        <f>"4"</f>
        <v>4</v>
      </c>
      <c r="H480" s="9" t="str">
        <f>"1"</f>
        <v>1</v>
      </c>
      <c r="I480" s="11">
        <v>2433139267.8699999</v>
      </c>
    </row>
    <row r="481" spans="1:9" x14ac:dyDescent="0.25">
      <c r="A481" s="9">
        <v>474</v>
      </c>
      <c r="B481" s="10">
        <v>44834</v>
      </c>
      <c r="C481" s="9">
        <v>8</v>
      </c>
      <c r="D481" s="9" t="str">
        <f>"2730"</f>
        <v>2730</v>
      </c>
      <c r="E481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81" s="9" t="str">
        <f t="shared" si="81"/>
        <v>1</v>
      </c>
      <c r="G481" s="9" t="str">
        <f>"9"</f>
        <v>9</v>
      </c>
      <c r="H481" s="9" t="str">
        <f>"2"</f>
        <v>2</v>
      </c>
      <c r="I481" s="11">
        <v>9203124.9100000001</v>
      </c>
    </row>
    <row r="482" spans="1:9" x14ac:dyDescent="0.25">
      <c r="A482" s="9">
        <v>475</v>
      </c>
      <c r="B482" s="10">
        <v>44834</v>
      </c>
      <c r="C482" s="9">
        <v>8</v>
      </c>
      <c r="D482" s="9" t="str">
        <f>"2405"</f>
        <v>2405</v>
      </c>
      <c r="E482" s="9" t="str">
        <f>"Выкупленные субординированные облигации"</f>
        <v>Выкупленные субординированные облигации</v>
      </c>
      <c r="F482" s="9" t="str">
        <f t="shared" si="81"/>
        <v>1</v>
      </c>
      <c r="G482" s="9" t="str">
        <f>"4"</f>
        <v>4</v>
      </c>
      <c r="H482" s="9" t="str">
        <f>"1"</f>
        <v>1</v>
      </c>
      <c r="I482" s="11">
        <v>-748100000</v>
      </c>
    </row>
    <row r="483" spans="1:9" x14ac:dyDescent="0.25">
      <c r="A483" s="9">
        <v>476</v>
      </c>
      <c r="B483" s="10">
        <v>44834</v>
      </c>
      <c r="C483" s="9">
        <v>8</v>
      </c>
      <c r="D483" s="9" t="str">
        <f t="shared" ref="D483:D497" si="82">"2870"</f>
        <v>2870</v>
      </c>
      <c r="E483" s="9" t="str">
        <f t="shared" ref="E483:E497" si="83">"Прочие транзитные счета"</f>
        <v>Прочие транзитные счета</v>
      </c>
      <c r="F483" s="9" t="str">
        <f t="shared" si="81"/>
        <v>1</v>
      </c>
      <c r="G483" s="9" t="str">
        <f>"4"</f>
        <v>4</v>
      </c>
      <c r="H483" s="9" t="str">
        <f>"1"</f>
        <v>1</v>
      </c>
      <c r="I483" s="11">
        <v>11714536.15</v>
      </c>
    </row>
    <row r="484" spans="1:9" x14ac:dyDescent="0.25">
      <c r="A484" s="9">
        <v>477</v>
      </c>
      <c r="B484" s="10">
        <v>44834</v>
      </c>
      <c r="C484" s="9">
        <v>8</v>
      </c>
      <c r="D484" s="9" t="str">
        <f t="shared" si="82"/>
        <v>2870</v>
      </c>
      <c r="E484" s="9" t="str">
        <f t="shared" si="83"/>
        <v>Прочие транзитные счета</v>
      </c>
      <c r="F484" s="9" t="str">
        <f t="shared" si="81"/>
        <v>1</v>
      </c>
      <c r="G484" s="9" t="str">
        <f>"4"</f>
        <v>4</v>
      </c>
      <c r="H484" s="9" t="str">
        <f>"3"</f>
        <v>3</v>
      </c>
      <c r="I484" s="11">
        <v>13029.81</v>
      </c>
    </row>
    <row r="485" spans="1:9" x14ac:dyDescent="0.25">
      <c r="A485" s="9">
        <v>478</v>
      </c>
      <c r="B485" s="10">
        <v>44834</v>
      </c>
      <c r="C485" s="9">
        <v>8</v>
      </c>
      <c r="D485" s="9" t="str">
        <f t="shared" si="82"/>
        <v>2870</v>
      </c>
      <c r="E485" s="9" t="str">
        <f t="shared" si="83"/>
        <v>Прочие транзитные счета</v>
      </c>
      <c r="F485" s="9" t="str">
        <f t="shared" si="81"/>
        <v>1</v>
      </c>
      <c r="G485" s="9" t="str">
        <f>"9"</f>
        <v>9</v>
      </c>
      <c r="H485" s="9" t="str">
        <f>"1"</f>
        <v>1</v>
      </c>
      <c r="I485" s="11">
        <v>246500108.40000001</v>
      </c>
    </row>
    <row r="486" spans="1:9" x14ac:dyDescent="0.25">
      <c r="A486" s="9">
        <v>479</v>
      </c>
      <c r="B486" s="10">
        <v>44834</v>
      </c>
      <c r="C486" s="9">
        <v>8</v>
      </c>
      <c r="D486" s="9" t="str">
        <f t="shared" si="82"/>
        <v>2870</v>
      </c>
      <c r="E486" s="9" t="str">
        <f t="shared" si="83"/>
        <v>Прочие транзитные счета</v>
      </c>
      <c r="F486" s="9" t="str">
        <f t="shared" si="81"/>
        <v>1</v>
      </c>
      <c r="G486" s="9" t="str">
        <f>"5"</f>
        <v>5</v>
      </c>
      <c r="H486" s="9" t="str">
        <f>"1"</f>
        <v>1</v>
      </c>
      <c r="I486" s="11">
        <v>802052.26</v>
      </c>
    </row>
    <row r="487" spans="1:9" x14ac:dyDescent="0.25">
      <c r="A487" s="9">
        <v>480</v>
      </c>
      <c r="B487" s="10">
        <v>44834</v>
      </c>
      <c r="C487" s="9">
        <v>8</v>
      </c>
      <c r="D487" s="9" t="str">
        <f t="shared" si="82"/>
        <v>2870</v>
      </c>
      <c r="E487" s="9" t="str">
        <f t="shared" si="83"/>
        <v>Прочие транзитные счета</v>
      </c>
      <c r="F487" s="9" t="str">
        <f t="shared" si="81"/>
        <v>1</v>
      </c>
      <c r="G487" s="9" t="str">
        <f>"7"</f>
        <v>7</v>
      </c>
      <c r="H487" s="9" t="str">
        <f>"1"</f>
        <v>1</v>
      </c>
      <c r="I487" s="11">
        <v>1365335446.79</v>
      </c>
    </row>
    <row r="488" spans="1:9" x14ac:dyDescent="0.25">
      <c r="A488" s="9">
        <v>481</v>
      </c>
      <c r="B488" s="10">
        <v>44834</v>
      </c>
      <c r="C488" s="9">
        <v>8</v>
      </c>
      <c r="D488" s="9" t="str">
        <f t="shared" si="82"/>
        <v>2870</v>
      </c>
      <c r="E488" s="9" t="str">
        <f t="shared" si="83"/>
        <v>Прочие транзитные счета</v>
      </c>
      <c r="F488" s="9" t="str">
        <f>"2"</f>
        <v>2</v>
      </c>
      <c r="G488" s="9" t="str">
        <f>"5"</f>
        <v>5</v>
      </c>
      <c r="H488" s="9" t="str">
        <f>"2"</f>
        <v>2</v>
      </c>
      <c r="I488" s="11">
        <v>19993584.469999999</v>
      </c>
    </row>
    <row r="489" spans="1:9" x14ac:dyDescent="0.25">
      <c r="A489" s="9">
        <v>482</v>
      </c>
      <c r="B489" s="10">
        <v>44834</v>
      </c>
      <c r="C489" s="9">
        <v>8</v>
      </c>
      <c r="D489" s="9" t="str">
        <f t="shared" si="82"/>
        <v>2870</v>
      </c>
      <c r="E489" s="9" t="str">
        <f t="shared" si="83"/>
        <v>Прочие транзитные счета</v>
      </c>
      <c r="F489" s="9" t="str">
        <f>"1"</f>
        <v>1</v>
      </c>
      <c r="G489" s="9" t="str">
        <f>"7"</f>
        <v>7</v>
      </c>
      <c r="H489" s="9" t="str">
        <f>"2"</f>
        <v>2</v>
      </c>
      <c r="I489" s="11">
        <v>2582855007.21</v>
      </c>
    </row>
    <row r="490" spans="1:9" x14ac:dyDescent="0.25">
      <c r="A490" s="9">
        <v>483</v>
      </c>
      <c r="B490" s="10">
        <v>44834</v>
      </c>
      <c r="C490" s="9">
        <v>8</v>
      </c>
      <c r="D490" s="9" t="str">
        <f t="shared" si="82"/>
        <v>2870</v>
      </c>
      <c r="E490" s="9" t="str">
        <f t="shared" si="83"/>
        <v>Прочие транзитные счета</v>
      </c>
      <c r="F490" s="9" t="str">
        <f>"2"</f>
        <v>2</v>
      </c>
      <c r="G490" s="9" t="str">
        <f>"9"</f>
        <v>9</v>
      </c>
      <c r="H490" s="9" t="str">
        <f>"1"</f>
        <v>1</v>
      </c>
      <c r="I490" s="11">
        <v>29533447.43</v>
      </c>
    </row>
    <row r="491" spans="1:9" x14ac:dyDescent="0.25">
      <c r="A491" s="9">
        <v>484</v>
      </c>
      <c r="B491" s="10">
        <v>44834</v>
      </c>
      <c r="C491" s="9">
        <v>8</v>
      </c>
      <c r="D491" s="9" t="str">
        <f t="shared" si="82"/>
        <v>2870</v>
      </c>
      <c r="E491" s="9" t="str">
        <f t="shared" si="83"/>
        <v>Прочие транзитные счета</v>
      </c>
      <c r="F491" s="9" t="str">
        <f>"2"</f>
        <v>2</v>
      </c>
      <c r="G491" s="9" t="str">
        <f>"4"</f>
        <v>4</v>
      </c>
      <c r="H491" s="9" t="str">
        <f>"2"</f>
        <v>2</v>
      </c>
      <c r="I491" s="11">
        <v>8766191.5899999999</v>
      </c>
    </row>
    <row r="492" spans="1:9" x14ac:dyDescent="0.25">
      <c r="A492" s="9">
        <v>485</v>
      </c>
      <c r="B492" s="10">
        <v>44834</v>
      </c>
      <c r="C492" s="9">
        <v>8</v>
      </c>
      <c r="D492" s="9" t="str">
        <f t="shared" si="82"/>
        <v>2870</v>
      </c>
      <c r="E492" s="9" t="str">
        <f t="shared" si="83"/>
        <v>Прочие транзитные счета</v>
      </c>
      <c r="F492" s="9" t="str">
        <f>"2"</f>
        <v>2</v>
      </c>
      <c r="G492" s="9" t="str">
        <f>"9"</f>
        <v>9</v>
      </c>
      <c r="H492" s="9" t="str">
        <f>"2"</f>
        <v>2</v>
      </c>
      <c r="I492" s="11">
        <v>478241476.26999998</v>
      </c>
    </row>
    <row r="493" spans="1:9" x14ac:dyDescent="0.25">
      <c r="A493" s="9">
        <v>486</v>
      </c>
      <c r="B493" s="10">
        <v>44834</v>
      </c>
      <c r="C493" s="9">
        <v>8</v>
      </c>
      <c r="D493" s="9" t="str">
        <f t="shared" si="82"/>
        <v>2870</v>
      </c>
      <c r="E493" s="9" t="str">
        <f t="shared" si="83"/>
        <v>Прочие транзитные счета</v>
      </c>
      <c r="F493" s="9" t="str">
        <f>"1"</f>
        <v>1</v>
      </c>
      <c r="G493" s="9" t="str">
        <f>"7"</f>
        <v>7</v>
      </c>
      <c r="H493" s="9" t="str">
        <f>"3"</f>
        <v>3</v>
      </c>
      <c r="I493" s="11">
        <v>251351805.88999999</v>
      </c>
    </row>
    <row r="494" spans="1:9" x14ac:dyDescent="0.25">
      <c r="A494" s="9">
        <v>487</v>
      </c>
      <c r="B494" s="10">
        <v>44834</v>
      </c>
      <c r="C494" s="9">
        <v>8</v>
      </c>
      <c r="D494" s="9" t="str">
        <f t="shared" si="82"/>
        <v>2870</v>
      </c>
      <c r="E494" s="9" t="str">
        <f t="shared" si="83"/>
        <v>Прочие транзитные счета</v>
      </c>
      <c r="F494" s="9" t="str">
        <f>"2"</f>
        <v>2</v>
      </c>
      <c r="G494" s="9" t="str">
        <f>"5"</f>
        <v>5</v>
      </c>
      <c r="H494" s="9" t="str">
        <f>"1"</f>
        <v>1</v>
      </c>
      <c r="I494" s="11">
        <v>97383362.790000007</v>
      </c>
    </row>
    <row r="495" spans="1:9" x14ac:dyDescent="0.25">
      <c r="A495" s="9">
        <v>488</v>
      </c>
      <c r="B495" s="10">
        <v>44834</v>
      </c>
      <c r="C495" s="9">
        <v>8</v>
      </c>
      <c r="D495" s="9" t="str">
        <f t="shared" si="82"/>
        <v>2870</v>
      </c>
      <c r="E495" s="9" t="str">
        <f t="shared" si="83"/>
        <v>Прочие транзитные счета</v>
      </c>
      <c r="F495" s="9" t="str">
        <f>"1"</f>
        <v>1</v>
      </c>
      <c r="G495" s="9" t="str">
        <f>"9"</f>
        <v>9</v>
      </c>
      <c r="H495" s="9" t="str">
        <f>"2"</f>
        <v>2</v>
      </c>
      <c r="I495" s="11">
        <v>8092152.25</v>
      </c>
    </row>
    <row r="496" spans="1:9" x14ac:dyDescent="0.25">
      <c r="A496" s="9">
        <v>489</v>
      </c>
      <c r="B496" s="10">
        <v>44834</v>
      </c>
      <c r="C496" s="9">
        <v>8</v>
      </c>
      <c r="D496" s="9" t="str">
        <f t="shared" si="82"/>
        <v>2870</v>
      </c>
      <c r="E496" s="9" t="str">
        <f t="shared" si="83"/>
        <v>Прочие транзитные счета</v>
      </c>
      <c r="F496" s="9" t="str">
        <f>"1"</f>
        <v>1</v>
      </c>
      <c r="G496" s="9" t="str">
        <f>"4"</f>
        <v>4</v>
      </c>
      <c r="H496" s="9" t="str">
        <f>"2"</f>
        <v>2</v>
      </c>
      <c r="I496" s="11">
        <v>65920089.189999998</v>
      </c>
    </row>
    <row r="497" spans="1:9" x14ac:dyDescent="0.25">
      <c r="A497" s="9">
        <v>490</v>
      </c>
      <c r="B497" s="10">
        <v>44834</v>
      </c>
      <c r="C497" s="9">
        <v>8</v>
      </c>
      <c r="D497" s="9" t="str">
        <f t="shared" si="82"/>
        <v>2870</v>
      </c>
      <c r="E497" s="9" t="str">
        <f t="shared" si="83"/>
        <v>Прочие транзитные счета</v>
      </c>
      <c r="F497" s="9" t="str">
        <f>"2"</f>
        <v>2</v>
      </c>
      <c r="G497" s="9" t="str">
        <f>"7"</f>
        <v>7</v>
      </c>
      <c r="H497" s="9" t="str">
        <f>"1"</f>
        <v>1</v>
      </c>
      <c r="I497" s="11">
        <v>259422.88</v>
      </c>
    </row>
    <row r="498" spans="1:9" x14ac:dyDescent="0.25">
      <c r="A498" s="9">
        <v>491</v>
      </c>
      <c r="B498" s="10">
        <v>44834</v>
      </c>
      <c r="C498" s="9">
        <v>8</v>
      </c>
      <c r="D498" s="9" t="str">
        <f>"2869"</f>
        <v>2869</v>
      </c>
      <c r="E498" s="9" t="str">
        <f>"Выданные гарантии"</f>
        <v>Выданные гарантии</v>
      </c>
      <c r="F498" s="9" t="str">
        <f>"1"</f>
        <v>1</v>
      </c>
      <c r="G498" s="9" t="str">
        <f>"9"</f>
        <v>9</v>
      </c>
      <c r="H498" s="9" t="str">
        <f>"2"</f>
        <v>2</v>
      </c>
      <c r="I498" s="11">
        <v>328929.90000000002</v>
      </c>
    </row>
    <row r="499" spans="1:9" x14ac:dyDescent="0.25">
      <c r="A499" s="9">
        <v>492</v>
      </c>
      <c r="B499" s="10">
        <v>44834</v>
      </c>
      <c r="C499" s="9">
        <v>8</v>
      </c>
      <c r="D499" s="9" t="str">
        <f>"2869"</f>
        <v>2869</v>
      </c>
      <c r="E499" s="9" t="str">
        <f>"Выданные гарантии"</f>
        <v>Выданные гарантии</v>
      </c>
      <c r="F499" s="9" t="str">
        <f>"1"</f>
        <v>1</v>
      </c>
      <c r="G499" s="9" t="str">
        <f>"7"</f>
        <v>7</v>
      </c>
      <c r="H499" s="9" t="str">
        <f>"3"</f>
        <v>3</v>
      </c>
      <c r="I499" s="11">
        <v>864107761.17999995</v>
      </c>
    </row>
    <row r="500" spans="1:9" x14ac:dyDescent="0.25">
      <c r="A500" s="9">
        <v>493</v>
      </c>
      <c r="B500" s="10">
        <v>44834</v>
      </c>
      <c r="C500" s="9">
        <v>8</v>
      </c>
      <c r="D500" s="9" t="str">
        <f>"2869"</f>
        <v>2869</v>
      </c>
      <c r="E500" s="9" t="str">
        <f>"Выданные гарантии"</f>
        <v>Выданные гарантии</v>
      </c>
      <c r="F500" s="9" t="str">
        <f>"1"</f>
        <v>1</v>
      </c>
      <c r="G500" s="9" t="str">
        <f>"7"</f>
        <v>7</v>
      </c>
      <c r="H500" s="9" t="str">
        <f>"1"</f>
        <v>1</v>
      </c>
      <c r="I500" s="11">
        <v>433636457.14999998</v>
      </c>
    </row>
    <row r="501" spans="1:9" x14ac:dyDescent="0.25">
      <c r="A501" s="9">
        <v>494</v>
      </c>
      <c r="B501" s="10">
        <v>44834</v>
      </c>
      <c r="C501" s="9">
        <v>8</v>
      </c>
      <c r="D501" s="9" t="str">
        <f>"2869"</f>
        <v>2869</v>
      </c>
      <c r="E501" s="9" t="str">
        <f>"Выданные гарантии"</f>
        <v>Выданные гарантии</v>
      </c>
      <c r="F501" s="9" t="str">
        <f>"1"</f>
        <v>1</v>
      </c>
      <c r="G501" s="9" t="str">
        <f>"7"</f>
        <v>7</v>
      </c>
      <c r="H501" s="9" t="str">
        <f>"2"</f>
        <v>2</v>
      </c>
      <c r="I501" s="11">
        <v>44130957.710000001</v>
      </c>
    </row>
    <row r="502" spans="1:9" x14ac:dyDescent="0.25">
      <c r="A502" s="9">
        <v>495</v>
      </c>
      <c r="B502" s="10">
        <v>44834</v>
      </c>
      <c r="C502" s="9">
        <v>8</v>
      </c>
      <c r="D502" s="9" t="str">
        <f>"2869"</f>
        <v>2869</v>
      </c>
      <c r="E502" s="9" t="str">
        <f>"Выданные гарантии"</f>
        <v>Выданные гарантии</v>
      </c>
      <c r="F502" s="9" t="str">
        <f>"1"</f>
        <v>1</v>
      </c>
      <c r="G502" s="9" t="str">
        <f>"9"</f>
        <v>9</v>
      </c>
      <c r="H502" s="9" t="str">
        <f>"1"</f>
        <v>1</v>
      </c>
      <c r="I502" s="11">
        <v>5806.45</v>
      </c>
    </row>
    <row r="503" spans="1:9" x14ac:dyDescent="0.25">
      <c r="A503" s="9">
        <v>496</v>
      </c>
      <c r="B503" s="10">
        <v>44834</v>
      </c>
      <c r="C503" s="9">
        <v>8</v>
      </c>
      <c r="D503" s="9" t="str">
        <f>"2857"</f>
        <v>2857</v>
      </c>
      <c r="E503" s="9" t="str">
        <f>"Отложенные налоговые обязательства"</f>
        <v>Отложенные налоговые обязательства</v>
      </c>
      <c r="F503" s="9" t="str">
        <f>""</f>
        <v/>
      </c>
      <c r="G503" s="9" t="str">
        <f>""</f>
        <v/>
      </c>
      <c r="H503" s="9" t="str">
        <f>""</f>
        <v/>
      </c>
      <c r="I503" s="11">
        <v>4642465900.2399998</v>
      </c>
    </row>
    <row r="504" spans="1:9" x14ac:dyDescent="0.25">
      <c r="A504" s="9">
        <v>497</v>
      </c>
      <c r="B504" s="10">
        <v>44834</v>
      </c>
      <c r="C504" s="9">
        <v>8</v>
      </c>
      <c r="D504" s="9" t="str">
        <f>"2861"</f>
        <v>2861</v>
      </c>
      <c r="E504" s="9" t="str">
        <f>"Резерв на отпускные выплаты"</f>
        <v>Резерв на отпускные выплаты</v>
      </c>
      <c r="F504" s="9" t="str">
        <f>""</f>
        <v/>
      </c>
      <c r="G504" s="9" t="str">
        <f>""</f>
        <v/>
      </c>
      <c r="H504" s="9" t="str">
        <f>""</f>
        <v/>
      </c>
      <c r="I504" s="11">
        <v>657961306.57000005</v>
      </c>
    </row>
    <row r="505" spans="1:9" x14ac:dyDescent="0.25">
      <c r="A505" s="9">
        <v>498</v>
      </c>
      <c r="B505" s="10">
        <v>44834</v>
      </c>
      <c r="C505" s="9">
        <v>8</v>
      </c>
      <c r="D505" s="9" t="str">
        <f>"2863"</f>
        <v>2863</v>
      </c>
      <c r="E505" s="9" t="str">
        <f>"Обязательства по привилегированным акциям"</f>
        <v>Обязательства по привилегированным акциям</v>
      </c>
      <c r="F505" s="9" t="str">
        <f>"1"</f>
        <v>1</v>
      </c>
      <c r="G505" s="9" t="str">
        <f>"7"</f>
        <v>7</v>
      </c>
      <c r="H505" s="9" t="str">
        <f>"1"</f>
        <v>1</v>
      </c>
      <c r="I505" s="11">
        <v>403405683.60000002</v>
      </c>
    </row>
    <row r="506" spans="1:9" x14ac:dyDescent="0.25">
      <c r="A506" s="9">
        <v>499</v>
      </c>
      <c r="B506" s="10">
        <v>44834</v>
      </c>
      <c r="C506" s="9">
        <v>8</v>
      </c>
      <c r="D506" s="9" t="str">
        <f>"3580"</f>
        <v>3580</v>
      </c>
      <c r="E506" s="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06" s="9" t="str">
        <f>""</f>
        <v/>
      </c>
      <c r="G506" s="9" t="str">
        <f>""</f>
        <v/>
      </c>
      <c r="H506" s="9" t="str">
        <f>""</f>
        <v/>
      </c>
      <c r="I506" s="11">
        <v>-130492384669.16</v>
      </c>
    </row>
    <row r="507" spans="1:9" x14ac:dyDescent="0.25">
      <c r="A507" s="9">
        <v>500</v>
      </c>
      <c r="B507" s="10">
        <v>44834</v>
      </c>
      <c r="C507" s="9">
        <v>8</v>
      </c>
      <c r="D507" s="9" t="str">
        <f>"2799"</f>
        <v>2799</v>
      </c>
      <c r="E507" s="9" t="str">
        <f>"Прочие предоплаты"</f>
        <v>Прочие предоплаты</v>
      </c>
      <c r="F507" s="9" t="str">
        <f>"1"</f>
        <v>1</v>
      </c>
      <c r="G507" s="9" t="str">
        <f>"9"</f>
        <v>9</v>
      </c>
      <c r="H507" s="9" t="str">
        <f>"1"</f>
        <v>1</v>
      </c>
      <c r="I507" s="11">
        <v>453939034</v>
      </c>
    </row>
    <row r="508" spans="1:9" x14ac:dyDescent="0.25">
      <c r="A508" s="9">
        <v>501</v>
      </c>
      <c r="B508" s="10">
        <v>44834</v>
      </c>
      <c r="C508" s="9">
        <v>8</v>
      </c>
      <c r="D508" s="9" t="str">
        <f>"3001"</f>
        <v>3001</v>
      </c>
      <c r="E508" s="9" t="str">
        <f>"Уставный капитал – простые акции"</f>
        <v>Уставный капитал – простые акции</v>
      </c>
      <c r="F508" s="9" t="str">
        <f>""</f>
        <v/>
      </c>
      <c r="G508" s="9" t="str">
        <f>""</f>
        <v/>
      </c>
      <c r="H508" s="9" t="str">
        <f>""</f>
        <v/>
      </c>
      <c r="I508" s="11">
        <v>219900000000</v>
      </c>
    </row>
    <row r="509" spans="1:9" x14ac:dyDescent="0.25">
      <c r="A509" s="9">
        <v>502</v>
      </c>
      <c r="B509" s="10">
        <v>44834</v>
      </c>
      <c r="C509" s="9">
        <v>8</v>
      </c>
      <c r="D509" s="9" t="str">
        <f>"3599"</f>
        <v>3599</v>
      </c>
      <c r="E509" s="9" t="str">
        <f>"Нераспределенная чистая прибыль (непокрытый убыток)"</f>
        <v>Нераспределенная чистая прибыль (непокрытый убыток)</v>
      </c>
      <c r="F509" s="9" t="str">
        <f>""</f>
        <v/>
      </c>
      <c r="G509" s="9" t="str">
        <f>""</f>
        <v/>
      </c>
      <c r="H509" s="9" t="str">
        <f>""</f>
        <v/>
      </c>
      <c r="I509" s="11">
        <v>26303408874.5</v>
      </c>
    </row>
    <row r="510" spans="1:9" x14ac:dyDescent="0.25">
      <c r="A510" s="9">
        <v>503</v>
      </c>
      <c r="B510" s="10">
        <v>44834</v>
      </c>
      <c r="C510" s="9">
        <v>8</v>
      </c>
      <c r="D510" s="9" t="str">
        <f>"2811"</f>
        <v>2811</v>
      </c>
      <c r="E510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510" s="9" t="str">
        <f>"2"</f>
        <v>2</v>
      </c>
      <c r="G510" s="9" t="str">
        <f>""</f>
        <v/>
      </c>
      <c r="H510" s="9" t="str">
        <f>"2"</f>
        <v>2</v>
      </c>
      <c r="I510" s="11">
        <v>34672139.789999999</v>
      </c>
    </row>
    <row r="511" spans="1:9" x14ac:dyDescent="0.25">
      <c r="A511" s="9">
        <v>504</v>
      </c>
      <c r="B511" s="10">
        <v>44834</v>
      </c>
      <c r="C511" s="9">
        <v>8</v>
      </c>
      <c r="D511" s="9" t="str">
        <f>"2811"</f>
        <v>2811</v>
      </c>
      <c r="E511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511" s="9" t="str">
        <f>"2"</f>
        <v>2</v>
      </c>
      <c r="G511" s="9" t="str">
        <f>""</f>
        <v/>
      </c>
      <c r="H511" s="9" t="str">
        <f>"3"</f>
        <v>3</v>
      </c>
      <c r="I511" s="11">
        <v>173888</v>
      </c>
    </row>
    <row r="512" spans="1:9" x14ac:dyDescent="0.25">
      <c r="A512" s="9">
        <v>505</v>
      </c>
      <c r="B512" s="10">
        <v>44834</v>
      </c>
      <c r="C512" s="9">
        <v>8</v>
      </c>
      <c r="D512" s="9" t="str">
        <f>"2811"</f>
        <v>2811</v>
      </c>
      <c r="E512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512" s="9" t="str">
        <f t="shared" ref="F512:F518" si="84">"1"</f>
        <v>1</v>
      </c>
      <c r="G512" s="9" t="str">
        <f>""</f>
        <v/>
      </c>
      <c r="H512" s="9" t="str">
        <f>"2"</f>
        <v>2</v>
      </c>
      <c r="I512" s="11">
        <v>105704.58</v>
      </c>
    </row>
    <row r="513" spans="1:9" x14ac:dyDescent="0.25">
      <c r="A513" s="9">
        <v>506</v>
      </c>
      <c r="B513" s="10">
        <v>44834</v>
      </c>
      <c r="C513" s="9">
        <v>8</v>
      </c>
      <c r="D513" s="9" t="str">
        <f>"2867"</f>
        <v>2867</v>
      </c>
      <c r="E513" s="9" t="str">
        <f>"Прочие кредиторы по неосновной деятельности"</f>
        <v>Прочие кредиторы по неосновной деятельности</v>
      </c>
      <c r="F513" s="9" t="str">
        <f t="shared" si="84"/>
        <v>1</v>
      </c>
      <c r="G513" s="9" t="str">
        <f>"6"</f>
        <v>6</v>
      </c>
      <c r="H513" s="9" t="str">
        <f t="shared" ref="H513:H518" si="85">"1"</f>
        <v>1</v>
      </c>
      <c r="I513" s="11">
        <v>19839.650000000001</v>
      </c>
    </row>
    <row r="514" spans="1:9" x14ac:dyDescent="0.25">
      <c r="A514" s="9">
        <v>507</v>
      </c>
      <c r="B514" s="10">
        <v>44834</v>
      </c>
      <c r="C514" s="9">
        <v>8</v>
      </c>
      <c r="D514" s="9" t="str">
        <f>"2867"</f>
        <v>2867</v>
      </c>
      <c r="E514" s="9" t="str">
        <f>"Прочие кредиторы по неосновной деятельности"</f>
        <v>Прочие кредиторы по неосновной деятельности</v>
      </c>
      <c r="F514" s="9" t="str">
        <f t="shared" si="84"/>
        <v>1</v>
      </c>
      <c r="G514" s="9" t="str">
        <f>"8"</f>
        <v>8</v>
      </c>
      <c r="H514" s="9" t="str">
        <f t="shared" si="85"/>
        <v>1</v>
      </c>
      <c r="I514" s="11">
        <v>1579539.35</v>
      </c>
    </row>
    <row r="515" spans="1:9" x14ac:dyDescent="0.25">
      <c r="A515" s="9">
        <v>508</v>
      </c>
      <c r="B515" s="10">
        <v>44834</v>
      </c>
      <c r="C515" s="9">
        <v>8</v>
      </c>
      <c r="D515" s="9" t="str">
        <f>"2867"</f>
        <v>2867</v>
      </c>
      <c r="E515" s="9" t="str">
        <f>"Прочие кредиторы по неосновной деятельности"</f>
        <v>Прочие кредиторы по неосновной деятельности</v>
      </c>
      <c r="F515" s="9" t="str">
        <f t="shared" si="84"/>
        <v>1</v>
      </c>
      <c r="G515" s="9" t="str">
        <f>"9"</f>
        <v>9</v>
      </c>
      <c r="H515" s="9" t="str">
        <f t="shared" si="85"/>
        <v>1</v>
      </c>
      <c r="I515" s="11">
        <v>417083.25</v>
      </c>
    </row>
    <row r="516" spans="1:9" x14ac:dyDescent="0.25">
      <c r="A516" s="9">
        <v>509</v>
      </c>
      <c r="B516" s="10">
        <v>44834</v>
      </c>
      <c r="C516" s="9">
        <v>8</v>
      </c>
      <c r="D516" s="9" t="str">
        <f>"2867"</f>
        <v>2867</v>
      </c>
      <c r="E516" s="9" t="str">
        <f>"Прочие кредиторы по неосновной деятельности"</f>
        <v>Прочие кредиторы по неосновной деятельности</v>
      </c>
      <c r="F516" s="9" t="str">
        <f t="shared" si="84"/>
        <v>1</v>
      </c>
      <c r="G516" s="9" t="str">
        <f>"1"</f>
        <v>1</v>
      </c>
      <c r="H516" s="9" t="str">
        <f t="shared" si="85"/>
        <v>1</v>
      </c>
      <c r="I516" s="11">
        <v>61362.48</v>
      </c>
    </row>
    <row r="517" spans="1:9" x14ac:dyDescent="0.25">
      <c r="A517" s="9">
        <v>510</v>
      </c>
      <c r="B517" s="10">
        <v>44834</v>
      </c>
      <c r="C517" s="9">
        <v>8</v>
      </c>
      <c r="D517" s="9" t="str">
        <f>"2867"</f>
        <v>2867</v>
      </c>
      <c r="E517" s="9" t="str">
        <f>"Прочие кредиторы по неосновной деятельности"</f>
        <v>Прочие кредиторы по неосновной деятельности</v>
      </c>
      <c r="F517" s="9" t="str">
        <f t="shared" si="84"/>
        <v>1</v>
      </c>
      <c r="G517" s="9" t="str">
        <f>"7"</f>
        <v>7</v>
      </c>
      <c r="H517" s="9" t="str">
        <f t="shared" si="85"/>
        <v>1</v>
      </c>
      <c r="I517" s="11">
        <v>914257.15</v>
      </c>
    </row>
    <row r="518" spans="1:9" x14ac:dyDescent="0.25">
      <c r="A518" s="9">
        <v>511</v>
      </c>
      <c r="B518" s="10">
        <v>44834</v>
      </c>
      <c r="C518" s="9">
        <v>8</v>
      </c>
      <c r="D518" s="9" t="str">
        <f>"2868"</f>
        <v>2868</v>
      </c>
      <c r="E518" s="9" t="str">
        <f>"Оценочные обязательства"</f>
        <v>Оценочные обязательства</v>
      </c>
      <c r="F518" s="9" t="str">
        <f t="shared" si="84"/>
        <v>1</v>
      </c>
      <c r="G518" s="9" t="str">
        <f>"7"</f>
        <v>7</v>
      </c>
      <c r="H518" s="9" t="str">
        <f t="shared" si="85"/>
        <v>1</v>
      </c>
      <c r="I518" s="11">
        <v>1156530.56</v>
      </c>
    </row>
    <row r="519" spans="1:9" x14ac:dyDescent="0.25">
      <c r="A519" s="9">
        <v>512</v>
      </c>
      <c r="B519" s="10">
        <v>44834</v>
      </c>
      <c r="C519" s="9">
        <v>8</v>
      </c>
      <c r="D519" s="9" t="str">
        <f>"4052"</f>
        <v>4052</v>
      </c>
      <c r="E519" s="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19" s="9" t="str">
        <f>""</f>
        <v/>
      </c>
      <c r="G519" s="9" t="str">
        <f>""</f>
        <v/>
      </c>
      <c r="H519" s="9" t="str">
        <f>""</f>
        <v/>
      </c>
      <c r="I519" s="11">
        <v>107449026.62</v>
      </c>
    </row>
    <row r="520" spans="1:9" x14ac:dyDescent="0.25">
      <c r="A520" s="9">
        <v>513</v>
      </c>
      <c r="B520" s="10">
        <v>44834</v>
      </c>
      <c r="C520" s="9">
        <v>8</v>
      </c>
      <c r="D520" s="9" t="str">
        <f>"2851"</f>
        <v>2851</v>
      </c>
      <c r="E520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20" s="9" t="str">
        <f>"1"</f>
        <v>1</v>
      </c>
      <c r="G520" s="9" t="str">
        <f>"1"</f>
        <v>1</v>
      </c>
      <c r="H520" s="9" t="str">
        <f>"1"</f>
        <v>1</v>
      </c>
      <c r="I520" s="11">
        <v>920220508.59000003</v>
      </c>
    </row>
    <row r="521" spans="1:9" x14ac:dyDescent="0.25">
      <c r="A521" s="9">
        <v>514</v>
      </c>
      <c r="B521" s="10">
        <v>44834</v>
      </c>
      <c r="C521" s="9">
        <v>8</v>
      </c>
      <c r="D521" s="9" t="str">
        <f>"4103"</f>
        <v>4103</v>
      </c>
      <c r="E521" s="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21" s="9" t="str">
        <f>""</f>
        <v/>
      </c>
      <c r="G521" s="9" t="str">
        <f>""</f>
        <v/>
      </c>
      <c r="H521" s="9" t="str">
        <f>""</f>
        <v/>
      </c>
      <c r="I521" s="11">
        <v>453312499.98000002</v>
      </c>
    </row>
    <row r="522" spans="1:9" x14ac:dyDescent="0.25">
      <c r="A522" s="9">
        <v>515</v>
      </c>
      <c r="B522" s="10">
        <v>44834</v>
      </c>
      <c r="C522" s="9">
        <v>8</v>
      </c>
      <c r="D522" s="9" t="str">
        <f>"3540"</f>
        <v>3540</v>
      </c>
      <c r="E522" s="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22" s="9" t="str">
        <f>""</f>
        <v/>
      </c>
      <c r="G522" s="9" t="str">
        <f>""</f>
        <v/>
      </c>
      <c r="H522" s="9" t="str">
        <f>""</f>
        <v/>
      </c>
      <c r="I522" s="11">
        <v>5663110766.2299995</v>
      </c>
    </row>
    <row r="523" spans="1:9" x14ac:dyDescent="0.25">
      <c r="A523" s="9">
        <v>516</v>
      </c>
      <c r="B523" s="10">
        <v>44834</v>
      </c>
      <c r="C523" s="9">
        <v>8</v>
      </c>
      <c r="D523" s="9" t="str">
        <f>"2854"</f>
        <v>2854</v>
      </c>
      <c r="E523" s="9" t="str">
        <f>"Расчеты с работниками"</f>
        <v>Расчеты с работниками</v>
      </c>
      <c r="F523" s="9" t="str">
        <f>""</f>
        <v/>
      </c>
      <c r="G523" s="9" t="str">
        <f>""</f>
        <v/>
      </c>
      <c r="H523" s="9" t="str">
        <f>""</f>
        <v/>
      </c>
      <c r="I523" s="11">
        <v>5192747.8499999996</v>
      </c>
    </row>
    <row r="524" spans="1:9" x14ac:dyDescent="0.25">
      <c r="A524" s="9">
        <v>517</v>
      </c>
      <c r="B524" s="10">
        <v>44834</v>
      </c>
      <c r="C524" s="9">
        <v>8</v>
      </c>
      <c r="D524" s="9" t="str">
        <f>"3510"</f>
        <v>3510</v>
      </c>
      <c r="E524" s="9" t="str">
        <f>"Резервный капитал"</f>
        <v>Резервный капитал</v>
      </c>
      <c r="F524" s="9" t="str">
        <f>""</f>
        <v/>
      </c>
      <c r="G524" s="9" t="str">
        <f>""</f>
        <v/>
      </c>
      <c r="H524" s="9" t="str">
        <f>""</f>
        <v/>
      </c>
      <c r="I524" s="11">
        <v>162306188.84999999</v>
      </c>
    </row>
    <row r="525" spans="1:9" x14ac:dyDescent="0.25">
      <c r="A525" s="9">
        <v>518</v>
      </c>
      <c r="B525" s="10">
        <v>44834</v>
      </c>
      <c r="C525" s="9">
        <v>8</v>
      </c>
      <c r="D525" s="9" t="str">
        <f>"2855"</f>
        <v>2855</v>
      </c>
      <c r="E525" s="9" t="str">
        <f>"Кредиторы по документарным расчетам"</f>
        <v>Кредиторы по документарным расчетам</v>
      </c>
      <c r="F525" s="9" t="str">
        <f>"1"</f>
        <v>1</v>
      </c>
      <c r="G525" s="9" t="str">
        <f>"7"</f>
        <v>7</v>
      </c>
      <c r="H525" s="9" t="str">
        <f>"2"</f>
        <v>2</v>
      </c>
      <c r="I525" s="11">
        <v>2089848330.3800001</v>
      </c>
    </row>
    <row r="526" spans="1:9" x14ac:dyDescent="0.25">
      <c r="A526" s="9">
        <v>519</v>
      </c>
      <c r="B526" s="10">
        <v>44834</v>
      </c>
      <c r="C526" s="9">
        <v>8</v>
      </c>
      <c r="D526" s="9" t="str">
        <f>"4201"</f>
        <v>4201</v>
      </c>
      <c r="E526" s="9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26" s="9" t="str">
        <f>""</f>
        <v/>
      </c>
      <c r="G526" s="9" t="str">
        <f>""</f>
        <v/>
      </c>
      <c r="H526" s="9" t="str">
        <f>""</f>
        <v/>
      </c>
      <c r="I526" s="11">
        <v>87065392.280000001</v>
      </c>
    </row>
    <row r="527" spans="1:9" x14ac:dyDescent="0.25">
      <c r="A527" s="9">
        <v>520</v>
      </c>
      <c r="B527" s="10">
        <v>44834</v>
      </c>
      <c r="C527" s="9">
        <v>8</v>
      </c>
      <c r="D527" s="9" t="str">
        <f>"4251"</f>
        <v>4251</v>
      </c>
      <c r="E527" s="9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27" s="9" t="str">
        <f>""</f>
        <v/>
      </c>
      <c r="G527" s="9" t="str">
        <f>""</f>
        <v/>
      </c>
      <c r="H527" s="9" t="str">
        <f>""</f>
        <v/>
      </c>
      <c r="I527" s="11">
        <v>134694235.38</v>
      </c>
    </row>
    <row r="528" spans="1:9" x14ac:dyDescent="0.25">
      <c r="A528" s="9">
        <v>521</v>
      </c>
      <c r="B528" s="10">
        <v>44834</v>
      </c>
      <c r="C528" s="9">
        <v>8</v>
      </c>
      <c r="D528" s="9" t="str">
        <f>"2895"</f>
        <v>2895</v>
      </c>
      <c r="E528" s="9" t="str">
        <f>"Обязательства по операциям своп"</f>
        <v>Обязательства по операциям своп</v>
      </c>
      <c r="F528" s="9" t="str">
        <f>"1"</f>
        <v>1</v>
      </c>
      <c r="G528" s="9" t="str">
        <f>"5"</f>
        <v>5</v>
      </c>
      <c r="H528" s="9" t="str">
        <f>"1"</f>
        <v>1</v>
      </c>
      <c r="I528" s="11">
        <v>195794600</v>
      </c>
    </row>
    <row r="529" spans="1:9" x14ac:dyDescent="0.25">
      <c r="A529" s="9">
        <v>522</v>
      </c>
      <c r="B529" s="10">
        <v>44834</v>
      </c>
      <c r="C529" s="9">
        <v>8</v>
      </c>
      <c r="D529" s="9" t="str">
        <f>"2895"</f>
        <v>2895</v>
      </c>
      <c r="E529" s="9" t="str">
        <f>"Обязательства по операциям своп"</f>
        <v>Обязательства по операциям своп</v>
      </c>
      <c r="F529" s="9" t="str">
        <f>"1"</f>
        <v>1</v>
      </c>
      <c r="G529" s="9" t="str">
        <f>"9"</f>
        <v>9</v>
      </c>
      <c r="H529" s="9" t="str">
        <f>"1"</f>
        <v>1</v>
      </c>
      <c r="I529" s="11">
        <v>51024805.359999999</v>
      </c>
    </row>
    <row r="530" spans="1:9" x14ac:dyDescent="0.25">
      <c r="A530" s="9">
        <v>523</v>
      </c>
      <c r="B530" s="10">
        <v>44834</v>
      </c>
      <c r="C530" s="9">
        <v>8</v>
      </c>
      <c r="D530" s="9" t="str">
        <f>"2894"</f>
        <v>2894</v>
      </c>
      <c r="E530" s="9" t="str">
        <f>"Обязательства по операциям спот"</f>
        <v>Обязательства по операциям спот</v>
      </c>
      <c r="F530" s="9" t="str">
        <f>"1"</f>
        <v>1</v>
      </c>
      <c r="G530" s="9" t="str">
        <f>"5"</f>
        <v>5</v>
      </c>
      <c r="H530" s="9" t="str">
        <f>"1"</f>
        <v>1</v>
      </c>
      <c r="I530" s="11">
        <v>5449000</v>
      </c>
    </row>
    <row r="531" spans="1:9" x14ac:dyDescent="0.25">
      <c r="A531" s="9">
        <v>524</v>
      </c>
      <c r="B531" s="10">
        <v>44834</v>
      </c>
      <c r="C531" s="9">
        <v>8</v>
      </c>
      <c r="D531" s="9" t="str">
        <f>"2894"</f>
        <v>2894</v>
      </c>
      <c r="E531" s="9" t="str">
        <f>"Обязательства по операциям спот"</f>
        <v>Обязательства по операциям спот</v>
      </c>
      <c r="F531" s="9" t="str">
        <f>"1"</f>
        <v>1</v>
      </c>
      <c r="G531" s="9" t="str">
        <f>"4"</f>
        <v>4</v>
      </c>
      <c r="H531" s="9" t="str">
        <f>"1"</f>
        <v>1</v>
      </c>
      <c r="I531" s="11">
        <v>28914000</v>
      </c>
    </row>
    <row r="532" spans="1:9" x14ac:dyDescent="0.25">
      <c r="A532" s="9">
        <v>525</v>
      </c>
      <c r="B532" s="10">
        <v>44834</v>
      </c>
      <c r="C532" s="9">
        <v>8</v>
      </c>
      <c r="D532" s="9" t="str">
        <f>"2894"</f>
        <v>2894</v>
      </c>
      <c r="E532" s="9" t="str">
        <f>"Обязательства по операциям спот"</f>
        <v>Обязательства по операциям спот</v>
      </c>
      <c r="F532" s="9" t="str">
        <f>"2"</f>
        <v>2</v>
      </c>
      <c r="G532" s="9" t="str">
        <f>"4"</f>
        <v>4</v>
      </c>
      <c r="H532" s="9" t="str">
        <f>"1"</f>
        <v>1</v>
      </c>
      <c r="I532" s="11">
        <v>19612035.699999999</v>
      </c>
    </row>
    <row r="533" spans="1:9" x14ac:dyDescent="0.25">
      <c r="A533" s="9">
        <v>526</v>
      </c>
      <c r="B533" s="10">
        <v>44834</v>
      </c>
      <c r="C533" s="9">
        <v>8</v>
      </c>
      <c r="D533" s="9" t="str">
        <f>"4202"</f>
        <v>4202</v>
      </c>
      <c r="E533" s="9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33" s="9" t="str">
        <f>""</f>
        <v/>
      </c>
      <c r="G533" s="9" t="str">
        <f>""</f>
        <v/>
      </c>
      <c r="H533" s="9" t="str">
        <f>""</f>
        <v/>
      </c>
      <c r="I533" s="11">
        <v>14520596.49</v>
      </c>
    </row>
    <row r="534" spans="1:9" x14ac:dyDescent="0.25">
      <c r="A534" s="9">
        <v>527</v>
      </c>
      <c r="B534" s="10">
        <v>44834</v>
      </c>
      <c r="C534" s="9">
        <v>8</v>
      </c>
      <c r="D534" s="9" t="str">
        <f>"3025"</f>
        <v>3025</v>
      </c>
      <c r="E534" s="9" t="str">
        <f>"Уставный капитал – привилегированные акции"</f>
        <v>Уставный капитал – привилегированные акции</v>
      </c>
      <c r="F534" s="9" t="str">
        <f>""</f>
        <v/>
      </c>
      <c r="G534" s="9" t="str">
        <f>""</f>
        <v/>
      </c>
      <c r="H534" s="9" t="str">
        <f>""</f>
        <v/>
      </c>
      <c r="I534" s="11">
        <v>4500000000</v>
      </c>
    </row>
    <row r="535" spans="1:9" x14ac:dyDescent="0.25">
      <c r="A535" s="9">
        <v>528</v>
      </c>
      <c r="B535" s="10">
        <v>44834</v>
      </c>
      <c r="C535" s="9">
        <v>8</v>
      </c>
      <c r="D535" s="9" t="str">
        <f>"2813"</f>
        <v>2813</v>
      </c>
      <c r="E535" s="9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535" s="9" t="str">
        <f>"2"</f>
        <v>2</v>
      </c>
      <c r="G535" s="9" t="str">
        <f>""</f>
        <v/>
      </c>
      <c r="H535" s="9" t="str">
        <f>"2"</f>
        <v>2</v>
      </c>
      <c r="I535" s="11">
        <v>1868120</v>
      </c>
    </row>
    <row r="536" spans="1:9" x14ac:dyDescent="0.25">
      <c r="A536" s="9">
        <v>529</v>
      </c>
      <c r="B536" s="10">
        <v>44834</v>
      </c>
      <c r="C536" s="9">
        <v>8</v>
      </c>
      <c r="D536" s="9" t="str">
        <f>"4253"</f>
        <v>4253</v>
      </c>
      <c r="E536" s="9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36" s="9" t="str">
        <f>""</f>
        <v/>
      </c>
      <c r="G536" s="9" t="str">
        <f>""</f>
        <v/>
      </c>
      <c r="H536" s="9" t="str">
        <f>""</f>
        <v/>
      </c>
      <c r="I536" s="11">
        <v>104183260.25</v>
      </c>
    </row>
    <row r="537" spans="1:9" x14ac:dyDescent="0.25">
      <c r="A537" s="9">
        <v>530</v>
      </c>
      <c r="B537" s="10">
        <v>44834</v>
      </c>
      <c r="C537" s="9">
        <v>8</v>
      </c>
      <c r="D537" s="9" t="str">
        <f>"4254"</f>
        <v>4254</v>
      </c>
      <c r="E537" s="9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537" s="9" t="str">
        <f>""</f>
        <v/>
      </c>
      <c r="G537" s="9" t="str">
        <f>""</f>
        <v/>
      </c>
      <c r="H537" s="9" t="str">
        <f>""</f>
        <v/>
      </c>
      <c r="I537" s="11">
        <v>305854657.43000001</v>
      </c>
    </row>
    <row r="538" spans="1:9" x14ac:dyDescent="0.25">
      <c r="A538" s="9">
        <v>531</v>
      </c>
      <c r="B538" s="10">
        <v>44834</v>
      </c>
      <c r="C538" s="9">
        <v>8</v>
      </c>
      <c r="D538" s="9" t="str">
        <f>"3562"</f>
        <v>3562</v>
      </c>
      <c r="E538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8" s="9" t="str">
        <f>"1"</f>
        <v>1</v>
      </c>
      <c r="G538" s="9" t="str">
        <f>""</f>
        <v/>
      </c>
      <c r="H538" s="9" t="str">
        <f>"2"</f>
        <v>2</v>
      </c>
      <c r="I538" s="11">
        <v>259572267.22999999</v>
      </c>
    </row>
    <row r="539" spans="1:9" x14ac:dyDescent="0.25">
      <c r="A539" s="9">
        <v>532</v>
      </c>
      <c r="B539" s="10">
        <v>44834</v>
      </c>
      <c r="C539" s="9">
        <v>8</v>
      </c>
      <c r="D539" s="9" t="str">
        <f>"3562"</f>
        <v>3562</v>
      </c>
      <c r="E539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9" s="9" t="str">
        <f>"1"</f>
        <v>1</v>
      </c>
      <c r="G539" s="9" t="str">
        <f>""</f>
        <v/>
      </c>
      <c r="H539" s="9" t="str">
        <f>"1"</f>
        <v>1</v>
      </c>
      <c r="I539" s="11">
        <v>140452736.72</v>
      </c>
    </row>
    <row r="540" spans="1:9" x14ac:dyDescent="0.25">
      <c r="A540" s="9">
        <v>533</v>
      </c>
      <c r="B540" s="10">
        <v>44834</v>
      </c>
      <c r="C540" s="9">
        <v>8</v>
      </c>
      <c r="D540" s="9" t="str">
        <f>"2853"</f>
        <v>2853</v>
      </c>
      <c r="E540" s="9" t="str">
        <f>"Расчеты с акционерами (по дивидендам)"</f>
        <v>Расчеты с акционерами (по дивидендам)</v>
      </c>
      <c r="F540" s="9" t="str">
        <f>"1"</f>
        <v>1</v>
      </c>
      <c r="G540" s="9" t="str">
        <f>"9"</f>
        <v>9</v>
      </c>
      <c r="H540" s="9" t="str">
        <f>"1"</f>
        <v>1</v>
      </c>
      <c r="I540" s="11">
        <v>574220</v>
      </c>
    </row>
    <row r="541" spans="1:9" x14ac:dyDescent="0.25">
      <c r="A541" s="9">
        <v>534</v>
      </c>
      <c r="B541" s="10">
        <v>44834</v>
      </c>
      <c r="C541" s="9">
        <v>8</v>
      </c>
      <c r="D541" s="9" t="str">
        <f>"4403"</f>
        <v>4403</v>
      </c>
      <c r="E541" s="9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41" s="9" t="str">
        <f>""</f>
        <v/>
      </c>
      <c r="G541" s="9" t="str">
        <f>""</f>
        <v/>
      </c>
      <c r="H541" s="9" t="str">
        <f>""</f>
        <v/>
      </c>
      <c r="I541" s="11">
        <v>3392583.21</v>
      </c>
    </row>
    <row r="542" spans="1:9" x14ac:dyDescent="0.25">
      <c r="A542" s="9">
        <v>535</v>
      </c>
      <c r="B542" s="10">
        <v>44834</v>
      </c>
      <c r="C542" s="9">
        <v>8</v>
      </c>
      <c r="D542" s="9" t="str">
        <f>"2856"</f>
        <v>2856</v>
      </c>
      <c r="E542" s="9" t="str">
        <f>"Кредиторы по капитальным вложениям"</f>
        <v>Кредиторы по капитальным вложениям</v>
      </c>
      <c r="F542" s="9" t="str">
        <f>"2"</f>
        <v>2</v>
      </c>
      <c r="G542" s="9" t="str">
        <f>"7"</f>
        <v>7</v>
      </c>
      <c r="H542" s="9" t="str">
        <f>"2"</f>
        <v>2</v>
      </c>
      <c r="I542" s="11">
        <v>14547859.199999999</v>
      </c>
    </row>
    <row r="543" spans="1:9" x14ac:dyDescent="0.25">
      <c r="A543" s="9">
        <v>536</v>
      </c>
      <c r="B543" s="10">
        <v>44834</v>
      </c>
      <c r="C543" s="9">
        <v>8</v>
      </c>
      <c r="D543" s="9" t="str">
        <f>"4313"</f>
        <v>4313</v>
      </c>
      <c r="E543" s="9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F543" s="9" t="str">
        <f>""</f>
        <v/>
      </c>
      <c r="G543" s="9" t="str">
        <f>""</f>
        <v/>
      </c>
      <c r="H543" s="9" t="str">
        <f>""</f>
        <v/>
      </c>
      <c r="I543" s="11">
        <v>10685094660.559999</v>
      </c>
    </row>
    <row r="544" spans="1:9" x14ac:dyDescent="0.25">
      <c r="A544" s="9">
        <v>537</v>
      </c>
      <c r="B544" s="10">
        <v>44834</v>
      </c>
      <c r="C544" s="9">
        <v>8</v>
      </c>
      <c r="D544" s="9" t="str">
        <f>"4265"</f>
        <v>4265</v>
      </c>
      <c r="E544" s="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44" s="9" t="str">
        <f>""</f>
        <v/>
      </c>
      <c r="G544" s="9" t="str">
        <f>""</f>
        <v/>
      </c>
      <c r="H544" s="9" t="str">
        <f>""</f>
        <v/>
      </c>
      <c r="I544" s="11">
        <v>64002698.57</v>
      </c>
    </row>
    <row r="545" spans="1:9" x14ac:dyDescent="0.25">
      <c r="A545" s="9">
        <v>538</v>
      </c>
      <c r="B545" s="10">
        <v>44834</v>
      </c>
      <c r="C545" s="9">
        <v>8</v>
      </c>
      <c r="D545" s="9" t="str">
        <f>"4401"</f>
        <v>4401</v>
      </c>
      <c r="E545" s="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45" s="9" t="str">
        <f>""</f>
        <v/>
      </c>
      <c r="G545" s="9" t="str">
        <f>""</f>
        <v/>
      </c>
      <c r="H545" s="9" t="str">
        <f>""</f>
        <v/>
      </c>
      <c r="I545" s="11">
        <v>2218553.2999999998</v>
      </c>
    </row>
    <row r="546" spans="1:9" x14ac:dyDescent="0.25">
      <c r="A546" s="9">
        <v>539</v>
      </c>
      <c r="B546" s="10">
        <v>44834</v>
      </c>
      <c r="C546" s="9">
        <v>8</v>
      </c>
      <c r="D546" s="9" t="str">
        <f>"4453"</f>
        <v>4453</v>
      </c>
      <c r="E546" s="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46" s="9" t="str">
        <f>""</f>
        <v/>
      </c>
      <c r="G546" s="9" t="str">
        <f>""</f>
        <v/>
      </c>
      <c r="H546" s="9" t="str">
        <f>""</f>
        <v/>
      </c>
      <c r="I546" s="11">
        <v>10079454152.120001</v>
      </c>
    </row>
    <row r="547" spans="1:9" x14ac:dyDescent="0.25">
      <c r="A547" s="9">
        <v>540</v>
      </c>
      <c r="B547" s="10">
        <v>44834</v>
      </c>
      <c r="C547" s="9">
        <v>8</v>
      </c>
      <c r="D547" s="9" t="str">
        <f>"4452"</f>
        <v>4452</v>
      </c>
      <c r="E547" s="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47" s="9" t="str">
        <f>""</f>
        <v/>
      </c>
      <c r="G547" s="9" t="str">
        <f>""</f>
        <v/>
      </c>
      <c r="H547" s="9" t="str">
        <f>""</f>
        <v/>
      </c>
      <c r="I547" s="11">
        <v>10751582325.91</v>
      </c>
    </row>
    <row r="548" spans="1:9" x14ac:dyDescent="0.25">
      <c r="A548" s="9">
        <v>541</v>
      </c>
      <c r="B548" s="10">
        <v>44834</v>
      </c>
      <c r="C548" s="9">
        <v>8</v>
      </c>
      <c r="D548" s="9" t="str">
        <f>"4454"</f>
        <v>4454</v>
      </c>
      <c r="E548" s="9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48" s="9" t="str">
        <f>""</f>
        <v/>
      </c>
      <c r="G548" s="9" t="str">
        <f>""</f>
        <v/>
      </c>
      <c r="H548" s="9" t="str">
        <f>""</f>
        <v/>
      </c>
      <c r="I548" s="11">
        <v>113130648.02</v>
      </c>
    </row>
    <row r="549" spans="1:9" x14ac:dyDescent="0.25">
      <c r="A549" s="9">
        <v>542</v>
      </c>
      <c r="B549" s="10">
        <v>44834</v>
      </c>
      <c r="C549" s="9">
        <v>8</v>
      </c>
      <c r="D549" s="9" t="str">
        <f t="shared" ref="D549:D561" si="86">"2860"</f>
        <v>2860</v>
      </c>
      <c r="E549" s="9" t="str">
        <f t="shared" ref="E549:E561" si="87">"Прочие кредиторы по банковской деятельности"</f>
        <v>Прочие кредиторы по банковской деятельности</v>
      </c>
      <c r="F549" s="9" t="str">
        <f>"1"</f>
        <v>1</v>
      </c>
      <c r="G549" s="9" t="str">
        <f>"4"</f>
        <v>4</v>
      </c>
      <c r="H549" s="9" t="str">
        <f>"1"</f>
        <v>1</v>
      </c>
      <c r="I549" s="11">
        <v>19927203.940000001</v>
      </c>
    </row>
    <row r="550" spans="1:9" x14ac:dyDescent="0.25">
      <c r="A550" s="9">
        <v>543</v>
      </c>
      <c r="B550" s="10">
        <v>44834</v>
      </c>
      <c r="C550" s="9">
        <v>8</v>
      </c>
      <c r="D550" s="9" t="str">
        <f t="shared" si="86"/>
        <v>2860</v>
      </c>
      <c r="E550" s="9" t="str">
        <f t="shared" si="87"/>
        <v>Прочие кредиторы по банковской деятельности</v>
      </c>
      <c r="F550" s="9" t="str">
        <f>"1"</f>
        <v>1</v>
      </c>
      <c r="G550" s="9" t="str">
        <f>"9"</f>
        <v>9</v>
      </c>
      <c r="H550" s="9" t="str">
        <f>"1"</f>
        <v>1</v>
      </c>
      <c r="I550" s="11">
        <v>171578851.90000001</v>
      </c>
    </row>
    <row r="551" spans="1:9" x14ac:dyDescent="0.25">
      <c r="A551" s="9">
        <v>544</v>
      </c>
      <c r="B551" s="10">
        <v>44834</v>
      </c>
      <c r="C551" s="9">
        <v>8</v>
      </c>
      <c r="D551" s="9" t="str">
        <f t="shared" si="86"/>
        <v>2860</v>
      </c>
      <c r="E551" s="9" t="str">
        <f t="shared" si="87"/>
        <v>Прочие кредиторы по банковской деятельности</v>
      </c>
      <c r="F551" s="9" t="str">
        <f>"1"</f>
        <v>1</v>
      </c>
      <c r="G551" s="9" t="str">
        <f>"7"</f>
        <v>7</v>
      </c>
      <c r="H551" s="9" t="str">
        <f>"1"</f>
        <v>1</v>
      </c>
      <c r="I551" s="11">
        <v>30769027.140000001</v>
      </c>
    </row>
    <row r="552" spans="1:9" x14ac:dyDescent="0.25">
      <c r="A552" s="9">
        <v>545</v>
      </c>
      <c r="B552" s="10">
        <v>44834</v>
      </c>
      <c r="C552" s="9">
        <v>8</v>
      </c>
      <c r="D552" s="9" t="str">
        <f t="shared" si="86"/>
        <v>2860</v>
      </c>
      <c r="E552" s="9" t="str">
        <f t="shared" si="87"/>
        <v>Прочие кредиторы по банковской деятельности</v>
      </c>
      <c r="F552" s="9" t="str">
        <f>"1"</f>
        <v>1</v>
      </c>
      <c r="G552" s="9" t="str">
        <f>"5"</f>
        <v>5</v>
      </c>
      <c r="H552" s="9" t="str">
        <f>"1"</f>
        <v>1</v>
      </c>
      <c r="I552" s="11">
        <v>624981016.76999998</v>
      </c>
    </row>
    <row r="553" spans="1:9" x14ac:dyDescent="0.25">
      <c r="A553" s="9">
        <v>546</v>
      </c>
      <c r="B553" s="10">
        <v>44834</v>
      </c>
      <c r="C553" s="9">
        <v>8</v>
      </c>
      <c r="D553" s="9" t="str">
        <f t="shared" si="86"/>
        <v>2860</v>
      </c>
      <c r="E553" s="9" t="str">
        <f t="shared" si="87"/>
        <v>Прочие кредиторы по банковской деятельности</v>
      </c>
      <c r="F553" s="9" t="str">
        <f>"1"</f>
        <v>1</v>
      </c>
      <c r="G553" s="9" t="str">
        <f>"7"</f>
        <v>7</v>
      </c>
      <c r="H553" s="9" t="str">
        <f>"2"</f>
        <v>2</v>
      </c>
      <c r="I553" s="11">
        <v>174904951.44</v>
      </c>
    </row>
    <row r="554" spans="1:9" x14ac:dyDescent="0.25">
      <c r="A554" s="9">
        <v>547</v>
      </c>
      <c r="B554" s="10">
        <v>44834</v>
      </c>
      <c r="C554" s="9">
        <v>8</v>
      </c>
      <c r="D554" s="9" t="str">
        <f t="shared" si="86"/>
        <v>2860</v>
      </c>
      <c r="E554" s="9" t="str">
        <f t="shared" si="87"/>
        <v>Прочие кредиторы по банковской деятельности</v>
      </c>
      <c r="F554" s="9" t="str">
        <f>"2"</f>
        <v>2</v>
      </c>
      <c r="G554" s="9" t="str">
        <f>"4"</f>
        <v>4</v>
      </c>
      <c r="H554" s="9" t="str">
        <f>"2"</f>
        <v>2</v>
      </c>
      <c r="I554" s="11">
        <v>3946370830.5300002</v>
      </c>
    </row>
    <row r="555" spans="1:9" x14ac:dyDescent="0.25">
      <c r="A555" s="9">
        <v>548</v>
      </c>
      <c r="B555" s="10">
        <v>44834</v>
      </c>
      <c r="C555" s="9">
        <v>8</v>
      </c>
      <c r="D555" s="9" t="str">
        <f t="shared" si="86"/>
        <v>2860</v>
      </c>
      <c r="E555" s="9" t="str">
        <f t="shared" si="87"/>
        <v>Прочие кредиторы по банковской деятельности</v>
      </c>
      <c r="F555" s="9" t="str">
        <f>"2"</f>
        <v>2</v>
      </c>
      <c r="G555" s="9" t="str">
        <f>"7"</f>
        <v>7</v>
      </c>
      <c r="H555" s="9" t="str">
        <f>"1"</f>
        <v>1</v>
      </c>
      <c r="I555" s="11">
        <v>3000</v>
      </c>
    </row>
    <row r="556" spans="1:9" x14ac:dyDescent="0.25">
      <c r="A556" s="9">
        <v>549</v>
      </c>
      <c r="B556" s="10">
        <v>44834</v>
      </c>
      <c r="C556" s="9">
        <v>8</v>
      </c>
      <c r="D556" s="9" t="str">
        <f t="shared" si="86"/>
        <v>2860</v>
      </c>
      <c r="E556" s="9" t="str">
        <f t="shared" si="87"/>
        <v>Прочие кредиторы по банковской деятельности</v>
      </c>
      <c r="F556" s="9" t="str">
        <f>"1"</f>
        <v>1</v>
      </c>
      <c r="G556" s="9" t="str">
        <f>"1"</f>
        <v>1</v>
      </c>
      <c r="H556" s="9" t="str">
        <f>"1"</f>
        <v>1</v>
      </c>
      <c r="I556" s="11">
        <v>1458.5</v>
      </c>
    </row>
    <row r="557" spans="1:9" x14ac:dyDescent="0.25">
      <c r="A557" s="9">
        <v>550</v>
      </c>
      <c r="B557" s="10">
        <v>44834</v>
      </c>
      <c r="C557" s="9">
        <v>8</v>
      </c>
      <c r="D557" s="9" t="str">
        <f t="shared" si="86"/>
        <v>2860</v>
      </c>
      <c r="E557" s="9" t="str">
        <f t="shared" si="87"/>
        <v>Прочие кредиторы по банковской деятельности</v>
      </c>
      <c r="F557" s="9" t="str">
        <f>"1"</f>
        <v>1</v>
      </c>
      <c r="G557" s="9" t="str">
        <f>"9"</f>
        <v>9</v>
      </c>
      <c r="H557" s="9" t="str">
        <f>"2"</f>
        <v>2</v>
      </c>
      <c r="I557" s="11">
        <v>13109525</v>
      </c>
    </row>
    <row r="558" spans="1:9" x14ac:dyDescent="0.25">
      <c r="A558" s="9">
        <v>551</v>
      </c>
      <c r="B558" s="10">
        <v>44834</v>
      </c>
      <c r="C558" s="9">
        <v>8</v>
      </c>
      <c r="D558" s="9" t="str">
        <f t="shared" si="86"/>
        <v>2860</v>
      </c>
      <c r="E558" s="9" t="str">
        <f t="shared" si="87"/>
        <v>Прочие кредиторы по банковской деятельности</v>
      </c>
      <c r="F558" s="9" t="str">
        <f>"2"</f>
        <v>2</v>
      </c>
      <c r="G558" s="9" t="str">
        <f>"8"</f>
        <v>8</v>
      </c>
      <c r="H558" s="9" t="str">
        <f>"1"</f>
        <v>1</v>
      </c>
      <c r="I558" s="11">
        <v>58539.18</v>
      </c>
    </row>
    <row r="559" spans="1:9" x14ac:dyDescent="0.25">
      <c r="A559" s="9">
        <v>552</v>
      </c>
      <c r="B559" s="10">
        <v>44834</v>
      </c>
      <c r="C559" s="9">
        <v>8</v>
      </c>
      <c r="D559" s="9" t="str">
        <f t="shared" si="86"/>
        <v>2860</v>
      </c>
      <c r="E559" s="9" t="str">
        <f t="shared" si="87"/>
        <v>Прочие кредиторы по банковской деятельности</v>
      </c>
      <c r="F559" s="9" t="str">
        <f>"1"</f>
        <v>1</v>
      </c>
      <c r="G559" s="9" t="str">
        <f>"2"</f>
        <v>2</v>
      </c>
      <c r="H559" s="9" t="str">
        <f>"1"</f>
        <v>1</v>
      </c>
      <c r="I559" s="11">
        <v>16604686.869999999</v>
      </c>
    </row>
    <row r="560" spans="1:9" x14ac:dyDescent="0.25">
      <c r="A560" s="9">
        <v>553</v>
      </c>
      <c r="B560" s="10">
        <v>44834</v>
      </c>
      <c r="C560" s="9">
        <v>8</v>
      </c>
      <c r="D560" s="9" t="str">
        <f t="shared" si="86"/>
        <v>2860</v>
      </c>
      <c r="E560" s="9" t="str">
        <f t="shared" si="87"/>
        <v>Прочие кредиторы по банковской деятельности</v>
      </c>
      <c r="F560" s="9" t="str">
        <f>"1"</f>
        <v>1</v>
      </c>
      <c r="G560" s="9" t="str">
        <f>"4"</f>
        <v>4</v>
      </c>
      <c r="H560" s="9" t="str">
        <f>"2"</f>
        <v>2</v>
      </c>
      <c r="I560" s="11">
        <v>535297.66</v>
      </c>
    </row>
    <row r="561" spans="1:9" x14ac:dyDescent="0.25">
      <c r="A561" s="9">
        <v>554</v>
      </c>
      <c r="B561" s="10">
        <v>44834</v>
      </c>
      <c r="C561" s="9">
        <v>8</v>
      </c>
      <c r="D561" s="9" t="str">
        <f t="shared" si="86"/>
        <v>2860</v>
      </c>
      <c r="E561" s="9" t="str">
        <f t="shared" si="87"/>
        <v>Прочие кредиторы по банковской деятельности</v>
      </c>
      <c r="F561" s="9" t="str">
        <f>"2"</f>
        <v>2</v>
      </c>
      <c r="G561" s="9" t="str">
        <f>"9"</f>
        <v>9</v>
      </c>
      <c r="H561" s="9" t="str">
        <f>"2"</f>
        <v>2</v>
      </c>
      <c r="I561" s="11">
        <v>2085606.25</v>
      </c>
    </row>
    <row r="562" spans="1:9" x14ac:dyDescent="0.25">
      <c r="A562" s="9">
        <v>555</v>
      </c>
      <c r="B562" s="10">
        <v>44834</v>
      </c>
      <c r="C562" s="9">
        <v>8</v>
      </c>
      <c r="D562" s="9" t="str">
        <f>"4424"</f>
        <v>4424</v>
      </c>
      <c r="E562" s="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62" s="9" t="str">
        <f>""</f>
        <v/>
      </c>
      <c r="G562" s="9" t="str">
        <f>""</f>
        <v/>
      </c>
      <c r="H562" s="9" t="str">
        <f>""</f>
        <v/>
      </c>
      <c r="I562" s="11">
        <v>1280244900.24</v>
      </c>
    </row>
    <row r="563" spans="1:9" x14ac:dyDescent="0.25">
      <c r="A563" s="9">
        <v>556</v>
      </c>
      <c r="B563" s="10">
        <v>44834</v>
      </c>
      <c r="C563" s="9">
        <v>8</v>
      </c>
      <c r="D563" s="9" t="str">
        <f>"2874"</f>
        <v>2874</v>
      </c>
      <c r="E563" s="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63" s="9" t="str">
        <f>"2"</f>
        <v>2</v>
      </c>
      <c r="G563" s="9" t="str">
        <f>""</f>
        <v/>
      </c>
      <c r="H563" s="9" t="str">
        <f>"2"</f>
        <v>2</v>
      </c>
      <c r="I563" s="11">
        <v>119.18</v>
      </c>
    </row>
    <row r="564" spans="1:9" x14ac:dyDescent="0.25">
      <c r="A564" s="9">
        <v>557</v>
      </c>
      <c r="B564" s="10">
        <v>44834</v>
      </c>
      <c r="C564" s="9">
        <v>8</v>
      </c>
      <c r="D564" s="9" t="str">
        <f>"2874"</f>
        <v>2874</v>
      </c>
      <c r="E564" s="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64" s="9" t="str">
        <f>"1"</f>
        <v>1</v>
      </c>
      <c r="G564" s="9" t="str">
        <f>""</f>
        <v/>
      </c>
      <c r="H564" s="9" t="str">
        <f>"2"</f>
        <v>2</v>
      </c>
      <c r="I564" s="11">
        <v>47671</v>
      </c>
    </row>
    <row r="565" spans="1:9" x14ac:dyDescent="0.25">
      <c r="A565" s="9">
        <v>558</v>
      </c>
      <c r="B565" s="10">
        <v>44834</v>
      </c>
      <c r="C565" s="9">
        <v>8</v>
      </c>
      <c r="D565" s="9" t="str">
        <f>"4604"</f>
        <v>4604</v>
      </c>
      <c r="E565" s="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65" s="9" t="str">
        <f>""</f>
        <v/>
      </c>
      <c r="G565" s="9" t="str">
        <f>""</f>
        <v/>
      </c>
      <c r="H565" s="9" t="str">
        <f>""</f>
        <v/>
      </c>
      <c r="I565" s="11">
        <v>21406</v>
      </c>
    </row>
    <row r="566" spans="1:9" x14ac:dyDescent="0.25">
      <c r="A566" s="9">
        <v>559</v>
      </c>
      <c r="B566" s="10">
        <v>44834</v>
      </c>
      <c r="C566" s="9">
        <v>8</v>
      </c>
      <c r="D566" s="9" t="str">
        <f>"3561"</f>
        <v>3561</v>
      </c>
      <c r="E566" s="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66" s="9" t="str">
        <f>"1"</f>
        <v>1</v>
      </c>
      <c r="G566" s="9" t="str">
        <f>""</f>
        <v/>
      </c>
      <c r="H566" s="9" t="str">
        <f>"1"</f>
        <v>1</v>
      </c>
      <c r="I566" s="11">
        <v>-17066128282.030001</v>
      </c>
    </row>
    <row r="567" spans="1:9" x14ac:dyDescent="0.25">
      <c r="A567" s="9">
        <v>560</v>
      </c>
      <c r="B567" s="10">
        <v>44834</v>
      </c>
      <c r="C567" s="9">
        <v>8</v>
      </c>
      <c r="D567" s="9" t="str">
        <f>"4411"</f>
        <v>4411</v>
      </c>
      <c r="E567" s="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67" s="9" t="str">
        <f>""</f>
        <v/>
      </c>
      <c r="G567" s="9" t="str">
        <f>""</f>
        <v/>
      </c>
      <c r="H567" s="9" t="str">
        <f>""</f>
        <v/>
      </c>
      <c r="I567" s="11">
        <v>9548574179.0900002</v>
      </c>
    </row>
    <row r="568" spans="1:9" x14ac:dyDescent="0.25">
      <c r="A568" s="9">
        <v>561</v>
      </c>
      <c r="B568" s="10">
        <v>44834</v>
      </c>
      <c r="C568" s="9">
        <v>8</v>
      </c>
      <c r="D568" s="9" t="str">
        <f>"4417"</f>
        <v>4417</v>
      </c>
      <c r="E568" s="9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68" s="9" t="str">
        <f>""</f>
        <v/>
      </c>
      <c r="G568" s="9" t="str">
        <f>""</f>
        <v/>
      </c>
      <c r="H568" s="9" t="str">
        <f>""</f>
        <v/>
      </c>
      <c r="I568" s="11">
        <v>46617761836.150002</v>
      </c>
    </row>
    <row r="569" spans="1:9" x14ac:dyDescent="0.25">
      <c r="A569" s="9">
        <v>562</v>
      </c>
      <c r="B569" s="10">
        <v>44834</v>
      </c>
      <c r="C569" s="9">
        <v>8</v>
      </c>
      <c r="D569" s="9" t="str">
        <f>"4606"</f>
        <v>4606</v>
      </c>
      <c r="E569" s="9" t="str">
        <f>"Комиссионные доходы за услуги по операциям с гарантиями"</f>
        <v>Комиссионные доходы за услуги по операциям с гарантиями</v>
      </c>
      <c r="F569" s="9" t="str">
        <f>""</f>
        <v/>
      </c>
      <c r="G569" s="9" t="str">
        <f>""</f>
        <v/>
      </c>
      <c r="H569" s="9" t="str">
        <f>""</f>
        <v/>
      </c>
      <c r="I569" s="11">
        <v>1124144327.25</v>
      </c>
    </row>
    <row r="570" spans="1:9" x14ac:dyDescent="0.25">
      <c r="A570" s="9">
        <v>563</v>
      </c>
      <c r="B570" s="10">
        <v>44834</v>
      </c>
      <c r="C570" s="9">
        <v>8</v>
      </c>
      <c r="D570" s="9" t="str">
        <f>"4492"</f>
        <v>4492</v>
      </c>
      <c r="E570" s="9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70" s="9" t="str">
        <f>""</f>
        <v/>
      </c>
      <c r="G570" s="9" t="str">
        <f>""</f>
        <v/>
      </c>
      <c r="H570" s="9" t="str">
        <f>""</f>
        <v/>
      </c>
      <c r="I570" s="11">
        <v>13364096.960000001</v>
      </c>
    </row>
    <row r="571" spans="1:9" x14ac:dyDescent="0.25">
      <c r="A571" s="9">
        <v>564</v>
      </c>
      <c r="B571" s="10">
        <v>44834</v>
      </c>
      <c r="C571" s="9">
        <v>8</v>
      </c>
      <c r="D571" s="9" t="str">
        <f>"4510"</f>
        <v>4510</v>
      </c>
      <c r="E571" s="9" t="str">
        <f>"Доходы по купле-продаже ценных бумаг"</f>
        <v>Доходы по купле-продаже ценных бумаг</v>
      </c>
      <c r="F571" s="9" t="str">
        <f>""</f>
        <v/>
      </c>
      <c r="G571" s="9" t="str">
        <f>""</f>
        <v/>
      </c>
      <c r="H571" s="9" t="str">
        <f>""</f>
        <v/>
      </c>
      <c r="I571" s="11">
        <v>16022106.359999999</v>
      </c>
    </row>
    <row r="572" spans="1:9" x14ac:dyDescent="0.25">
      <c r="A572" s="9">
        <v>565</v>
      </c>
      <c r="B572" s="10">
        <v>44834</v>
      </c>
      <c r="C572" s="9">
        <v>8</v>
      </c>
      <c r="D572" s="9" t="str">
        <f>"4607"</f>
        <v>4607</v>
      </c>
      <c r="E572" s="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72" s="9" t="str">
        <f>""</f>
        <v/>
      </c>
      <c r="G572" s="9" t="str">
        <f>""</f>
        <v/>
      </c>
      <c r="H572" s="9" t="str">
        <f>""</f>
        <v/>
      </c>
      <c r="I572" s="11">
        <v>1812064590.78</v>
      </c>
    </row>
    <row r="573" spans="1:9" x14ac:dyDescent="0.25">
      <c r="A573" s="9">
        <v>566</v>
      </c>
      <c r="B573" s="10">
        <v>44834</v>
      </c>
      <c r="C573" s="9">
        <v>8</v>
      </c>
      <c r="D573" s="9" t="str">
        <f>"4608"</f>
        <v>4608</v>
      </c>
      <c r="E573" s="9" t="str">
        <f>"Прочие комиссионные доходы"</f>
        <v>Прочие комиссионные доходы</v>
      </c>
      <c r="F573" s="9" t="str">
        <f>""</f>
        <v/>
      </c>
      <c r="G573" s="9" t="str">
        <f>""</f>
        <v/>
      </c>
      <c r="H573" s="9" t="str">
        <f>""</f>
        <v/>
      </c>
      <c r="I573" s="11">
        <v>72826217.120000005</v>
      </c>
    </row>
    <row r="574" spans="1:9" x14ac:dyDescent="0.25">
      <c r="A574" s="9">
        <v>567</v>
      </c>
      <c r="B574" s="10">
        <v>44834</v>
      </c>
      <c r="C574" s="9">
        <v>8</v>
      </c>
      <c r="D574" s="9" t="str">
        <f>"4429"</f>
        <v>4429</v>
      </c>
      <c r="E574" s="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74" s="9" t="str">
        <f>""</f>
        <v/>
      </c>
      <c r="G574" s="9" t="str">
        <f>""</f>
        <v/>
      </c>
      <c r="H574" s="9" t="str">
        <f>""</f>
        <v/>
      </c>
      <c r="I574" s="11">
        <v>2919557.77</v>
      </c>
    </row>
    <row r="575" spans="1:9" x14ac:dyDescent="0.25">
      <c r="A575" s="9">
        <v>568</v>
      </c>
      <c r="B575" s="10">
        <v>44834</v>
      </c>
      <c r="C575" s="9">
        <v>8</v>
      </c>
      <c r="D575" s="9" t="str">
        <f>"4609"</f>
        <v>4609</v>
      </c>
      <c r="E575" s="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75" s="9" t="str">
        <f>""</f>
        <v/>
      </c>
      <c r="G575" s="9" t="str">
        <f>""</f>
        <v/>
      </c>
      <c r="H575" s="9" t="str">
        <f>""</f>
        <v/>
      </c>
      <c r="I575" s="11">
        <v>65734554.659999996</v>
      </c>
    </row>
    <row r="576" spans="1:9" x14ac:dyDescent="0.25">
      <c r="A576" s="9">
        <v>569</v>
      </c>
      <c r="B576" s="10">
        <v>44834</v>
      </c>
      <c r="C576" s="9">
        <v>8</v>
      </c>
      <c r="D576" s="9" t="str">
        <f>"4465"</f>
        <v>4465</v>
      </c>
      <c r="E576" s="9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576" s="9" t="str">
        <f>""</f>
        <v/>
      </c>
      <c r="G576" s="9" t="str">
        <f>""</f>
        <v/>
      </c>
      <c r="H576" s="9" t="str">
        <f>""</f>
        <v/>
      </c>
      <c r="I576" s="11">
        <v>706449579.59000003</v>
      </c>
    </row>
    <row r="577" spans="1:9" x14ac:dyDescent="0.25">
      <c r="A577" s="9">
        <v>570</v>
      </c>
      <c r="B577" s="10">
        <v>44834</v>
      </c>
      <c r="C577" s="9">
        <v>8</v>
      </c>
      <c r="D577" s="9" t="str">
        <f>"4611"</f>
        <v>4611</v>
      </c>
      <c r="E577" s="9" t="str">
        <f>"Комиссионные доходы за услуги по кассовым операциям"</f>
        <v>Комиссионные доходы за услуги по кассовым операциям</v>
      </c>
      <c r="F577" s="9" t="str">
        <f>""</f>
        <v/>
      </c>
      <c r="G577" s="9" t="str">
        <f>""</f>
        <v/>
      </c>
      <c r="H577" s="9" t="str">
        <f>""</f>
        <v/>
      </c>
      <c r="I577" s="11">
        <v>610600826.55999994</v>
      </c>
    </row>
    <row r="578" spans="1:9" x14ac:dyDescent="0.25">
      <c r="A578" s="9">
        <v>571</v>
      </c>
      <c r="B578" s="10">
        <v>44834</v>
      </c>
      <c r="C578" s="9">
        <v>8</v>
      </c>
      <c r="D578" s="9" t="str">
        <f>"4612"</f>
        <v>4612</v>
      </c>
      <c r="E578" s="9" t="str">
        <f>"Комиссионные доходы по документарным расчетам"</f>
        <v>Комиссионные доходы по документарным расчетам</v>
      </c>
      <c r="F578" s="9" t="str">
        <f>""</f>
        <v/>
      </c>
      <c r="G578" s="9" t="str">
        <f>""</f>
        <v/>
      </c>
      <c r="H578" s="9" t="str">
        <f>""</f>
        <v/>
      </c>
      <c r="I578" s="11">
        <v>57263633.939999998</v>
      </c>
    </row>
    <row r="579" spans="1:9" x14ac:dyDescent="0.25">
      <c r="A579" s="9">
        <v>572</v>
      </c>
      <c r="B579" s="10">
        <v>44834</v>
      </c>
      <c r="C579" s="9">
        <v>8</v>
      </c>
      <c r="D579" s="9" t="str">
        <f>"4593"</f>
        <v>4593</v>
      </c>
      <c r="E579" s="9" t="str">
        <f>"Доходы от переоценки операций своп"</f>
        <v>Доходы от переоценки операций своп</v>
      </c>
      <c r="F579" s="9" t="str">
        <f>""</f>
        <v/>
      </c>
      <c r="G579" s="9" t="str">
        <f>""</f>
        <v/>
      </c>
      <c r="H579" s="9" t="str">
        <f>""</f>
        <v/>
      </c>
      <c r="I579" s="11">
        <v>633645930.45000005</v>
      </c>
    </row>
    <row r="580" spans="1:9" x14ac:dyDescent="0.25">
      <c r="A580" s="9">
        <v>573</v>
      </c>
      <c r="B580" s="10">
        <v>44834</v>
      </c>
      <c r="C580" s="9">
        <v>8</v>
      </c>
      <c r="D580" s="9" t="str">
        <f>"4482"</f>
        <v>4482</v>
      </c>
      <c r="E580" s="9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80" s="9" t="str">
        <f>""</f>
        <v/>
      </c>
      <c r="G580" s="9" t="str">
        <f>""</f>
        <v/>
      </c>
      <c r="H580" s="9" t="str">
        <f>""</f>
        <v/>
      </c>
      <c r="I580" s="11">
        <v>253868378.86000001</v>
      </c>
    </row>
    <row r="581" spans="1:9" x14ac:dyDescent="0.25">
      <c r="A581" s="9">
        <v>574</v>
      </c>
      <c r="B581" s="10">
        <v>44834</v>
      </c>
      <c r="C581" s="9">
        <v>8</v>
      </c>
      <c r="D581" s="9" t="str">
        <f>"4481"</f>
        <v>4481</v>
      </c>
      <c r="E581" s="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81" s="9" t="str">
        <f>""</f>
        <v/>
      </c>
      <c r="G581" s="9" t="str">
        <f>""</f>
        <v/>
      </c>
      <c r="H581" s="9" t="str">
        <f>""</f>
        <v/>
      </c>
      <c r="I581" s="11">
        <v>526004856.26999998</v>
      </c>
    </row>
    <row r="582" spans="1:9" x14ac:dyDescent="0.25">
      <c r="A582" s="9">
        <v>575</v>
      </c>
      <c r="B582" s="10">
        <v>44834</v>
      </c>
      <c r="C582" s="9">
        <v>8</v>
      </c>
      <c r="D582" s="9" t="str">
        <f>"4601"</f>
        <v>4601</v>
      </c>
      <c r="E582" s="9" t="str">
        <f>"Комиссионные доходы за услуги по переводным операциям"</f>
        <v>Комиссионные доходы за услуги по переводным операциям</v>
      </c>
      <c r="F582" s="9" t="str">
        <f>""</f>
        <v/>
      </c>
      <c r="G582" s="9" t="str">
        <f>""</f>
        <v/>
      </c>
      <c r="H582" s="9" t="str">
        <f>""</f>
        <v/>
      </c>
      <c r="I582" s="11">
        <v>1736951869.03</v>
      </c>
    </row>
    <row r="583" spans="1:9" x14ac:dyDescent="0.25">
      <c r="A583" s="9">
        <v>576</v>
      </c>
      <c r="B583" s="10">
        <v>44834</v>
      </c>
      <c r="C583" s="9">
        <v>8</v>
      </c>
      <c r="D583" s="9" t="str">
        <f>"4605"</f>
        <v>4605</v>
      </c>
      <c r="E583" s="9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83" s="9" t="str">
        <f>""</f>
        <v/>
      </c>
      <c r="G583" s="9" t="str">
        <f>""</f>
        <v/>
      </c>
      <c r="H583" s="9" t="str">
        <f>""</f>
        <v/>
      </c>
      <c r="I583" s="11">
        <v>746371262.11000001</v>
      </c>
    </row>
    <row r="584" spans="1:9" x14ac:dyDescent="0.25">
      <c r="A584" s="9">
        <v>577</v>
      </c>
      <c r="B584" s="10">
        <v>44834</v>
      </c>
      <c r="C584" s="9">
        <v>8</v>
      </c>
      <c r="D584" s="9" t="str">
        <f>"4703"</f>
        <v>4703</v>
      </c>
      <c r="E584" s="9" t="str">
        <f>"Доход от переоценки иностранной валюты"</f>
        <v>Доход от переоценки иностранной валюты</v>
      </c>
      <c r="F584" s="9" t="str">
        <f>""</f>
        <v/>
      </c>
      <c r="G584" s="9" t="str">
        <f>""</f>
        <v/>
      </c>
      <c r="H584" s="9" t="str">
        <f>""</f>
        <v/>
      </c>
      <c r="I584" s="11">
        <v>809286286018.04004</v>
      </c>
    </row>
    <row r="585" spans="1:9" x14ac:dyDescent="0.25">
      <c r="A585" s="9">
        <v>578</v>
      </c>
      <c r="B585" s="10">
        <v>44834</v>
      </c>
      <c r="C585" s="9">
        <v>8</v>
      </c>
      <c r="D585" s="9" t="str">
        <f>"2880"</f>
        <v>2880</v>
      </c>
      <c r="E585" s="9" t="str">
        <f>"Обязательства по секьюритизируемым активам"</f>
        <v>Обязательства по секьюритизируемым активам</v>
      </c>
      <c r="F585" s="9" t="str">
        <f>"1"</f>
        <v>1</v>
      </c>
      <c r="G585" s="9" t="str">
        <f>""</f>
        <v/>
      </c>
      <c r="H585" s="9" t="str">
        <f>"1"</f>
        <v>1</v>
      </c>
      <c r="I585" s="11">
        <v>18201140044.400002</v>
      </c>
    </row>
    <row r="586" spans="1:9" x14ac:dyDescent="0.25">
      <c r="A586" s="9">
        <v>579</v>
      </c>
      <c r="B586" s="10">
        <v>44834</v>
      </c>
      <c r="C586" s="9">
        <v>8</v>
      </c>
      <c r="D586" s="9" t="str">
        <f>"4709"</f>
        <v>4709</v>
      </c>
      <c r="E586" s="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6" s="9" t="str">
        <f>""</f>
        <v/>
      </c>
      <c r="G586" s="9" t="str">
        <f>""</f>
        <v/>
      </c>
      <c r="H586" s="9" t="str">
        <f>""</f>
        <v/>
      </c>
      <c r="I586" s="11">
        <v>114154444.44</v>
      </c>
    </row>
    <row r="587" spans="1:9" x14ac:dyDescent="0.25">
      <c r="A587" s="9">
        <v>580</v>
      </c>
      <c r="B587" s="10">
        <v>44834</v>
      </c>
      <c r="C587" s="9">
        <v>8</v>
      </c>
      <c r="D587" s="9" t="str">
        <f>"4704"</f>
        <v>4704</v>
      </c>
      <c r="E587" s="9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7" s="9" t="str">
        <f>""</f>
        <v/>
      </c>
      <c r="G587" s="9" t="str">
        <f>""</f>
        <v/>
      </c>
      <c r="H587" s="9" t="str">
        <f>""</f>
        <v/>
      </c>
      <c r="I587" s="11">
        <v>1950200715.22</v>
      </c>
    </row>
    <row r="588" spans="1:9" x14ac:dyDescent="0.25">
      <c r="A588" s="9">
        <v>581</v>
      </c>
      <c r="B588" s="10">
        <v>44834</v>
      </c>
      <c r="C588" s="9">
        <v>8</v>
      </c>
      <c r="D588" s="9" t="str">
        <f>"4955"</f>
        <v>4955</v>
      </c>
      <c r="E588" s="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88" s="9" t="str">
        <f>""</f>
        <v/>
      </c>
      <c r="G588" s="9" t="str">
        <f>""</f>
        <v/>
      </c>
      <c r="H588" s="9" t="str">
        <f>""</f>
        <v/>
      </c>
      <c r="I588" s="11">
        <v>9070874190.2999992</v>
      </c>
    </row>
    <row r="589" spans="1:9" x14ac:dyDescent="0.25">
      <c r="A589" s="9">
        <v>582</v>
      </c>
      <c r="B589" s="10">
        <v>44834</v>
      </c>
      <c r="C589" s="9">
        <v>8</v>
      </c>
      <c r="D589" s="9" t="str">
        <f>"4540"</f>
        <v>4540</v>
      </c>
      <c r="E589" s="9" t="str">
        <f>"Доходы от продажи аффинированных драгоценных металлов"</f>
        <v>Доходы от продажи аффинированных драгоценных металлов</v>
      </c>
      <c r="F589" s="9" t="str">
        <f>""</f>
        <v/>
      </c>
      <c r="G589" s="9" t="str">
        <f>""</f>
        <v/>
      </c>
      <c r="H589" s="9" t="str">
        <f>""</f>
        <v/>
      </c>
      <c r="I589" s="11">
        <v>129214043.7</v>
      </c>
    </row>
    <row r="590" spans="1:9" x14ac:dyDescent="0.25">
      <c r="A590" s="9">
        <v>583</v>
      </c>
      <c r="B590" s="10">
        <v>44834</v>
      </c>
      <c r="C590" s="9">
        <v>8</v>
      </c>
      <c r="D590" s="9" t="str">
        <f>"4570"</f>
        <v>4570</v>
      </c>
      <c r="E590" s="9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590" s="9" t="str">
        <f>""</f>
        <v/>
      </c>
      <c r="G590" s="9" t="str">
        <f>""</f>
        <v/>
      </c>
      <c r="H590" s="9" t="str">
        <f>""</f>
        <v/>
      </c>
      <c r="I590" s="11">
        <v>134427142.16</v>
      </c>
    </row>
    <row r="591" spans="1:9" x14ac:dyDescent="0.25">
      <c r="A591" s="9">
        <v>584</v>
      </c>
      <c r="B591" s="10">
        <v>44834</v>
      </c>
      <c r="C591" s="9">
        <v>8</v>
      </c>
      <c r="D591" s="9" t="str">
        <f>"4956"</f>
        <v>4956</v>
      </c>
      <c r="E591" s="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91" s="9" t="str">
        <f>""</f>
        <v/>
      </c>
      <c r="G591" s="9" t="str">
        <f>""</f>
        <v/>
      </c>
      <c r="H591" s="9" t="str">
        <f>""</f>
        <v/>
      </c>
      <c r="I591" s="11">
        <v>5281502</v>
      </c>
    </row>
    <row r="592" spans="1:9" x14ac:dyDescent="0.25">
      <c r="A592" s="9">
        <v>585</v>
      </c>
      <c r="B592" s="10">
        <v>44834</v>
      </c>
      <c r="C592" s="9">
        <v>8</v>
      </c>
      <c r="D592" s="9" t="str">
        <f>"4958"</f>
        <v>4958</v>
      </c>
      <c r="E592" s="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92" s="9" t="str">
        <f>""</f>
        <v/>
      </c>
      <c r="G592" s="9" t="str">
        <f>""</f>
        <v/>
      </c>
      <c r="H592" s="9" t="str">
        <f>""</f>
        <v/>
      </c>
      <c r="I592" s="11">
        <v>872354300.44000006</v>
      </c>
    </row>
    <row r="593" spans="1:9" x14ac:dyDescent="0.25">
      <c r="A593" s="9">
        <v>586</v>
      </c>
      <c r="B593" s="10">
        <v>44834</v>
      </c>
      <c r="C593" s="9">
        <v>8</v>
      </c>
      <c r="D593" s="9" t="str">
        <f>"4733"</f>
        <v>4733</v>
      </c>
      <c r="E593" s="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93" s="9" t="str">
        <f>""</f>
        <v/>
      </c>
      <c r="G593" s="9" t="str">
        <f>""</f>
        <v/>
      </c>
      <c r="H593" s="9" t="str">
        <f>""</f>
        <v/>
      </c>
      <c r="I593" s="11">
        <v>798169723.33000004</v>
      </c>
    </row>
    <row r="594" spans="1:9" x14ac:dyDescent="0.25">
      <c r="A594" s="9">
        <v>587</v>
      </c>
      <c r="B594" s="10">
        <v>44834</v>
      </c>
      <c r="C594" s="9">
        <v>8</v>
      </c>
      <c r="D594" s="9" t="str">
        <f>"4434"</f>
        <v>4434</v>
      </c>
      <c r="E594" s="9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594" s="9" t="str">
        <f>""</f>
        <v/>
      </c>
      <c r="G594" s="9" t="str">
        <f>""</f>
        <v/>
      </c>
      <c r="H594" s="9" t="str">
        <f>""</f>
        <v/>
      </c>
      <c r="I594" s="11">
        <v>808605487.50999999</v>
      </c>
    </row>
    <row r="595" spans="1:9" x14ac:dyDescent="0.25">
      <c r="A595" s="9">
        <v>588</v>
      </c>
      <c r="B595" s="10">
        <v>44834</v>
      </c>
      <c r="C595" s="9">
        <v>8</v>
      </c>
      <c r="D595" s="9" t="str">
        <f>"4267"</f>
        <v>4267</v>
      </c>
      <c r="E595" s="9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95" s="9" t="str">
        <f>""</f>
        <v/>
      </c>
      <c r="G595" s="9" t="str">
        <f>""</f>
        <v/>
      </c>
      <c r="H595" s="9" t="str">
        <f>""</f>
        <v/>
      </c>
      <c r="I595" s="11">
        <v>86868</v>
      </c>
    </row>
    <row r="596" spans="1:9" x14ac:dyDescent="0.25">
      <c r="A596" s="9">
        <v>589</v>
      </c>
      <c r="B596" s="10">
        <v>44834</v>
      </c>
      <c r="C596" s="9">
        <v>8</v>
      </c>
      <c r="D596" s="9" t="str">
        <f>"4892"</f>
        <v>4892</v>
      </c>
      <c r="E596" s="9" t="str">
        <f>"Доходы по операциям форвард"</f>
        <v>Доходы по операциям форвард</v>
      </c>
      <c r="F596" s="9" t="str">
        <f>""</f>
        <v/>
      </c>
      <c r="G596" s="9" t="str">
        <f>""</f>
        <v/>
      </c>
      <c r="H596" s="9" t="str">
        <f>""</f>
        <v/>
      </c>
      <c r="I596" s="11">
        <v>742098440.90999997</v>
      </c>
    </row>
    <row r="597" spans="1:9" x14ac:dyDescent="0.25">
      <c r="A597" s="9">
        <v>590</v>
      </c>
      <c r="B597" s="10">
        <v>44834</v>
      </c>
      <c r="C597" s="9">
        <v>8</v>
      </c>
      <c r="D597" s="9" t="str">
        <f>"4602"</f>
        <v>4602</v>
      </c>
      <c r="E597" s="9" t="str">
        <f>"Комиссионные доходы за агентские услуги"</f>
        <v>Комиссионные доходы за агентские услуги</v>
      </c>
      <c r="F597" s="9" t="str">
        <f>""</f>
        <v/>
      </c>
      <c r="G597" s="9" t="str">
        <f>""</f>
        <v/>
      </c>
      <c r="H597" s="9" t="str">
        <f>""</f>
        <v/>
      </c>
      <c r="I597" s="11">
        <v>6015246054.0200005</v>
      </c>
    </row>
    <row r="598" spans="1:9" x14ac:dyDescent="0.25">
      <c r="A598" s="9">
        <v>591</v>
      </c>
      <c r="B598" s="10">
        <v>44834</v>
      </c>
      <c r="C598" s="9">
        <v>8</v>
      </c>
      <c r="D598" s="9" t="str">
        <f>"4617"</f>
        <v>4617</v>
      </c>
      <c r="E598" s="9" t="str">
        <f>"Комиссионные доходы за услуги по сейфовым операциям"</f>
        <v>Комиссионные доходы за услуги по сейфовым операциям</v>
      </c>
      <c r="F598" s="9" t="str">
        <f>""</f>
        <v/>
      </c>
      <c r="G598" s="9" t="str">
        <f>""</f>
        <v/>
      </c>
      <c r="H598" s="9" t="str">
        <f>""</f>
        <v/>
      </c>
      <c r="I598" s="11">
        <v>20734750.91</v>
      </c>
    </row>
    <row r="599" spans="1:9" x14ac:dyDescent="0.25">
      <c r="A599" s="9">
        <v>592</v>
      </c>
      <c r="B599" s="10">
        <v>44834</v>
      </c>
      <c r="C599" s="9">
        <v>8</v>
      </c>
      <c r="D599" s="9" t="str">
        <f>"4900"</f>
        <v>4900</v>
      </c>
      <c r="E599" s="9" t="str">
        <f>"Неустойка (штраф, пеня)"</f>
        <v>Неустойка (штраф, пеня)</v>
      </c>
      <c r="F599" s="9" t="str">
        <f>""</f>
        <v/>
      </c>
      <c r="G599" s="9" t="str">
        <f>""</f>
        <v/>
      </c>
      <c r="H599" s="9" t="str">
        <f>""</f>
        <v/>
      </c>
      <c r="I599" s="11">
        <v>496301650.72000003</v>
      </c>
    </row>
    <row r="600" spans="1:9" x14ac:dyDescent="0.25">
      <c r="A600" s="9">
        <v>593</v>
      </c>
      <c r="B600" s="10">
        <v>44834</v>
      </c>
      <c r="C600" s="9">
        <v>8</v>
      </c>
      <c r="D600" s="9" t="str">
        <f>"4619"</f>
        <v>4619</v>
      </c>
      <c r="E600" s="9" t="str">
        <f>"Комиссионные доходы за обслуживание платежных карточек"</f>
        <v>Комиссионные доходы за обслуживание платежных карточек</v>
      </c>
      <c r="F600" s="9" t="str">
        <f>""</f>
        <v/>
      </c>
      <c r="G600" s="9" t="str">
        <f>""</f>
        <v/>
      </c>
      <c r="H600" s="9" t="str">
        <f>""</f>
        <v/>
      </c>
      <c r="I600" s="11">
        <v>833176414.82000005</v>
      </c>
    </row>
    <row r="601" spans="1:9" x14ac:dyDescent="0.25">
      <c r="A601" s="9">
        <v>594</v>
      </c>
      <c r="B601" s="10">
        <v>44834</v>
      </c>
      <c r="C601" s="9">
        <v>8</v>
      </c>
      <c r="D601" s="9" t="str">
        <f>"4953"</f>
        <v>4953</v>
      </c>
      <c r="E601" s="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01" s="9" t="str">
        <f>""</f>
        <v/>
      </c>
      <c r="G601" s="9" t="str">
        <f>""</f>
        <v/>
      </c>
      <c r="H601" s="9" t="str">
        <f>""</f>
        <v/>
      </c>
      <c r="I601" s="11">
        <v>199620202.49000001</v>
      </c>
    </row>
    <row r="602" spans="1:9" x14ac:dyDescent="0.25">
      <c r="A602" s="9">
        <v>595</v>
      </c>
      <c r="B602" s="10">
        <v>44834</v>
      </c>
      <c r="C602" s="9">
        <v>8</v>
      </c>
      <c r="D602" s="9" t="str">
        <f>"4530"</f>
        <v>4530</v>
      </c>
      <c r="E602" s="9" t="str">
        <f>"Доходы по купле-продаже иностранной валюты"</f>
        <v>Доходы по купле-продаже иностранной валюты</v>
      </c>
      <c r="F602" s="9" t="str">
        <f>""</f>
        <v/>
      </c>
      <c r="G602" s="9" t="str">
        <f>""</f>
        <v/>
      </c>
      <c r="H602" s="9" t="str">
        <f>""</f>
        <v/>
      </c>
      <c r="I602" s="11">
        <v>39627693638.089996</v>
      </c>
    </row>
    <row r="603" spans="1:9" x14ac:dyDescent="0.25">
      <c r="A603" s="9">
        <v>596</v>
      </c>
      <c r="B603" s="10">
        <v>44834</v>
      </c>
      <c r="C603" s="9">
        <v>8</v>
      </c>
      <c r="D603" s="9" t="str">
        <f>"4951"</f>
        <v>4951</v>
      </c>
      <c r="E603" s="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03" s="9" t="str">
        <f>""</f>
        <v/>
      </c>
      <c r="G603" s="9" t="str">
        <f>""</f>
        <v/>
      </c>
      <c r="H603" s="9" t="str">
        <f>""</f>
        <v/>
      </c>
      <c r="I603" s="11">
        <v>1587142.4</v>
      </c>
    </row>
    <row r="604" spans="1:9" x14ac:dyDescent="0.25">
      <c r="A604" s="9">
        <v>597</v>
      </c>
      <c r="B604" s="10">
        <v>44834</v>
      </c>
      <c r="C604" s="9">
        <v>8</v>
      </c>
      <c r="D604" s="9" t="str">
        <f>"4852"</f>
        <v>4852</v>
      </c>
      <c r="E604" s="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04" s="9" t="str">
        <f>""</f>
        <v/>
      </c>
      <c r="G604" s="9" t="str">
        <f>""</f>
        <v/>
      </c>
      <c r="H604" s="9" t="str">
        <f>""</f>
        <v/>
      </c>
      <c r="I604" s="11">
        <v>231756358.38</v>
      </c>
    </row>
    <row r="605" spans="1:9" x14ac:dyDescent="0.25">
      <c r="A605" s="9">
        <v>598</v>
      </c>
      <c r="B605" s="10">
        <v>44834</v>
      </c>
      <c r="C605" s="9">
        <v>8</v>
      </c>
      <c r="D605" s="9" t="str">
        <f>"4954"</f>
        <v>4954</v>
      </c>
      <c r="E605" s="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05" s="9" t="str">
        <f>""</f>
        <v/>
      </c>
      <c r="G605" s="9" t="str">
        <f>""</f>
        <v/>
      </c>
      <c r="H605" s="9" t="str">
        <f>""</f>
        <v/>
      </c>
      <c r="I605" s="11">
        <v>34966502.520000003</v>
      </c>
    </row>
    <row r="606" spans="1:9" x14ac:dyDescent="0.25">
      <c r="A606" s="9">
        <v>599</v>
      </c>
      <c r="B606" s="10">
        <v>44834</v>
      </c>
      <c r="C606" s="9">
        <v>8</v>
      </c>
      <c r="D606" s="9" t="str">
        <f>"4957"</f>
        <v>4957</v>
      </c>
      <c r="E606" s="9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06" s="9" t="str">
        <f>""</f>
        <v/>
      </c>
      <c r="G606" s="9" t="str">
        <f>""</f>
        <v/>
      </c>
      <c r="H606" s="9" t="str">
        <f>""</f>
        <v/>
      </c>
      <c r="I606" s="11">
        <v>1150383.77</v>
      </c>
    </row>
    <row r="607" spans="1:9" x14ac:dyDescent="0.25">
      <c r="A607" s="9">
        <v>600</v>
      </c>
      <c r="B607" s="10">
        <v>44834</v>
      </c>
      <c r="C607" s="9">
        <v>8</v>
      </c>
      <c r="D607" s="9" t="str">
        <f>"5051"</f>
        <v>5051</v>
      </c>
      <c r="E607" s="9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607" s="9" t="str">
        <f>""</f>
        <v/>
      </c>
      <c r="G607" s="9" t="str">
        <f>""</f>
        <v/>
      </c>
      <c r="H607" s="9" t="str">
        <f>""</f>
        <v/>
      </c>
      <c r="I607" s="11">
        <v>50342047.329999998</v>
      </c>
    </row>
    <row r="608" spans="1:9" x14ac:dyDescent="0.25">
      <c r="A608" s="9">
        <v>601</v>
      </c>
      <c r="B608" s="10">
        <v>44834</v>
      </c>
      <c r="C608" s="9">
        <v>8</v>
      </c>
      <c r="D608" s="9" t="str">
        <f>"4922"</f>
        <v>4922</v>
      </c>
      <c r="E608" s="9" t="str">
        <f>"Прочие доходы от неосновной деятельности"</f>
        <v>Прочие доходы от неосновной деятельности</v>
      </c>
      <c r="F608" s="9" t="str">
        <f>""</f>
        <v/>
      </c>
      <c r="G608" s="9" t="str">
        <f>""</f>
        <v/>
      </c>
      <c r="H608" s="9" t="str">
        <f>""</f>
        <v/>
      </c>
      <c r="I608" s="11">
        <v>616175861.13999999</v>
      </c>
    </row>
    <row r="609" spans="1:9" x14ac:dyDescent="0.25">
      <c r="A609" s="9">
        <v>602</v>
      </c>
      <c r="B609" s="10">
        <v>44834</v>
      </c>
      <c r="C609" s="9">
        <v>8</v>
      </c>
      <c r="D609" s="9" t="str">
        <f>"4921"</f>
        <v>4921</v>
      </c>
      <c r="E609" s="9" t="str">
        <f>"Прочие доходы от банковской деятельности"</f>
        <v>Прочие доходы от банковской деятельности</v>
      </c>
      <c r="F609" s="9" t="str">
        <f>""</f>
        <v/>
      </c>
      <c r="G609" s="9" t="str">
        <f>""</f>
        <v/>
      </c>
      <c r="H609" s="9" t="str">
        <f>""</f>
        <v/>
      </c>
      <c r="I609" s="11">
        <v>1159185619.9400001</v>
      </c>
    </row>
    <row r="610" spans="1:9" x14ac:dyDescent="0.25">
      <c r="A610" s="9">
        <v>603</v>
      </c>
      <c r="B610" s="10">
        <v>44834</v>
      </c>
      <c r="C610" s="9">
        <v>8</v>
      </c>
      <c r="D610" s="9" t="str">
        <f>"5056"</f>
        <v>5056</v>
      </c>
      <c r="E610" s="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10" s="9" t="str">
        <f>""</f>
        <v/>
      </c>
      <c r="G610" s="9" t="str">
        <f>""</f>
        <v/>
      </c>
      <c r="H610" s="9" t="str">
        <f>""</f>
        <v/>
      </c>
      <c r="I610" s="11">
        <v>111548117.92</v>
      </c>
    </row>
    <row r="611" spans="1:9" x14ac:dyDescent="0.25">
      <c r="A611" s="9">
        <v>604</v>
      </c>
      <c r="B611" s="10">
        <v>44834</v>
      </c>
      <c r="C611" s="9">
        <v>8</v>
      </c>
      <c r="D611" s="9" t="str">
        <f>"4895"</f>
        <v>4895</v>
      </c>
      <c r="E611" s="9" t="str">
        <f>"Доходы по операциям своп"</f>
        <v>Доходы по операциям своп</v>
      </c>
      <c r="F611" s="9" t="str">
        <f>""</f>
        <v/>
      </c>
      <c r="G611" s="9" t="str">
        <f>""</f>
        <v/>
      </c>
      <c r="H611" s="9" t="str">
        <f>""</f>
        <v/>
      </c>
      <c r="I611" s="11">
        <v>2852517573.9899998</v>
      </c>
    </row>
    <row r="612" spans="1:9" x14ac:dyDescent="0.25">
      <c r="A612" s="9">
        <v>605</v>
      </c>
      <c r="B612" s="10">
        <v>44834</v>
      </c>
      <c r="C612" s="9">
        <v>8</v>
      </c>
      <c r="D612" s="9" t="str">
        <f>"5066"</f>
        <v>5066</v>
      </c>
      <c r="E612" s="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12" s="9" t="str">
        <f>""</f>
        <v/>
      </c>
      <c r="G612" s="9" t="str">
        <f>""</f>
        <v/>
      </c>
      <c r="H612" s="9" t="str">
        <f>""</f>
        <v/>
      </c>
      <c r="I612" s="11">
        <v>617675637.01999998</v>
      </c>
    </row>
    <row r="613" spans="1:9" x14ac:dyDescent="0.25">
      <c r="A613" s="9">
        <v>606</v>
      </c>
      <c r="B613" s="10">
        <v>44834</v>
      </c>
      <c r="C613" s="9">
        <v>8</v>
      </c>
      <c r="D613" s="9" t="str">
        <f>"5071"</f>
        <v>5071</v>
      </c>
      <c r="E613" s="9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613" s="9" t="str">
        <f>""</f>
        <v/>
      </c>
      <c r="G613" s="9" t="str">
        <f>""</f>
        <v/>
      </c>
      <c r="H613" s="9" t="str">
        <f>""</f>
        <v/>
      </c>
      <c r="I613" s="11">
        <v>4337984373.4700003</v>
      </c>
    </row>
    <row r="614" spans="1:9" x14ac:dyDescent="0.25">
      <c r="A614" s="9">
        <v>607</v>
      </c>
      <c r="B614" s="10">
        <v>44834</v>
      </c>
      <c r="C614" s="9">
        <v>8</v>
      </c>
      <c r="D614" s="9" t="str">
        <f>"5138"</f>
        <v>5138</v>
      </c>
      <c r="E614" s="9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614" s="9" t="str">
        <f>""</f>
        <v/>
      </c>
      <c r="G614" s="9" t="str">
        <f>""</f>
        <v/>
      </c>
      <c r="H614" s="9" t="str">
        <f>""</f>
        <v/>
      </c>
      <c r="I614" s="11">
        <v>82400989.560000002</v>
      </c>
    </row>
    <row r="615" spans="1:9" x14ac:dyDescent="0.25">
      <c r="A615" s="9">
        <v>608</v>
      </c>
      <c r="B615" s="10">
        <v>44834</v>
      </c>
      <c r="C615" s="9">
        <v>8</v>
      </c>
      <c r="D615" s="9" t="str">
        <f>"5122"</f>
        <v>5122</v>
      </c>
      <c r="E615" s="9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15" s="9" t="str">
        <f>""</f>
        <v/>
      </c>
      <c r="G615" s="9" t="str">
        <f>""</f>
        <v/>
      </c>
      <c r="H615" s="9" t="str">
        <f>""</f>
        <v/>
      </c>
      <c r="I615" s="11">
        <v>162304109.41</v>
      </c>
    </row>
    <row r="616" spans="1:9" x14ac:dyDescent="0.25">
      <c r="A616" s="9">
        <v>609</v>
      </c>
      <c r="B616" s="10">
        <v>44834</v>
      </c>
      <c r="C616" s="9">
        <v>8</v>
      </c>
      <c r="D616" s="9" t="str">
        <f>"5127"</f>
        <v>5127</v>
      </c>
      <c r="E616" s="9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16" s="9" t="str">
        <f>""</f>
        <v/>
      </c>
      <c r="G616" s="9" t="str">
        <f>""</f>
        <v/>
      </c>
      <c r="H616" s="9" t="str">
        <f>""</f>
        <v/>
      </c>
      <c r="I616" s="11">
        <v>17241606.280000001</v>
      </c>
    </row>
    <row r="617" spans="1:9" x14ac:dyDescent="0.25">
      <c r="A617" s="9">
        <v>610</v>
      </c>
      <c r="B617" s="10">
        <v>44834</v>
      </c>
      <c r="C617" s="9">
        <v>8</v>
      </c>
      <c r="D617" s="9" t="str">
        <f>"5307"</f>
        <v>5307</v>
      </c>
      <c r="E617" s="9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17" s="9" t="str">
        <f>""</f>
        <v/>
      </c>
      <c r="G617" s="9" t="str">
        <f>""</f>
        <v/>
      </c>
      <c r="H617" s="9" t="str">
        <f>""</f>
        <v/>
      </c>
      <c r="I617" s="11">
        <v>203041680.11000001</v>
      </c>
    </row>
    <row r="618" spans="1:9" x14ac:dyDescent="0.25">
      <c r="A618" s="9">
        <v>611</v>
      </c>
      <c r="B618" s="10">
        <v>44834</v>
      </c>
      <c r="C618" s="9">
        <v>8</v>
      </c>
      <c r="D618" s="9" t="str">
        <f>"5219"</f>
        <v>5219</v>
      </c>
      <c r="E618" s="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8" s="9" t="str">
        <f>""</f>
        <v/>
      </c>
      <c r="G618" s="9" t="str">
        <f>""</f>
        <v/>
      </c>
      <c r="H618" s="9" t="str">
        <f>""</f>
        <v/>
      </c>
      <c r="I618" s="11">
        <v>299721095.31999999</v>
      </c>
    </row>
    <row r="619" spans="1:9" x14ac:dyDescent="0.25">
      <c r="A619" s="9">
        <v>612</v>
      </c>
      <c r="B619" s="10">
        <v>44834</v>
      </c>
      <c r="C619" s="9">
        <v>8</v>
      </c>
      <c r="D619" s="9" t="str">
        <f>"5404"</f>
        <v>5404</v>
      </c>
      <c r="E619" s="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19" s="9" t="str">
        <f>""</f>
        <v/>
      </c>
      <c r="G619" s="9" t="str">
        <f>""</f>
        <v/>
      </c>
      <c r="H619" s="9" t="str">
        <f>""</f>
        <v/>
      </c>
      <c r="I619" s="11">
        <v>4254052975.4899998</v>
      </c>
    </row>
    <row r="620" spans="1:9" x14ac:dyDescent="0.25">
      <c r="A620" s="9">
        <v>613</v>
      </c>
      <c r="B620" s="10">
        <v>44834</v>
      </c>
      <c r="C620" s="9">
        <v>8</v>
      </c>
      <c r="D620" s="9" t="str">
        <f>"5211"</f>
        <v>5211</v>
      </c>
      <c r="E620" s="9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20" s="9" t="str">
        <f>""</f>
        <v/>
      </c>
      <c r="G620" s="9" t="str">
        <f>""</f>
        <v/>
      </c>
      <c r="H620" s="9" t="str">
        <f>""</f>
        <v/>
      </c>
      <c r="I620" s="11">
        <v>202445.72</v>
      </c>
    </row>
    <row r="621" spans="1:9" x14ac:dyDescent="0.25">
      <c r="A621" s="9">
        <v>614</v>
      </c>
      <c r="B621" s="10">
        <v>44834</v>
      </c>
      <c r="C621" s="9">
        <v>8</v>
      </c>
      <c r="D621" s="9" t="str">
        <f>"5308"</f>
        <v>5308</v>
      </c>
      <c r="E621" s="9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1" s="9" t="str">
        <f>""</f>
        <v/>
      </c>
      <c r="G621" s="9" t="str">
        <f>""</f>
        <v/>
      </c>
      <c r="H621" s="9" t="str">
        <f>""</f>
        <v/>
      </c>
      <c r="I621" s="11">
        <v>110158451.56</v>
      </c>
    </row>
    <row r="622" spans="1:9" x14ac:dyDescent="0.25">
      <c r="A622" s="9">
        <v>615</v>
      </c>
      <c r="B622" s="10">
        <v>44834</v>
      </c>
      <c r="C622" s="9">
        <v>8</v>
      </c>
      <c r="D622" s="9" t="str">
        <f>"5306"</f>
        <v>5306</v>
      </c>
      <c r="E622" s="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22" s="9" t="str">
        <f>""</f>
        <v/>
      </c>
      <c r="G622" s="9" t="str">
        <f>""</f>
        <v/>
      </c>
      <c r="H622" s="9" t="str">
        <f>""</f>
        <v/>
      </c>
      <c r="I622" s="11">
        <v>1930621691.8099999</v>
      </c>
    </row>
    <row r="623" spans="1:9" x14ac:dyDescent="0.25">
      <c r="A623" s="9">
        <v>616</v>
      </c>
      <c r="B623" s="10">
        <v>44834</v>
      </c>
      <c r="C623" s="9">
        <v>8</v>
      </c>
      <c r="D623" s="9" t="str">
        <f>"5215"</f>
        <v>5215</v>
      </c>
      <c r="E623" s="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23" s="9" t="str">
        <f>""</f>
        <v/>
      </c>
      <c r="G623" s="9" t="str">
        <f>""</f>
        <v/>
      </c>
      <c r="H623" s="9" t="str">
        <f>""</f>
        <v/>
      </c>
      <c r="I623" s="11">
        <v>16143151362.6</v>
      </c>
    </row>
    <row r="624" spans="1:9" x14ac:dyDescent="0.25">
      <c r="A624" s="9">
        <v>617</v>
      </c>
      <c r="B624" s="10">
        <v>44834</v>
      </c>
      <c r="C624" s="9">
        <v>8</v>
      </c>
      <c r="D624" s="9" t="str">
        <f>"5457"</f>
        <v>5457</v>
      </c>
      <c r="E624" s="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24" s="9" t="str">
        <f>""</f>
        <v/>
      </c>
      <c r="G624" s="9" t="str">
        <f>""</f>
        <v/>
      </c>
      <c r="H624" s="9" t="str">
        <f>""</f>
        <v/>
      </c>
      <c r="I624" s="11">
        <v>5010775.92</v>
      </c>
    </row>
    <row r="625" spans="1:9" x14ac:dyDescent="0.25">
      <c r="A625" s="9">
        <v>618</v>
      </c>
      <c r="B625" s="10">
        <v>44834</v>
      </c>
      <c r="C625" s="9">
        <v>8</v>
      </c>
      <c r="D625" s="9" t="str">
        <f>"5223"</f>
        <v>5223</v>
      </c>
      <c r="E625" s="9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25" s="9" t="str">
        <f>""</f>
        <v/>
      </c>
      <c r="G625" s="9" t="str">
        <f>""</f>
        <v/>
      </c>
      <c r="H625" s="9" t="str">
        <f>""</f>
        <v/>
      </c>
      <c r="I625" s="11">
        <v>2285087664.0100002</v>
      </c>
    </row>
    <row r="626" spans="1:9" x14ac:dyDescent="0.25">
      <c r="A626" s="9">
        <v>619</v>
      </c>
      <c r="B626" s="10">
        <v>44834</v>
      </c>
      <c r="C626" s="9">
        <v>8</v>
      </c>
      <c r="D626" s="9" t="str">
        <f>"5218"</f>
        <v>5218</v>
      </c>
      <c r="E626" s="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26" s="9" t="str">
        <f>""</f>
        <v/>
      </c>
      <c r="G626" s="9" t="str">
        <f>""</f>
        <v/>
      </c>
      <c r="H626" s="9" t="str">
        <f>""</f>
        <v/>
      </c>
      <c r="I626" s="11">
        <v>4767555419.4899998</v>
      </c>
    </row>
    <row r="627" spans="1:9" x14ac:dyDescent="0.25">
      <c r="A627" s="9">
        <v>620</v>
      </c>
      <c r="B627" s="10">
        <v>44834</v>
      </c>
      <c r="C627" s="9">
        <v>8</v>
      </c>
      <c r="D627" s="9" t="str">
        <f>"5250"</f>
        <v>5250</v>
      </c>
      <c r="E627" s="9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627" s="9" t="str">
        <f>""</f>
        <v/>
      </c>
      <c r="G627" s="9" t="str">
        <f>""</f>
        <v/>
      </c>
      <c r="H627" s="9" t="str">
        <f>""</f>
        <v/>
      </c>
      <c r="I627" s="11">
        <v>2875857550.77</v>
      </c>
    </row>
    <row r="628" spans="1:9" x14ac:dyDescent="0.25">
      <c r="A628" s="9">
        <v>621</v>
      </c>
      <c r="B628" s="10">
        <v>44834</v>
      </c>
      <c r="C628" s="9">
        <v>8</v>
      </c>
      <c r="D628" s="9" t="str">
        <f>"5456"</f>
        <v>5456</v>
      </c>
      <c r="E628" s="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28" s="9" t="str">
        <f>""</f>
        <v/>
      </c>
      <c r="G628" s="9" t="str">
        <f>""</f>
        <v/>
      </c>
      <c r="H628" s="9" t="str">
        <f>""</f>
        <v/>
      </c>
      <c r="I628" s="11">
        <v>7356206.2300000004</v>
      </c>
    </row>
    <row r="629" spans="1:9" x14ac:dyDescent="0.25">
      <c r="A629" s="9">
        <v>622</v>
      </c>
      <c r="B629" s="10">
        <v>44834</v>
      </c>
      <c r="C629" s="9">
        <v>8</v>
      </c>
      <c r="D629" s="9" t="str">
        <f>"5455"</f>
        <v>5455</v>
      </c>
      <c r="E629" s="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29" s="9" t="str">
        <f>""</f>
        <v/>
      </c>
      <c r="G629" s="9" t="str">
        <f>""</f>
        <v/>
      </c>
      <c r="H629" s="9" t="str">
        <f>""</f>
        <v/>
      </c>
      <c r="I629" s="11">
        <v>20379804576.82</v>
      </c>
    </row>
    <row r="630" spans="1:9" x14ac:dyDescent="0.25">
      <c r="A630" s="9">
        <v>623</v>
      </c>
      <c r="B630" s="10">
        <v>44834</v>
      </c>
      <c r="C630" s="9">
        <v>8</v>
      </c>
      <c r="D630" s="9" t="str">
        <f>"5227"</f>
        <v>5227</v>
      </c>
      <c r="E630" s="9" t="str">
        <f>"Процентные расходы по обязательствам по аренде"</f>
        <v>Процентные расходы по обязательствам по аренде</v>
      </c>
      <c r="F630" s="9" t="str">
        <f>""</f>
        <v/>
      </c>
      <c r="G630" s="9" t="str">
        <f>""</f>
        <v/>
      </c>
      <c r="H630" s="9" t="str">
        <f>""</f>
        <v/>
      </c>
      <c r="I630" s="11">
        <v>86761459.829999998</v>
      </c>
    </row>
    <row r="631" spans="1:9" x14ac:dyDescent="0.25">
      <c r="A631" s="9">
        <v>624</v>
      </c>
      <c r="B631" s="10">
        <v>44834</v>
      </c>
      <c r="C631" s="9">
        <v>8</v>
      </c>
      <c r="D631" s="9" t="str">
        <f>"5406"</f>
        <v>5406</v>
      </c>
      <c r="E631" s="9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31" s="9" t="str">
        <f>""</f>
        <v/>
      </c>
      <c r="G631" s="9" t="str">
        <f>""</f>
        <v/>
      </c>
      <c r="H631" s="9" t="str">
        <f>""</f>
        <v/>
      </c>
      <c r="I631" s="11">
        <v>7311000000.0500002</v>
      </c>
    </row>
    <row r="632" spans="1:9" x14ac:dyDescent="0.25">
      <c r="A632" s="9">
        <v>625</v>
      </c>
      <c r="B632" s="10">
        <v>44834</v>
      </c>
      <c r="C632" s="9">
        <v>8</v>
      </c>
      <c r="D632" s="9" t="str">
        <f>"5465"</f>
        <v>5465</v>
      </c>
      <c r="E632" s="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2" s="9" t="str">
        <f>""</f>
        <v/>
      </c>
      <c r="G632" s="9" t="str">
        <f>""</f>
        <v/>
      </c>
      <c r="H632" s="9" t="str">
        <f>""</f>
        <v/>
      </c>
      <c r="I632" s="11">
        <v>1422860785.77</v>
      </c>
    </row>
    <row r="633" spans="1:9" x14ac:dyDescent="0.25">
      <c r="A633" s="9">
        <v>626</v>
      </c>
      <c r="B633" s="10">
        <v>44834</v>
      </c>
      <c r="C633" s="9">
        <v>8</v>
      </c>
      <c r="D633" s="9" t="str">
        <f>"5301"</f>
        <v>5301</v>
      </c>
      <c r="E633" s="9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33" s="9" t="str">
        <f>""</f>
        <v/>
      </c>
      <c r="G633" s="9" t="str">
        <f>""</f>
        <v/>
      </c>
      <c r="H633" s="9" t="str">
        <f>""</f>
        <v/>
      </c>
      <c r="I633" s="11">
        <v>12933521319.5</v>
      </c>
    </row>
    <row r="634" spans="1:9" x14ac:dyDescent="0.25">
      <c r="A634" s="9">
        <v>627</v>
      </c>
      <c r="B634" s="10">
        <v>44834</v>
      </c>
      <c r="C634" s="9">
        <v>8</v>
      </c>
      <c r="D634" s="9" t="str">
        <f>"5451"</f>
        <v>5451</v>
      </c>
      <c r="E634" s="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34" s="9" t="str">
        <f>""</f>
        <v/>
      </c>
      <c r="G634" s="9" t="str">
        <f>""</f>
        <v/>
      </c>
      <c r="H634" s="9" t="str">
        <f>""</f>
        <v/>
      </c>
      <c r="I634" s="11">
        <v>2100818.4</v>
      </c>
    </row>
    <row r="635" spans="1:9" x14ac:dyDescent="0.25">
      <c r="A635" s="9">
        <v>628</v>
      </c>
      <c r="B635" s="10">
        <v>44834</v>
      </c>
      <c r="C635" s="9">
        <v>8</v>
      </c>
      <c r="D635" s="9" t="str">
        <f>"5593"</f>
        <v>5593</v>
      </c>
      <c r="E635" s="9" t="str">
        <f>"Расходы от переоценки операций своп"</f>
        <v>Расходы от переоценки операций своп</v>
      </c>
      <c r="F635" s="9" t="str">
        <f>""</f>
        <v/>
      </c>
      <c r="G635" s="9" t="str">
        <f>""</f>
        <v/>
      </c>
      <c r="H635" s="9" t="str">
        <f>""</f>
        <v/>
      </c>
      <c r="I635" s="11">
        <v>891727697.14999998</v>
      </c>
    </row>
    <row r="636" spans="1:9" x14ac:dyDescent="0.25">
      <c r="A636" s="9">
        <v>629</v>
      </c>
      <c r="B636" s="10">
        <v>44834</v>
      </c>
      <c r="C636" s="9">
        <v>8</v>
      </c>
      <c r="D636" s="9" t="str">
        <f>"5709"</f>
        <v>5709</v>
      </c>
      <c r="E636" s="9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36" s="9" t="str">
        <f>""</f>
        <v/>
      </c>
      <c r="G636" s="9" t="str">
        <f>""</f>
        <v/>
      </c>
      <c r="H636" s="9" t="str">
        <f>""</f>
        <v/>
      </c>
      <c r="I636" s="11">
        <v>361554767.45999998</v>
      </c>
    </row>
    <row r="637" spans="1:9" x14ac:dyDescent="0.25">
      <c r="A637" s="9">
        <v>630</v>
      </c>
      <c r="B637" s="10">
        <v>44834</v>
      </c>
      <c r="C637" s="9">
        <v>8</v>
      </c>
      <c r="D637" s="9" t="str">
        <f>"5601"</f>
        <v>5601</v>
      </c>
      <c r="E637" s="9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7" s="9" t="str">
        <f>""</f>
        <v/>
      </c>
      <c r="G637" s="9" t="str">
        <f>""</f>
        <v/>
      </c>
      <c r="H637" s="9" t="str">
        <f>""</f>
        <v/>
      </c>
      <c r="I637" s="11">
        <v>337673361.75999999</v>
      </c>
    </row>
    <row r="638" spans="1:9" x14ac:dyDescent="0.25">
      <c r="A638" s="9">
        <v>631</v>
      </c>
      <c r="B638" s="10">
        <v>44834</v>
      </c>
      <c r="C638" s="9">
        <v>8</v>
      </c>
      <c r="D638" s="9" t="str">
        <f>"5603"</f>
        <v>5603</v>
      </c>
      <c r="E638" s="9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38" s="9" t="str">
        <f>""</f>
        <v/>
      </c>
      <c r="G638" s="9" t="str">
        <f>""</f>
        <v/>
      </c>
      <c r="H638" s="9" t="str">
        <f>""</f>
        <v/>
      </c>
      <c r="I638" s="11">
        <v>78747529.040000007</v>
      </c>
    </row>
    <row r="639" spans="1:9" x14ac:dyDescent="0.25">
      <c r="A639" s="9">
        <v>632</v>
      </c>
      <c r="B639" s="10">
        <v>44834</v>
      </c>
      <c r="C639" s="9">
        <v>8</v>
      </c>
      <c r="D639" s="9" t="str">
        <f>"5510"</f>
        <v>5510</v>
      </c>
      <c r="E639" s="9" t="str">
        <f>"Расходы по купле-продаже ценных бумаг"</f>
        <v>Расходы по купле-продаже ценных бумаг</v>
      </c>
      <c r="F639" s="9" t="str">
        <f>""</f>
        <v/>
      </c>
      <c r="G639" s="9" t="str">
        <f>""</f>
        <v/>
      </c>
      <c r="H639" s="9" t="str">
        <f>""</f>
        <v/>
      </c>
      <c r="I639" s="11">
        <v>13984425.5</v>
      </c>
    </row>
    <row r="640" spans="1:9" x14ac:dyDescent="0.25">
      <c r="A640" s="9">
        <v>633</v>
      </c>
      <c r="B640" s="10">
        <v>44834</v>
      </c>
      <c r="C640" s="9">
        <v>8</v>
      </c>
      <c r="D640" s="9" t="str">
        <f>"5464"</f>
        <v>5464</v>
      </c>
      <c r="E640" s="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40" s="9" t="str">
        <f>""</f>
        <v/>
      </c>
      <c r="G640" s="9" t="str">
        <f>""</f>
        <v/>
      </c>
      <c r="H640" s="9" t="str">
        <f>""</f>
        <v/>
      </c>
      <c r="I640" s="11">
        <v>318283553.19999999</v>
      </c>
    </row>
    <row r="641" spans="1:9" x14ac:dyDescent="0.25">
      <c r="A641" s="9">
        <v>634</v>
      </c>
      <c r="B641" s="10">
        <v>44834</v>
      </c>
      <c r="C641" s="9">
        <v>8</v>
      </c>
      <c r="D641" s="9" t="str">
        <f>"5069"</f>
        <v>5069</v>
      </c>
      <c r="E641" s="9" t="str">
        <f>"Расходы по амортизации дисконта по полученным займам"</f>
        <v>Расходы по амортизации дисконта по полученным займам</v>
      </c>
      <c r="F641" s="9" t="str">
        <f>""</f>
        <v/>
      </c>
      <c r="G641" s="9" t="str">
        <f>""</f>
        <v/>
      </c>
      <c r="H641" s="9" t="str">
        <f>""</f>
        <v/>
      </c>
      <c r="I641" s="11">
        <v>212799.65</v>
      </c>
    </row>
    <row r="642" spans="1:9" x14ac:dyDescent="0.25">
      <c r="A642" s="9">
        <v>635</v>
      </c>
      <c r="B642" s="10">
        <v>44834</v>
      </c>
      <c r="C642" s="9">
        <v>8</v>
      </c>
      <c r="D642" s="9" t="str">
        <f>"5217"</f>
        <v>5217</v>
      </c>
      <c r="E642" s="9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42" s="9" t="str">
        <f>""</f>
        <v/>
      </c>
      <c r="G642" s="9" t="str">
        <f>""</f>
        <v/>
      </c>
      <c r="H642" s="9" t="str">
        <f>""</f>
        <v/>
      </c>
      <c r="I642" s="11">
        <v>4815768810.0799999</v>
      </c>
    </row>
    <row r="643" spans="1:9" x14ac:dyDescent="0.25">
      <c r="A643" s="9">
        <v>636</v>
      </c>
      <c r="B643" s="10">
        <v>44834</v>
      </c>
      <c r="C643" s="9">
        <v>8</v>
      </c>
      <c r="D643" s="9" t="str">
        <f>"5741"</f>
        <v>5741</v>
      </c>
      <c r="E643" s="9" t="str">
        <f>"Транспортные расходы"</f>
        <v>Транспортные расходы</v>
      </c>
      <c r="F643" s="9" t="str">
        <f>""</f>
        <v/>
      </c>
      <c r="G643" s="9" t="str">
        <f>""</f>
        <v/>
      </c>
      <c r="H643" s="9" t="str">
        <f>""</f>
        <v/>
      </c>
      <c r="I643" s="11">
        <v>88445129.930000007</v>
      </c>
    </row>
    <row r="644" spans="1:9" x14ac:dyDescent="0.25">
      <c r="A644" s="9">
        <v>637</v>
      </c>
      <c r="B644" s="10">
        <v>44834</v>
      </c>
      <c r="C644" s="9">
        <v>8</v>
      </c>
      <c r="D644" s="9" t="str">
        <f>"5453"</f>
        <v>5453</v>
      </c>
      <c r="E644" s="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44" s="9" t="str">
        <f>""</f>
        <v/>
      </c>
      <c r="G644" s="9" t="str">
        <f>""</f>
        <v/>
      </c>
      <c r="H644" s="9" t="str">
        <f>""</f>
        <v/>
      </c>
      <c r="I644" s="11">
        <v>1269582611.8299999</v>
      </c>
    </row>
    <row r="645" spans="1:9" x14ac:dyDescent="0.25">
      <c r="A645" s="9">
        <v>638</v>
      </c>
      <c r="B645" s="10">
        <v>44834</v>
      </c>
      <c r="C645" s="9">
        <v>8</v>
      </c>
      <c r="D645" s="9" t="str">
        <f>"5530"</f>
        <v>5530</v>
      </c>
      <c r="E645" s="9" t="str">
        <f>"Расходы по купле-продаже иностранной валюты"</f>
        <v>Расходы по купле-продаже иностранной валюты</v>
      </c>
      <c r="F645" s="9" t="str">
        <f>""</f>
        <v/>
      </c>
      <c r="G645" s="9" t="str">
        <f>""</f>
        <v/>
      </c>
      <c r="H645" s="9" t="str">
        <f>""</f>
        <v/>
      </c>
      <c r="I645" s="11">
        <v>17799354239.880001</v>
      </c>
    </row>
    <row r="646" spans="1:9" x14ac:dyDescent="0.25">
      <c r="A646" s="9">
        <v>639</v>
      </c>
      <c r="B646" s="10">
        <v>44834</v>
      </c>
      <c r="C646" s="9">
        <v>8</v>
      </c>
      <c r="D646" s="9" t="str">
        <f>"5608"</f>
        <v>5608</v>
      </c>
      <c r="E646" s="9" t="str">
        <f>"Прочие комиссионные расходы"</f>
        <v>Прочие комиссионные расходы</v>
      </c>
      <c r="F646" s="9" t="str">
        <f>""</f>
        <v/>
      </c>
      <c r="G646" s="9" t="str">
        <f>""</f>
        <v/>
      </c>
      <c r="H646" s="9" t="str">
        <f>""</f>
        <v/>
      </c>
      <c r="I646" s="11">
        <v>319628112.80000001</v>
      </c>
    </row>
    <row r="647" spans="1:9" x14ac:dyDescent="0.25">
      <c r="A647" s="9">
        <v>640</v>
      </c>
      <c r="B647" s="10">
        <v>44834</v>
      </c>
      <c r="C647" s="9">
        <v>8</v>
      </c>
      <c r="D647" s="9" t="str">
        <f>"5607"</f>
        <v>5607</v>
      </c>
      <c r="E647" s="9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47" s="9" t="str">
        <f>""</f>
        <v/>
      </c>
      <c r="G647" s="9" t="str">
        <f>""</f>
        <v/>
      </c>
      <c r="H647" s="9" t="str">
        <f>""</f>
        <v/>
      </c>
      <c r="I647" s="11">
        <v>845891118.14999998</v>
      </c>
    </row>
    <row r="648" spans="1:9" x14ac:dyDescent="0.25">
      <c r="A648" s="9">
        <v>641</v>
      </c>
      <c r="B648" s="10">
        <v>44834</v>
      </c>
      <c r="C648" s="9">
        <v>8</v>
      </c>
      <c r="D648" s="9" t="str">
        <f>"5704"</f>
        <v>5704</v>
      </c>
      <c r="E648" s="9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8" s="9" t="str">
        <f>""</f>
        <v/>
      </c>
      <c r="G648" s="9" t="str">
        <f>""</f>
        <v/>
      </c>
      <c r="H648" s="9" t="str">
        <f>""</f>
        <v/>
      </c>
      <c r="I648" s="11">
        <v>1802473892.78</v>
      </c>
    </row>
    <row r="649" spans="1:9" x14ac:dyDescent="0.25">
      <c r="A649" s="9">
        <v>642</v>
      </c>
      <c r="B649" s="10">
        <v>44834</v>
      </c>
      <c r="C649" s="9">
        <v>8</v>
      </c>
      <c r="D649" s="9" t="str">
        <f>"5748"</f>
        <v>5748</v>
      </c>
      <c r="E649" s="9" t="str">
        <f>"Прочие общехозяйственные расходы"</f>
        <v>Прочие общехозяйственные расходы</v>
      </c>
      <c r="F649" s="9" t="str">
        <f>""</f>
        <v/>
      </c>
      <c r="G649" s="9" t="str">
        <f>""</f>
        <v/>
      </c>
      <c r="H649" s="9" t="str">
        <f>""</f>
        <v/>
      </c>
      <c r="I649" s="11">
        <v>293310050.48000002</v>
      </c>
    </row>
    <row r="650" spans="1:9" x14ac:dyDescent="0.25">
      <c r="A650" s="9">
        <v>643</v>
      </c>
      <c r="B650" s="10">
        <v>44834</v>
      </c>
      <c r="C650" s="9">
        <v>8</v>
      </c>
      <c r="D650" s="9" t="str">
        <f>"5749"</f>
        <v>5749</v>
      </c>
      <c r="E650" s="9" t="str">
        <f>"Расходы на служебные командировки"</f>
        <v>Расходы на служебные командировки</v>
      </c>
      <c r="F650" s="9" t="str">
        <f>""</f>
        <v/>
      </c>
      <c r="G650" s="9" t="str">
        <f>""</f>
        <v/>
      </c>
      <c r="H650" s="9" t="str">
        <f>""</f>
        <v/>
      </c>
      <c r="I650" s="11">
        <v>36674235.439999998</v>
      </c>
    </row>
    <row r="651" spans="1:9" x14ac:dyDescent="0.25">
      <c r="A651" s="9">
        <v>644</v>
      </c>
      <c r="B651" s="10">
        <v>44834</v>
      </c>
      <c r="C651" s="9">
        <v>8</v>
      </c>
      <c r="D651" s="9" t="str">
        <f>"5752"</f>
        <v>5752</v>
      </c>
      <c r="E651" s="9" t="str">
        <f>"Расходы по страхованию"</f>
        <v>Расходы по страхованию</v>
      </c>
      <c r="F651" s="9" t="str">
        <f>""</f>
        <v/>
      </c>
      <c r="G651" s="9" t="str">
        <f>""</f>
        <v/>
      </c>
      <c r="H651" s="9" t="str">
        <f>""</f>
        <v/>
      </c>
      <c r="I651" s="11">
        <v>103357306.13</v>
      </c>
    </row>
    <row r="652" spans="1:9" x14ac:dyDescent="0.25">
      <c r="A652" s="9">
        <v>645</v>
      </c>
      <c r="B652" s="10">
        <v>44834</v>
      </c>
      <c r="C652" s="9">
        <v>8</v>
      </c>
      <c r="D652" s="9" t="str">
        <f>"5761"</f>
        <v>5761</v>
      </c>
      <c r="E652" s="9" t="str">
        <f>"Налог на добавленную стоимость"</f>
        <v>Налог на добавленную стоимость</v>
      </c>
      <c r="F652" s="9" t="str">
        <f>""</f>
        <v/>
      </c>
      <c r="G652" s="9" t="str">
        <f>""</f>
        <v/>
      </c>
      <c r="H652" s="9" t="str">
        <f>""</f>
        <v/>
      </c>
      <c r="I652" s="11">
        <v>574020123.87</v>
      </c>
    </row>
    <row r="653" spans="1:9" x14ac:dyDescent="0.25">
      <c r="A653" s="9">
        <v>646</v>
      </c>
      <c r="B653" s="10">
        <v>44834</v>
      </c>
      <c r="C653" s="9">
        <v>8</v>
      </c>
      <c r="D653" s="9" t="str">
        <f>"5753"</f>
        <v>5753</v>
      </c>
      <c r="E653" s="9" t="str">
        <f>"Расходы по услугам связи"</f>
        <v>Расходы по услугам связи</v>
      </c>
      <c r="F653" s="9" t="str">
        <f>""</f>
        <v/>
      </c>
      <c r="G653" s="9" t="str">
        <f>""</f>
        <v/>
      </c>
      <c r="H653" s="9" t="str">
        <f>""</f>
        <v/>
      </c>
      <c r="I653" s="11">
        <v>247198060.65000001</v>
      </c>
    </row>
    <row r="654" spans="1:9" x14ac:dyDescent="0.25">
      <c r="A654" s="9">
        <v>647</v>
      </c>
      <c r="B654" s="10">
        <v>44834</v>
      </c>
      <c r="C654" s="9">
        <v>8</v>
      </c>
      <c r="D654" s="9" t="str">
        <f>"5786"</f>
        <v>5786</v>
      </c>
      <c r="E654" s="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54" s="9" t="str">
        <f>""</f>
        <v/>
      </c>
      <c r="G654" s="9" t="str">
        <f>""</f>
        <v/>
      </c>
      <c r="H654" s="9" t="str">
        <f>""</f>
        <v/>
      </c>
      <c r="I654" s="11">
        <v>19984051.149999999</v>
      </c>
    </row>
    <row r="655" spans="1:9" x14ac:dyDescent="0.25">
      <c r="A655" s="9">
        <v>648</v>
      </c>
      <c r="B655" s="10">
        <v>44834</v>
      </c>
      <c r="C655" s="9">
        <v>8</v>
      </c>
      <c r="D655" s="9" t="str">
        <f>"5754"</f>
        <v>5754</v>
      </c>
      <c r="E655" s="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55" s="9" t="str">
        <f>""</f>
        <v/>
      </c>
      <c r="G655" s="9" t="str">
        <f>""</f>
        <v/>
      </c>
      <c r="H655" s="9" t="str">
        <f>""</f>
        <v/>
      </c>
      <c r="I655" s="11">
        <v>1726371954.9000001</v>
      </c>
    </row>
    <row r="656" spans="1:9" x14ac:dyDescent="0.25">
      <c r="A656" s="9">
        <v>649</v>
      </c>
      <c r="B656" s="10">
        <v>44834</v>
      </c>
      <c r="C656" s="9">
        <v>8</v>
      </c>
      <c r="D656" s="9" t="str">
        <f>"5788"</f>
        <v>5788</v>
      </c>
      <c r="E656" s="9" t="str">
        <f>"Расходы по амортизации нематериальных активов"</f>
        <v>Расходы по амортизации нематериальных активов</v>
      </c>
      <c r="F656" s="9" t="str">
        <f>""</f>
        <v/>
      </c>
      <c r="G656" s="9" t="str">
        <f>""</f>
        <v/>
      </c>
      <c r="H656" s="9" t="str">
        <f>""</f>
        <v/>
      </c>
      <c r="I656" s="11">
        <v>198201837.91</v>
      </c>
    </row>
    <row r="657" spans="1:9" x14ac:dyDescent="0.25">
      <c r="A657" s="9">
        <v>650</v>
      </c>
      <c r="B657" s="10">
        <v>44834</v>
      </c>
      <c r="C657" s="9">
        <v>8</v>
      </c>
      <c r="D657" s="9" t="str">
        <f>"5763"</f>
        <v>5763</v>
      </c>
      <c r="E657" s="9" t="str">
        <f>"Социальный налог"</f>
        <v>Социальный налог</v>
      </c>
      <c r="F657" s="9" t="str">
        <f>""</f>
        <v/>
      </c>
      <c r="G657" s="9" t="str">
        <f>""</f>
        <v/>
      </c>
      <c r="H657" s="9" t="str">
        <f>""</f>
        <v/>
      </c>
      <c r="I657" s="11">
        <v>626966426.24000001</v>
      </c>
    </row>
    <row r="658" spans="1:9" x14ac:dyDescent="0.25">
      <c r="A658" s="9">
        <v>651</v>
      </c>
      <c r="B658" s="10">
        <v>44834</v>
      </c>
      <c r="C658" s="9">
        <v>8</v>
      </c>
      <c r="D658" s="9" t="str">
        <f>"5721"</f>
        <v>5721</v>
      </c>
      <c r="E658" s="9" t="str">
        <f>"Расходы по оплате труда"</f>
        <v>Расходы по оплате труда</v>
      </c>
      <c r="F658" s="9" t="str">
        <f>""</f>
        <v/>
      </c>
      <c r="G658" s="9" t="str">
        <f>""</f>
        <v/>
      </c>
      <c r="H658" s="9" t="str">
        <f>""</f>
        <v/>
      </c>
      <c r="I658" s="11">
        <v>7863121378.4799995</v>
      </c>
    </row>
    <row r="659" spans="1:9" x14ac:dyDescent="0.25">
      <c r="A659" s="9">
        <v>652</v>
      </c>
      <c r="B659" s="10">
        <v>44834</v>
      </c>
      <c r="C659" s="9">
        <v>8</v>
      </c>
      <c r="D659" s="9" t="str">
        <f>"5765"</f>
        <v>5765</v>
      </c>
      <c r="E659" s="9" t="str">
        <f>"Налог на имущество юридических лиц"</f>
        <v>Налог на имущество юридических лиц</v>
      </c>
      <c r="F659" s="9" t="str">
        <f>""</f>
        <v/>
      </c>
      <c r="G659" s="9" t="str">
        <f>""</f>
        <v/>
      </c>
      <c r="H659" s="9" t="str">
        <f>""</f>
        <v/>
      </c>
      <c r="I659" s="11">
        <v>523919314</v>
      </c>
    </row>
    <row r="660" spans="1:9" x14ac:dyDescent="0.25">
      <c r="A660" s="9">
        <v>653</v>
      </c>
      <c r="B660" s="10">
        <v>44834</v>
      </c>
      <c r="C660" s="9">
        <v>8</v>
      </c>
      <c r="D660" s="9" t="str">
        <f>"5733"</f>
        <v>5733</v>
      </c>
      <c r="E660" s="9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60" s="9" t="str">
        <f>""</f>
        <v/>
      </c>
      <c r="G660" s="9" t="str">
        <f>""</f>
        <v/>
      </c>
      <c r="H660" s="9" t="str">
        <f>""</f>
        <v/>
      </c>
      <c r="I660" s="11">
        <v>747231060.54999995</v>
      </c>
    </row>
    <row r="661" spans="1:9" x14ac:dyDescent="0.25">
      <c r="A661" s="9">
        <v>654</v>
      </c>
      <c r="B661" s="10">
        <v>44834</v>
      </c>
      <c r="C661" s="9">
        <v>8</v>
      </c>
      <c r="D661" s="9" t="str">
        <f>"5750"</f>
        <v>5750</v>
      </c>
      <c r="E661" s="9" t="str">
        <f>"Расходы по аудиту и консультационным услугам"</f>
        <v>Расходы по аудиту и консультационным услугам</v>
      </c>
      <c r="F661" s="9" t="str">
        <f>""</f>
        <v/>
      </c>
      <c r="G661" s="9" t="str">
        <f>""</f>
        <v/>
      </c>
      <c r="H661" s="9" t="str">
        <f>""</f>
        <v/>
      </c>
      <c r="I661" s="11">
        <v>100974994.61</v>
      </c>
    </row>
    <row r="662" spans="1:9" x14ac:dyDescent="0.25">
      <c r="A662" s="9">
        <v>655</v>
      </c>
      <c r="B662" s="10">
        <v>44834</v>
      </c>
      <c r="C662" s="9">
        <v>8</v>
      </c>
      <c r="D662" s="9" t="str">
        <f>"5787"</f>
        <v>5787</v>
      </c>
      <c r="E662" s="9" t="str">
        <f>"Расходы по амортизации транспортных средств"</f>
        <v>Расходы по амортизации транспортных средств</v>
      </c>
      <c r="F662" s="9" t="str">
        <f>""</f>
        <v/>
      </c>
      <c r="G662" s="9" t="str">
        <f>""</f>
        <v/>
      </c>
      <c r="H662" s="9" t="str">
        <f>""</f>
        <v/>
      </c>
      <c r="I662" s="11">
        <v>37889674.75</v>
      </c>
    </row>
    <row r="663" spans="1:9" x14ac:dyDescent="0.25">
      <c r="A663" s="9">
        <v>656</v>
      </c>
      <c r="B663" s="10">
        <v>44834</v>
      </c>
      <c r="C663" s="9">
        <v>8</v>
      </c>
      <c r="D663" s="9" t="str">
        <f>"5744"</f>
        <v>5744</v>
      </c>
      <c r="E663" s="9" t="str">
        <f>"Расходы на ремонт"</f>
        <v>Расходы на ремонт</v>
      </c>
      <c r="F663" s="9" t="str">
        <f>""</f>
        <v/>
      </c>
      <c r="G663" s="9" t="str">
        <f>""</f>
        <v/>
      </c>
      <c r="H663" s="9" t="str">
        <f>""</f>
        <v/>
      </c>
      <c r="I663" s="11">
        <v>1373593674.0899999</v>
      </c>
    </row>
    <row r="664" spans="1:9" x14ac:dyDescent="0.25">
      <c r="A664" s="9">
        <v>657</v>
      </c>
      <c r="B664" s="10">
        <v>44834</v>
      </c>
      <c r="C664" s="9">
        <v>8</v>
      </c>
      <c r="D664" s="9" t="str">
        <f>"5722"</f>
        <v>5722</v>
      </c>
      <c r="E664" s="9" t="str">
        <f>"Социальные отчисления"</f>
        <v>Социальные отчисления</v>
      </c>
      <c r="F664" s="9" t="str">
        <f>""</f>
        <v/>
      </c>
      <c r="G664" s="9" t="str">
        <f>""</f>
        <v/>
      </c>
      <c r="H664" s="9" t="str">
        <f>""</f>
        <v/>
      </c>
      <c r="I664" s="11">
        <v>228059267</v>
      </c>
    </row>
    <row r="665" spans="1:9" x14ac:dyDescent="0.25">
      <c r="A665" s="9">
        <v>658</v>
      </c>
      <c r="B665" s="10">
        <v>44834</v>
      </c>
      <c r="C665" s="9">
        <v>8</v>
      </c>
      <c r="D665" s="9" t="str">
        <f>"5743"</f>
        <v>5743</v>
      </c>
      <c r="E665" s="9" t="str">
        <f>"Расходы на инкассацию"</f>
        <v>Расходы на инкассацию</v>
      </c>
      <c r="F665" s="9" t="str">
        <f>""</f>
        <v/>
      </c>
      <c r="G665" s="9" t="str">
        <f>""</f>
        <v/>
      </c>
      <c r="H665" s="9" t="str">
        <f>""</f>
        <v/>
      </c>
      <c r="I665" s="11">
        <v>71699400.560000002</v>
      </c>
    </row>
    <row r="666" spans="1:9" x14ac:dyDescent="0.25">
      <c r="A666" s="9">
        <v>659</v>
      </c>
      <c r="B666" s="10">
        <v>44834</v>
      </c>
      <c r="C666" s="9">
        <v>8</v>
      </c>
      <c r="D666" s="9" t="str">
        <f>"5540"</f>
        <v>5540</v>
      </c>
      <c r="E666" s="9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66" s="9" t="str">
        <f>""</f>
        <v/>
      </c>
      <c r="G666" s="9" t="str">
        <f>""</f>
        <v/>
      </c>
      <c r="H666" s="9" t="str">
        <f>""</f>
        <v/>
      </c>
      <c r="I666" s="11">
        <v>178366618.06</v>
      </c>
    </row>
    <row r="667" spans="1:9" x14ac:dyDescent="0.25">
      <c r="A667" s="9">
        <v>660</v>
      </c>
      <c r="B667" s="10">
        <v>44834</v>
      </c>
      <c r="C667" s="9">
        <v>8</v>
      </c>
      <c r="D667" s="9" t="str">
        <f>"5703"</f>
        <v>5703</v>
      </c>
      <c r="E667" s="9" t="str">
        <f>"Расходы от переоценки иностранной валюты"</f>
        <v>Расходы от переоценки иностранной валюты</v>
      </c>
      <c r="F667" s="9" t="str">
        <f>""</f>
        <v/>
      </c>
      <c r="G667" s="9" t="str">
        <f>""</f>
        <v/>
      </c>
      <c r="H667" s="9" t="str">
        <f>""</f>
        <v/>
      </c>
      <c r="I667" s="11">
        <v>811460122983.48999</v>
      </c>
    </row>
    <row r="668" spans="1:9" x14ac:dyDescent="0.25">
      <c r="A668" s="9">
        <v>661</v>
      </c>
      <c r="B668" s="10">
        <v>44834</v>
      </c>
      <c r="C668" s="9">
        <v>8</v>
      </c>
      <c r="D668" s="9" t="str">
        <f>"5745"</f>
        <v>5745</v>
      </c>
      <c r="E668" s="9" t="str">
        <f>"Расходы на рекламу"</f>
        <v>Расходы на рекламу</v>
      </c>
      <c r="F668" s="9" t="str">
        <f>""</f>
        <v/>
      </c>
      <c r="G668" s="9" t="str">
        <f>""</f>
        <v/>
      </c>
      <c r="H668" s="9" t="str">
        <f>""</f>
        <v/>
      </c>
      <c r="I668" s="11">
        <v>216017512.02000001</v>
      </c>
    </row>
    <row r="669" spans="1:9" x14ac:dyDescent="0.25">
      <c r="A669" s="9">
        <v>662</v>
      </c>
      <c r="B669" s="10">
        <v>44834</v>
      </c>
      <c r="C669" s="9">
        <v>8</v>
      </c>
      <c r="D669" s="9" t="str">
        <f>"5852"</f>
        <v>5852</v>
      </c>
      <c r="E669" s="9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69" s="9" t="str">
        <f>""</f>
        <v/>
      </c>
      <c r="G669" s="9" t="str">
        <f>""</f>
        <v/>
      </c>
      <c r="H669" s="9" t="str">
        <f>""</f>
        <v/>
      </c>
      <c r="I669" s="11">
        <v>206067799.53</v>
      </c>
    </row>
    <row r="670" spans="1:9" x14ac:dyDescent="0.25">
      <c r="A670" s="9">
        <v>663</v>
      </c>
      <c r="B670" s="10">
        <v>44834</v>
      </c>
      <c r="C670" s="9">
        <v>8</v>
      </c>
      <c r="D670" s="9" t="str">
        <f>"5766"</f>
        <v>5766</v>
      </c>
      <c r="E670" s="9" t="str">
        <f>"Налог на транспортные средства"</f>
        <v>Налог на транспортные средства</v>
      </c>
      <c r="F670" s="9" t="str">
        <f>""</f>
        <v/>
      </c>
      <c r="G670" s="9" t="str">
        <f>""</f>
        <v/>
      </c>
      <c r="H670" s="9" t="str">
        <f>""</f>
        <v/>
      </c>
      <c r="I670" s="11">
        <v>7088092</v>
      </c>
    </row>
    <row r="671" spans="1:9" x14ac:dyDescent="0.25">
      <c r="A671" s="9">
        <v>664</v>
      </c>
      <c r="B671" s="10">
        <v>44834</v>
      </c>
      <c r="C671" s="9">
        <v>8</v>
      </c>
      <c r="D671" s="9" t="str">
        <f>"5781"</f>
        <v>5781</v>
      </c>
      <c r="E671" s="9" t="str">
        <f>"Расходы по амортизации зданий и сооружений"</f>
        <v>Расходы по амортизации зданий и сооружений</v>
      </c>
      <c r="F671" s="9" t="str">
        <f>""</f>
        <v/>
      </c>
      <c r="G671" s="9" t="str">
        <f>""</f>
        <v/>
      </c>
      <c r="H671" s="9" t="str">
        <f>""</f>
        <v/>
      </c>
      <c r="I671" s="11">
        <v>170818098.08000001</v>
      </c>
    </row>
    <row r="672" spans="1:9" x14ac:dyDescent="0.25">
      <c r="A672" s="9">
        <v>665</v>
      </c>
      <c r="B672" s="10">
        <v>44834</v>
      </c>
      <c r="C672" s="9">
        <v>8</v>
      </c>
      <c r="D672" s="9" t="str">
        <f>"5747"</f>
        <v>5747</v>
      </c>
      <c r="E672" s="9" t="str">
        <f>"Представительские расходы"</f>
        <v>Представительские расходы</v>
      </c>
      <c r="F672" s="9" t="str">
        <f>""</f>
        <v/>
      </c>
      <c r="G672" s="9" t="str">
        <f>""</f>
        <v/>
      </c>
      <c r="H672" s="9" t="str">
        <f>""</f>
        <v/>
      </c>
      <c r="I672" s="11">
        <v>4207329.62</v>
      </c>
    </row>
    <row r="673" spans="1:9" x14ac:dyDescent="0.25">
      <c r="A673" s="9">
        <v>666</v>
      </c>
      <c r="B673" s="10">
        <v>44834</v>
      </c>
      <c r="C673" s="9">
        <v>8</v>
      </c>
      <c r="D673" s="9" t="str">
        <f>"5926"</f>
        <v>5926</v>
      </c>
      <c r="E673" s="9" t="str">
        <f>"Расходы по привилегированным акциям"</f>
        <v>Расходы по привилегированным акциям</v>
      </c>
      <c r="F673" s="9" t="str">
        <f>""</f>
        <v/>
      </c>
      <c r="G673" s="9" t="str">
        <f>""</f>
        <v/>
      </c>
      <c r="H673" s="9" t="str">
        <f>""</f>
        <v/>
      </c>
      <c r="I673" s="11">
        <v>503000000</v>
      </c>
    </row>
    <row r="674" spans="1:9" x14ac:dyDescent="0.25">
      <c r="A674" s="9">
        <v>667</v>
      </c>
      <c r="B674" s="10">
        <v>44834</v>
      </c>
      <c r="C674" s="9">
        <v>8</v>
      </c>
      <c r="D674" s="9" t="str">
        <f>"5999"</f>
        <v>5999</v>
      </c>
      <c r="E674" s="9" t="str">
        <f>"Корпоративный подоходный налог"</f>
        <v>Корпоративный подоходный налог</v>
      </c>
      <c r="F674" s="9" t="str">
        <f>""</f>
        <v/>
      </c>
      <c r="G674" s="9" t="str">
        <f>""</f>
        <v/>
      </c>
      <c r="H674" s="9" t="str">
        <f>""</f>
        <v/>
      </c>
      <c r="I674" s="11">
        <v>1895024529</v>
      </c>
    </row>
    <row r="675" spans="1:9" x14ac:dyDescent="0.25">
      <c r="A675" s="9">
        <v>668</v>
      </c>
      <c r="B675" s="10">
        <v>44834</v>
      </c>
      <c r="C675" s="9">
        <v>8</v>
      </c>
      <c r="D675" s="9" t="str">
        <f>"6020"</f>
        <v>6020</v>
      </c>
      <c r="E675" s="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675" s="9" t="str">
        <f>""</f>
        <v/>
      </c>
      <c r="G675" s="9" t="str">
        <f>""</f>
        <v/>
      </c>
      <c r="H675" s="9" t="str">
        <f>""</f>
        <v/>
      </c>
      <c r="I675" s="11">
        <v>2089848330.3800001</v>
      </c>
    </row>
    <row r="676" spans="1:9" x14ac:dyDescent="0.25">
      <c r="A676" s="9">
        <v>669</v>
      </c>
      <c r="B676" s="10">
        <v>44834</v>
      </c>
      <c r="C676" s="9">
        <v>8</v>
      </c>
      <c r="D676" s="9" t="str">
        <f>"5742"</f>
        <v>5742</v>
      </c>
      <c r="E676" s="9" t="str">
        <f>"Административные расходы"</f>
        <v>Административные расходы</v>
      </c>
      <c r="F676" s="9" t="str">
        <f>""</f>
        <v/>
      </c>
      <c r="G676" s="9" t="str">
        <f>""</f>
        <v/>
      </c>
      <c r="H676" s="9" t="str">
        <f>""</f>
        <v/>
      </c>
      <c r="I676" s="11">
        <v>1798113250.95</v>
      </c>
    </row>
    <row r="677" spans="1:9" x14ac:dyDescent="0.25">
      <c r="A677" s="9">
        <v>670</v>
      </c>
      <c r="B677" s="10">
        <v>44834</v>
      </c>
      <c r="C677" s="9">
        <v>8</v>
      </c>
      <c r="D677" s="9" t="str">
        <f>"5610"</f>
        <v>5610</v>
      </c>
      <c r="E677" s="9" t="str">
        <f>"Комиссионные расходы по документарным расчетам"</f>
        <v>Комиссионные расходы по документарным расчетам</v>
      </c>
      <c r="F677" s="9" t="str">
        <f>""</f>
        <v/>
      </c>
      <c r="G677" s="9" t="str">
        <f>""</f>
        <v/>
      </c>
      <c r="H677" s="9" t="str">
        <f>""</f>
        <v/>
      </c>
      <c r="I677" s="11">
        <v>12642428.699999999</v>
      </c>
    </row>
    <row r="678" spans="1:9" x14ac:dyDescent="0.25">
      <c r="A678" s="9">
        <v>671</v>
      </c>
      <c r="B678" s="10">
        <v>44834</v>
      </c>
      <c r="C678" s="9">
        <v>8</v>
      </c>
      <c r="D678" s="9" t="str">
        <f>"5764"</f>
        <v>5764</v>
      </c>
      <c r="E678" s="9" t="str">
        <f>"Земельный налог"</f>
        <v>Земельный налог</v>
      </c>
      <c r="F678" s="9" t="str">
        <f>""</f>
        <v/>
      </c>
      <c r="G678" s="9" t="str">
        <f>""</f>
        <v/>
      </c>
      <c r="H678" s="9" t="str">
        <f>""</f>
        <v/>
      </c>
      <c r="I678" s="11">
        <v>3135730</v>
      </c>
    </row>
    <row r="679" spans="1:9" x14ac:dyDescent="0.25">
      <c r="A679" s="9">
        <v>672</v>
      </c>
      <c r="B679" s="10">
        <v>44834</v>
      </c>
      <c r="C679" s="9">
        <v>8</v>
      </c>
      <c r="D679" s="9" t="str">
        <f>"5729"</f>
        <v>5729</v>
      </c>
      <c r="E679" s="9" t="str">
        <f>"Прочие выплаты"</f>
        <v>Прочие выплаты</v>
      </c>
      <c r="F679" s="9" t="str">
        <f>""</f>
        <v/>
      </c>
      <c r="G679" s="9" t="str">
        <f>""</f>
        <v/>
      </c>
      <c r="H679" s="9" t="str">
        <f>""</f>
        <v/>
      </c>
      <c r="I679" s="11">
        <v>55775349.609999999</v>
      </c>
    </row>
    <row r="680" spans="1:9" x14ac:dyDescent="0.25">
      <c r="A680" s="9">
        <v>673</v>
      </c>
      <c r="B680" s="10">
        <v>44834</v>
      </c>
      <c r="C680" s="9">
        <v>8</v>
      </c>
      <c r="D680" s="9" t="str">
        <f>"5895"</f>
        <v>5895</v>
      </c>
      <c r="E680" s="9" t="str">
        <f>"Расходы по операциям своп"</f>
        <v>Расходы по операциям своп</v>
      </c>
      <c r="F680" s="9" t="str">
        <f>""</f>
        <v/>
      </c>
      <c r="G680" s="9" t="str">
        <f>""</f>
        <v/>
      </c>
      <c r="H680" s="9" t="str">
        <f>""</f>
        <v/>
      </c>
      <c r="I680" s="11">
        <v>4037063358.02</v>
      </c>
    </row>
    <row r="681" spans="1:9" x14ac:dyDescent="0.25">
      <c r="A681" s="9">
        <v>674</v>
      </c>
      <c r="B681" s="10">
        <v>44834</v>
      </c>
      <c r="C681" s="9">
        <v>8</v>
      </c>
      <c r="D681" s="9" t="str">
        <f>"5900"</f>
        <v>5900</v>
      </c>
      <c r="E681" s="9" t="str">
        <f>"Неустойка (штраф, пеня)"</f>
        <v>Неустойка (штраф, пеня)</v>
      </c>
      <c r="F681" s="9" t="str">
        <f>""</f>
        <v/>
      </c>
      <c r="G681" s="9" t="str">
        <f>""</f>
        <v/>
      </c>
      <c r="H681" s="9" t="str">
        <f>""</f>
        <v/>
      </c>
      <c r="I681" s="11">
        <v>538529.65</v>
      </c>
    </row>
    <row r="682" spans="1:9" x14ac:dyDescent="0.25">
      <c r="A682" s="9">
        <v>675</v>
      </c>
      <c r="B682" s="10">
        <v>44834</v>
      </c>
      <c r="C682" s="9">
        <v>8</v>
      </c>
      <c r="D682" s="9" t="str">
        <f>"5782"</f>
        <v>5782</v>
      </c>
      <c r="E682" s="9" t="str">
        <f>"Расходы по амортизации компьютерного оборудования"</f>
        <v>Расходы по амортизации компьютерного оборудования</v>
      </c>
      <c r="F682" s="9" t="str">
        <f>""</f>
        <v/>
      </c>
      <c r="G682" s="9" t="str">
        <f>""</f>
        <v/>
      </c>
      <c r="H682" s="9" t="str">
        <f>""</f>
        <v/>
      </c>
      <c r="I682" s="11">
        <v>144710599.13</v>
      </c>
    </row>
    <row r="683" spans="1:9" x14ac:dyDescent="0.25">
      <c r="A683" s="9">
        <v>676</v>
      </c>
      <c r="B683" s="10">
        <v>44834</v>
      </c>
      <c r="C683" s="9">
        <v>8</v>
      </c>
      <c r="D683" s="9" t="str">
        <f>"5570"</f>
        <v>5570</v>
      </c>
      <c r="E683" s="9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683" s="9" t="str">
        <f>""</f>
        <v/>
      </c>
      <c r="G683" s="9" t="str">
        <f>""</f>
        <v/>
      </c>
      <c r="H683" s="9" t="str">
        <f>""</f>
        <v/>
      </c>
      <c r="I683" s="11">
        <v>54671992.539999999</v>
      </c>
    </row>
    <row r="684" spans="1:9" x14ac:dyDescent="0.25">
      <c r="A684" s="9">
        <v>677</v>
      </c>
      <c r="B684" s="10">
        <v>44834</v>
      </c>
      <c r="C684" s="9">
        <v>8</v>
      </c>
      <c r="D684" s="9" t="str">
        <f>"5784"</f>
        <v>5784</v>
      </c>
      <c r="E684" s="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84" s="9" t="str">
        <f>""</f>
        <v/>
      </c>
      <c r="G684" s="9" t="str">
        <f>""</f>
        <v/>
      </c>
      <c r="H684" s="9" t="str">
        <f>""</f>
        <v/>
      </c>
      <c r="I684" s="11">
        <v>241857760.13</v>
      </c>
    </row>
    <row r="685" spans="1:9" x14ac:dyDescent="0.25">
      <c r="A685" s="9">
        <v>678</v>
      </c>
      <c r="B685" s="10">
        <v>44834</v>
      </c>
      <c r="C685" s="9">
        <v>8</v>
      </c>
      <c r="D685" s="9" t="str">
        <f>"5923"</f>
        <v>5923</v>
      </c>
      <c r="E685" s="9" t="str">
        <f>"Расходы по аренде"</f>
        <v>Расходы по аренде</v>
      </c>
      <c r="F685" s="9" t="str">
        <f>""</f>
        <v/>
      </c>
      <c r="G685" s="9" t="str">
        <f>""</f>
        <v/>
      </c>
      <c r="H685" s="9" t="str">
        <f>""</f>
        <v/>
      </c>
      <c r="I685" s="11">
        <v>50985937.039999999</v>
      </c>
    </row>
    <row r="686" spans="1:9" x14ac:dyDescent="0.25">
      <c r="A686" s="9">
        <v>679</v>
      </c>
      <c r="B686" s="10">
        <v>44834</v>
      </c>
      <c r="C686" s="9">
        <v>8</v>
      </c>
      <c r="D686" s="9" t="str">
        <f>"5768"</f>
        <v>5768</v>
      </c>
      <c r="E686" s="9" t="str">
        <f>"Прочие налоги и обязательные платежи в бюджет"</f>
        <v>Прочие налоги и обязательные платежи в бюджет</v>
      </c>
      <c r="F686" s="9" t="str">
        <f>""</f>
        <v/>
      </c>
      <c r="G686" s="9" t="str">
        <f>""</f>
        <v/>
      </c>
      <c r="H686" s="9" t="str">
        <f>""</f>
        <v/>
      </c>
      <c r="I686" s="11">
        <v>57432993.600000001</v>
      </c>
    </row>
    <row r="687" spans="1:9" x14ac:dyDescent="0.25">
      <c r="A687" s="9">
        <v>680</v>
      </c>
      <c r="B687" s="10">
        <v>44834</v>
      </c>
      <c r="C687" s="9">
        <v>8</v>
      </c>
      <c r="D687" s="9" t="str">
        <f>"5783"</f>
        <v>5783</v>
      </c>
      <c r="E687" s="9" t="str">
        <f>"Расходы по амортизации прочих основных средств"</f>
        <v>Расходы по амортизации прочих основных средств</v>
      </c>
      <c r="F687" s="9" t="str">
        <f>""</f>
        <v/>
      </c>
      <c r="G687" s="9" t="str">
        <f>""</f>
        <v/>
      </c>
      <c r="H687" s="9" t="str">
        <f>""</f>
        <v/>
      </c>
      <c r="I687" s="11">
        <v>351513912.44</v>
      </c>
    </row>
    <row r="688" spans="1:9" x14ac:dyDescent="0.25">
      <c r="A688" s="9">
        <v>681</v>
      </c>
      <c r="B688" s="10">
        <v>44834</v>
      </c>
      <c r="C688" s="9">
        <v>8</v>
      </c>
      <c r="D688" s="9" t="str">
        <f>"5921"</f>
        <v>5921</v>
      </c>
      <c r="E688" s="9" t="str">
        <f>"Прочие расходы от банковской деятельности"</f>
        <v>Прочие расходы от банковской деятельности</v>
      </c>
      <c r="F688" s="9" t="str">
        <f>""</f>
        <v/>
      </c>
      <c r="G688" s="9" t="str">
        <f>""</f>
        <v/>
      </c>
      <c r="H688" s="9" t="str">
        <f>""</f>
        <v/>
      </c>
      <c r="I688" s="11">
        <v>1884492665.6199999</v>
      </c>
    </row>
    <row r="689" spans="1:9" x14ac:dyDescent="0.25">
      <c r="A689" s="9">
        <v>682</v>
      </c>
      <c r="B689" s="10">
        <v>44834</v>
      </c>
      <c r="C689" s="9">
        <v>8</v>
      </c>
      <c r="D689" s="9" t="str">
        <f>"6126"</f>
        <v>6126</v>
      </c>
      <c r="E689" s="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89" s="9" t="str">
        <f>""</f>
        <v/>
      </c>
      <c r="G689" s="9" t="str">
        <f>""</f>
        <v/>
      </c>
      <c r="H689" s="9" t="str">
        <f>""</f>
        <v/>
      </c>
      <c r="I689" s="11">
        <v>461231090961.40997</v>
      </c>
    </row>
    <row r="690" spans="1:9" x14ac:dyDescent="0.25">
      <c r="A690" s="9">
        <v>683</v>
      </c>
      <c r="B690" s="10">
        <v>44834</v>
      </c>
      <c r="C690" s="9">
        <v>8</v>
      </c>
      <c r="D690" s="9" t="str">
        <f>"6005"</f>
        <v>6005</v>
      </c>
      <c r="E690" s="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90" s="9" t="str">
        <f>""</f>
        <v/>
      </c>
      <c r="G690" s="9" t="str">
        <f>""</f>
        <v/>
      </c>
      <c r="H690" s="9" t="str">
        <f>""</f>
        <v/>
      </c>
      <c r="I690" s="11">
        <v>717678630.40999997</v>
      </c>
    </row>
    <row r="691" spans="1:9" x14ac:dyDescent="0.25">
      <c r="A691" s="9">
        <v>684</v>
      </c>
      <c r="B691" s="10">
        <v>44834</v>
      </c>
      <c r="C691" s="9">
        <v>8</v>
      </c>
      <c r="D691" s="9" t="str">
        <f>"5892"</f>
        <v>5892</v>
      </c>
      <c r="E691" s="9" t="str">
        <f>"Расходы по операциям форвард"</f>
        <v>Расходы по операциям форвард</v>
      </c>
      <c r="F691" s="9" t="str">
        <f>""</f>
        <v/>
      </c>
      <c r="G691" s="9" t="str">
        <f>""</f>
        <v/>
      </c>
      <c r="H691" s="9" t="str">
        <f>""</f>
        <v/>
      </c>
      <c r="I691" s="11">
        <v>428260026.67000002</v>
      </c>
    </row>
    <row r="692" spans="1:9" x14ac:dyDescent="0.25">
      <c r="A692" s="9">
        <v>685</v>
      </c>
      <c r="B692" s="10">
        <v>44834</v>
      </c>
      <c r="C692" s="9">
        <v>8</v>
      </c>
      <c r="D692" s="9" t="str">
        <f>"6055"</f>
        <v>6055</v>
      </c>
      <c r="E692" s="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92" s="9" t="str">
        <f>""</f>
        <v/>
      </c>
      <c r="G692" s="9" t="str">
        <f>""</f>
        <v/>
      </c>
      <c r="H692" s="9" t="str">
        <f>""</f>
        <v/>
      </c>
      <c r="I692" s="11">
        <v>75289689265.800003</v>
      </c>
    </row>
    <row r="693" spans="1:9" x14ac:dyDescent="0.25">
      <c r="A693" s="9">
        <v>686</v>
      </c>
      <c r="B693" s="10">
        <v>44834</v>
      </c>
      <c r="C693" s="9">
        <v>8</v>
      </c>
      <c r="D693" s="9" t="str">
        <f>"5922"</f>
        <v>5922</v>
      </c>
      <c r="E693" s="9" t="str">
        <f>"Прочие расходы от неосновной деятельности"</f>
        <v>Прочие расходы от неосновной деятельности</v>
      </c>
      <c r="F693" s="9" t="str">
        <f>""</f>
        <v/>
      </c>
      <c r="G693" s="9" t="str">
        <f>""</f>
        <v/>
      </c>
      <c r="H693" s="9" t="str">
        <f>""</f>
        <v/>
      </c>
      <c r="I693" s="11">
        <v>100429417.95</v>
      </c>
    </row>
    <row r="694" spans="1:9" x14ac:dyDescent="0.25">
      <c r="A694" s="9">
        <v>687</v>
      </c>
      <c r="B694" s="10">
        <v>44834</v>
      </c>
      <c r="C694" s="9">
        <v>8</v>
      </c>
      <c r="D694" s="9" t="str">
        <f>"5746"</f>
        <v>5746</v>
      </c>
      <c r="E694" s="9" t="str">
        <f>"Расходы на охрану и сигнализацию"</f>
        <v>Расходы на охрану и сигнализацию</v>
      </c>
      <c r="F694" s="9" t="str">
        <f>""</f>
        <v/>
      </c>
      <c r="G694" s="9" t="str">
        <f>""</f>
        <v/>
      </c>
      <c r="H694" s="9" t="str">
        <f>""</f>
        <v/>
      </c>
      <c r="I694" s="11">
        <v>284523142.85000002</v>
      </c>
    </row>
    <row r="695" spans="1:9" x14ac:dyDescent="0.25">
      <c r="A695" s="9">
        <v>688</v>
      </c>
      <c r="B695" s="10">
        <v>44834</v>
      </c>
      <c r="C695" s="9">
        <v>8</v>
      </c>
      <c r="D695" s="9" t="str">
        <f>"6075"</f>
        <v>6075</v>
      </c>
      <c r="E695" s="9" t="str">
        <f>"Возможные требования по принятым гарантиям"</f>
        <v>Возможные требования по принятым гарантиям</v>
      </c>
      <c r="F695" s="9" t="str">
        <f>""</f>
        <v/>
      </c>
      <c r="G695" s="9" t="str">
        <f>""</f>
        <v/>
      </c>
      <c r="H695" s="9" t="str">
        <f>""</f>
        <v/>
      </c>
      <c r="I695" s="11">
        <v>2909796059253.6499</v>
      </c>
    </row>
    <row r="696" spans="1:9" x14ac:dyDescent="0.25">
      <c r="A696" s="9">
        <v>689</v>
      </c>
      <c r="B696" s="10">
        <v>44834</v>
      </c>
      <c r="C696" s="9">
        <v>8</v>
      </c>
      <c r="D696" s="9" t="str">
        <f>"6205"</f>
        <v>6205</v>
      </c>
      <c r="E696" s="9" t="str">
        <f>"Условные требования по покупке ценных бумаг"</f>
        <v>Условные требования по покупке ценных бумаг</v>
      </c>
      <c r="F696" s="9" t="str">
        <f>""</f>
        <v/>
      </c>
      <c r="G696" s="9" t="str">
        <f>""</f>
        <v/>
      </c>
      <c r="H696" s="9" t="str">
        <f>""</f>
        <v/>
      </c>
      <c r="I696" s="11">
        <v>5457007955</v>
      </c>
    </row>
    <row r="697" spans="1:9" x14ac:dyDescent="0.25">
      <c r="A697" s="9">
        <v>690</v>
      </c>
      <c r="B697" s="10">
        <v>44834</v>
      </c>
      <c r="C697" s="9">
        <v>8</v>
      </c>
      <c r="D697" s="9" t="str">
        <f>"6405"</f>
        <v>6405</v>
      </c>
      <c r="E697" s="9" t="str">
        <f>"Условные требования по купле-продаже иностранной валюты"</f>
        <v>Условные требования по купле-продаже иностранной валюты</v>
      </c>
      <c r="F697" s="9" t="str">
        <f>""</f>
        <v/>
      </c>
      <c r="G697" s="9" t="str">
        <f>""</f>
        <v/>
      </c>
      <c r="H697" s="9" t="str">
        <f>""</f>
        <v/>
      </c>
      <c r="I697" s="11">
        <v>71021162046.100006</v>
      </c>
    </row>
    <row r="698" spans="1:9" x14ac:dyDescent="0.25">
      <c r="A698" s="9">
        <v>691</v>
      </c>
      <c r="B698" s="10">
        <v>44834</v>
      </c>
      <c r="C698" s="9">
        <v>8</v>
      </c>
      <c r="D698" s="9" t="str">
        <f>"6505"</f>
        <v>6505</v>
      </c>
      <c r="E698" s="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98" s="9" t="str">
        <f>""</f>
        <v/>
      </c>
      <c r="G698" s="9" t="str">
        <f>""</f>
        <v/>
      </c>
      <c r="H698" s="9" t="str">
        <f>""</f>
        <v/>
      </c>
      <c r="I698" s="11">
        <v>717678630.40999997</v>
      </c>
    </row>
    <row r="699" spans="1:9" x14ac:dyDescent="0.25">
      <c r="A699" s="9">
        <v>692</v>
      </c>
      <c r="B699" s="10">
        <v>44834</v>
      </c>
      <c r="C699" s="9">
        <v>8</v>
      </c>
      <c r="D699" s="9" t="str">
        <f>"6520"</f>
        <v>6520</v>
      </c>
      <c r="E699" s="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699" s="9" t="str">
        <f>""</f>
        <v/>
      </c>
      <c r="G699" s="9" t="str">
        <f>""</f>
        <v/>
      </c>
      <c r="H699" s="9" t="str">
        <f>""</f>
        <v/>
      </c>
      <c r="I699" s="11">
        <v>2089848330.3800001</v>
      </c>
    </row>
    <row r="700" spans="1:9" x14ac:dyDescent="0.25">
      <c r="A700" s="9">
        <v>693</v>
      </c>
      <c r="B700" s="10">
        <v>44834</v>
      </c>
      <c r="C700" s="9">
        <v>8</v>
      </c>
      <c r="D700" s="9" t="str">
        <f>"6555"</f>
        <v>6555</v>
      </c>
      <c r="E700" s="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00" s="9" t="str">
        <f>""</f>
        <v/>
      </c>
      <c r="G700" s="9" t="str">
        <f>""</f>
        <v/>
      </c>
      <c r="H700" s="9" t="str">
        <f>""</f>
        <v/>
      </c>
      <c r="I700" s="11">
        <v>75289689265.800003</v>
      </c>
    </row>
    <row r="701" spans="1:9" x14ac:dyDescent="0.25">
      <c r="A701" s="9">
        <v>694</v>
      </c>
      <c r="B701" s="10">
        <v>44834</v>
      </c>
      <c r="C701" s="9">
        <v>8</v>
      </c>
      <c r="D701" s="9" t="str">
        <f>"6575"</f>
        <v>6575</v>
      </c>
      <c r="E701" s="9" t="str">
        <f>"Возможное уменьшение требований по принятым гарантиям"</f>
        <v>Возможное уменьшение требований по принятым гарантиям</v>
      </c>
      <c r="F701" s="9" t="str">
        <f>""</f>
        <v/>
      </c>
      <c r="G701" s="9" t="str">
        <f>""</f>
        <v/>
      </c>
      <c r="H701" s="9" t="str">
        <f>""</f>
        <v/>
      </c>
      <c r="I701" s="11">
        <v>2909796059253.6499</v>
      </c>
    </row>
    <row r="702" spans="1:9" x14ac:dyDescent="0.25">
      <c r="A702" s="9">
        <v>695</v>
      </c>
      <c r="B702" s="10">
        <v>44834</v>
      </c>
      <c r="C702" s="9">
        <v>8</v>
      </c>
      <c r="D702" s="9" t="str">
        <f>"6626"</f>
        <v>6626</v>
      </c>
      <c r="E702" s="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02" s="9" t="str">
        <f>""</f>
        <v/>
      </c>
      <c r="G702" s="9" t="str">
        <f>""</f>
        <v/>
      </c>
      <c r="H702" s="9" t="str">
        <f>""</f>
        <v/>
      </c>
      <c r="I702" s="11">
        <v>461231090961.40997</v>
      </c>
    </row>
    <row r="703" spans="1:9" x14ac:dyDescent="0.25">
      <c r="A703" s="9">
        <v>696</v>
      </c>
      <c r="B703" s="10">
        <v>44834</v>
      </c>
      <c r="C703" s="9">
        <v>8</v>
      </c>
      <c r="D703" s="9" t="str">
        <f>"6705"</f>
        <v>6705</v>
      </c>
      <c r="E703" s="9" t="str">
        <f>"Условные обязательства по покупке ценных бумаг"</f>
        <v>Условные обязательства по покупке ценных бумаг</v>
      </c>
      <c r="F703" s="9" t="str">
        <f>""</f>
        <v/>
      </c>
      <c r="G703" s="9" t="str">
        <f>""</f>
        <v/>
      </c>
      <c r="H703" s="9" t="str">
        <f>""</f>
        <v/>
      </c>
      <c r="I703" s="11">
        <v>5457007955</v>
      </c>
    </row>
    <row r="704" spans="1:9" x14ac:dyDescent="0.25">
      <c r="A704" s="9">
        <v>697</v>
      </c>
      <c r="B704" s="10">
        <v>44834</v>
      </c>
      <c r="C704" s="9">
        <v>8</v>
      </c>
      <c r="D704" s="9" t="str">
        <f>"7363"</f>
        <v>7363</v>
      </c>
      <c r="E704" s="9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04" s="9" t="str">
        <f>""</f>
        <v/>
      </c>
      <c r="G704" s="9" t="str">
        <f>""</f>
        <v/>
      </c>
      <c r="H704" s="9" t="str">
        <f>""</f>
        <v/>
      </c>
      <c r="I704" s="11">
        <v>2902687.19</v>
      </c>
    </row>
    <row r="705" spans="1:9" x14ac:dyDescent="0.25">
      <c r="A705" s="9">
        <v>698</v>
      </c>
      <c r="B705" s="10">
        <v>44834</v>
      </c>
      <c r="C705" s="9">
        <v>8</v>
      </c>
      <c r="D705" s="9" t="str">
        <f>"6905"</f>
        <v>6905</v>
      </c>
      <c r="E705" s="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05" s="9" t="str">
        <f>""</f>
        <v/>
      </c>
      <c r="G705" s="9" t="str">
        <f>""</f>
        <v/>
      </c>
      <c r="H705" s="9" t="str">
        <f>""</f>
        <v/>
      </c>
      <c r="I705" s="11">
        <v>70989689195.350006</v>
      </c>
    </row>
    <row r="706" spans="1:9" x14ac:dyDescent="0.25">
      <c r="A706" s="9">
        <v>699</v>
      </c>
      <c r="B706" s="10">
        <v>44834</v>
      </c>
      <c r="C706" s="9">
        <v>8</v>
      </c>
      <c r="D706" s="9" t="str">
        <f>"7250"</f>
        <v>7250</v>
      </c>
      <c r="E706" s="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06" s="9" t="str">
        <f>""</f>
        <v/>
      </c>
      <c r="G706" s="9" t="str">
        <f>""</f>
        <v/>
      </c>
      <c r="H706" s="9" t="str">
        <f>""</f>
        <v/>
      </c>
      <c r="I706" s="11">
        <v>708359608023.07996</v>
      </c>
    </row>
    <row r="707" spans="1:9" x14ac:dyDescent="0.25">
      <c r="A707" s="9">
        <v>700</v>
      </c>
      <c r="B707" s="10">
        <v>44834</v>
      </c>
      <c r="C707" s="9">
        <v>8</v>
      </c>
      <c r="D707" s="9" t="str">
        <f>"7303"</f>
        <v>7303</v>
      </c>
      <c r="E707" s="9" t="str">
        <f>"Платежные документы, не оплаченные в срок"</f>
        <v>Платежные документы, не оплаченные в срок</v>
      </c>
      <c r="F707" s="9" t="str">
        <f>""</f>
        <v/>
      </c>
      <c r="G707" s="9" t="str">
        <f>""</f>
        <v/>
      </c>
      <c r="H707" s="9" t="str">
        <f>""</f>
        <v/>
      </c>
      <c r="I707" s="11">
        <v>412659376504.88</v>
      </c>
    </row>
    <row r="708" spans="1:9" x14ac:dyDescent="0.25">
      <c r="A708" s="9">
        <v>701</v>
      </c>
      <c r="B708" s="10">
        <v>44834</v>
      </c>
      <c r="C708" s="9">
        <v>8</v>
      </c>
      <c r="D708" s="9" t="str">
        <f>"7704"</f>
        <v>7704</v>
      </c>
      <c r="E708" s="9" t="str">
        <f>"Операции «обратное РЕПО»"</f>
        <v>Операции «обратное РЕПО»</v>
      </c>
      <c r="F708" s="9" t="str">
        <f>""</f>
        <v/>
      </c>
      <c r="G708" s="9" t="str">
        <f>""</f>
        <v/>
      </c>
      <c r="H708" s="9" t="str">
        <f>""</f>
        <v/>
      </c>
      <c r="I708" s="11">
        <v>820025065.20000005</v>
      </c>
    </row>
    <row r="709" spans="1:9" x14ac:dyDescent="0.25">
      <c r="A709" s="9">
        <v>702</v>
      </c>
      <c r="B709" s="10">
        <v>44834</v>
      </c>
      <c r="C709" s="9">
        <v>8</v>
      </c>
      <c r="D709" s="9" t="str">
        <f>"7220"</f>
        <v>7220</v>
      </c>
      <c r="E709" s="9" t="str">
        <f>"Арендованные активы"</f>
        <v>Арендованные активы</v>
      </c>
      <c r="F709" s="9" t="str">
        <f>""</f>
        <v/>
      </c>
      <c r="G709" s="9" t="str">
        <f>""</f>
        <v/>
      </c>
      <c r="H709" s="9" t="str">
        <f>""</f>
        <v/>
      </c>
      <c r="I709" s="11">
        <v>175474.9</v>
      </c>
    </row>
    <row r="710" spans="1:9" x14ac:dyDescent="0.25">
      <c r="A710" s="9">
        <v>703</v>
      </c>
      <c r="B710" s="10">
        <v>44834</v>
      </c>
      <c r="C710" s="9">
        <v>8</v>
      </c>
      <c r="D710" s="9" t="str">
        <f>"7320"</f>
        <v>7320</v>
      </c>
      <c r="E710" s="9" t="str">
        <f>"Секьюритизируемые активы"</f>
        <v>Секьюритизируемые активы</v>
      </c>
      <c r="F710" s="9" t="str">
        <f>""</f>
        <v/>
      </c>
      <c r="G710" s="9" t="str">
        <f>""</f>
        <v/>
      </c>
      <c r="H710" s="9" t="str">
        <f>""</f>
        <v/>
      </c>
      <c r="I710" s="11">
        <v>622378944435.56995</v>
      </c>
    </row>
    <row r="711" spans="1:9" x14ac:dyDescent="0.25">
      <c r="A711" s="9">
        <v>704</v>
      </c>
      <c r="B711" s="10">
        <v>44834</v>
      </c>
      <c r="C711" s="9">
        <v>8</v>
      </c>
      <c r="D711" s="9" t="str">
        <f>"7712"</f>
        <v>7712</v>
      </c>
      <c r="E711" s="9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711" s="9" t="str">
        <f>""</f>
        <v/>
      </c>
      <c r="G711" s="9" t="str">
        <f>""</f>
        <v/>
      </c>
      <c r="H711" s="9" t="str">
        <f>""</f>
        <v/>
      </c>
      <c r="I711" s="11">
        <v>186887.09</v>
      </c>
    </row>
    <row r="712" spans="1:9" x14ac:dyDescent="0.25">
      <c r="A712" s="9">
        <v>705</v>
      </c>
      <c r="B712" s="10">
        <v>44834</v>
      </c>
      <c r="C712" s="9">
        <v>8</v>
      </c>
      <c r="D712" s="9" t="str">
        <f>"7713"</f>
        <v>7713</v>
      </c>
      <c r="E712" s="9" t="str">
        <f>"Прочие требования"</f>
        <v>Прочие требования</v>
      </c>
      <c r="F712" s="9" t="str">
        <f>""</f>
        <v/>
      </c>
      <c r="G712" s="9" t="str">
        <f>""</f>
        <v/>
      </c>
      <c r="H712" s="9" t="str">
        <f>""</f>
        <v/>
      </c>
      <c r="I712" s="11">
        <v>48454261016.010002</v>
      </c>
    </row>
    <row r="713" spans="1:9" x14ac:dyDescent="0.25">
      <c r="A713" s="9">
        <v>706</v>
      </c>
      <c r="B713" s="10">
        <v>44834</v>
      </c>
      <c r="C713" s="9">
        <v>8</v>
      </c>
      <c r="D713" s="9" t="str">
        <f>"7360"</f>
        <v>7360</v>
      </c>
      <c r="E713" s="9" t="str">
        <f>"Акции и другие ценные бумаги клиентов"</f>
        <v>Акции и другие ценные бумаги клиентов</v>
      </c>
      <c r="F713" s="9" t="str">
        <f>""</f>
        <v/>
      </c>
      <c r="G713" s="9" t="str">
        <f>""</f>
        <v/>
      </c>
      <c r="H713" s="9" t="str">
        <f>""</f>
        <v/>
      </c>
      <c r="I713" s="11">
        <v>2454160403.6500001</v>
      </c>
    </row>
    <row r="714" spans="1:9" x14ac:dyDescent="0.25">
      <c r="A714" s="9">
        <v>707</v>
      </c>
      <c r="B714" s="10">
        <v>44834</v>
      </c>
      <c r="C714" s="9">
        <v>8</v>
      </c>
      <c r="D714" s="9" t="str">
        <f>"7342"</f>
        <v>7342</v>
      </c>
      <c r="E714" s="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14" s="9" t="str">
        <f>""</f>
        <v/>
      </c>
      <c r="G714" s="9" t="str">
        <f>""</f>
        <v/>
      </c>
      <c r="H714" s="9" t="str">
        <f>""</f>
        <v/>
      </c>
      <c r="I714" s="11">
        <v>122723</v>
      </c>
    </row>
    <row r="715" spans="1:9" x14ac:dyDescent="0.25">
      <c r="A715" s="9">
        <v>708</v>
      </c>
      <c r="B715" s="10">
        <v>44834</v>
      </c>
      <c r="C715" s="9">
        <v>8</v>
      </c>
      <c r="D715" s="9" t="str">
        <f>"6999"</f>
        <v>6999</v>
      </c>
      <c r="E715" s="9" t="str">
        <f>"Позиция по сделкам с иностранной валютой"</f>
        <v>Позиция по сделкам с иностранной валютой</v>
      </c>
      <c r="F715" s="9" t="str">
        <f>""</f>
        <v/>
      </c>
      <c r="G715" s="9" t="str">
        <f>""</f>
        <v/>
      </c>
      <c r="H715" s="9" t="str">
        <f>""</f>
        <v/>
      </c>
      <c r="I715" s="11">
        <v>31472850.75</v>
      </c>
    </row>
    <row r="716" spans="1:9" x14ac:dyDescent="0.25">
      <c r="A716" s="9">
        <v>709</v>
      </c>
      <c r="B716" s="10">
        <v>44834</v>
      </c>
      <c r="C716" s="9">
        <v>8</v>
      </c>
      <c r="D716" s="9" t="str">
        <f>"7711"</f>
        <v>7711</v>
      </c>
      <c r="E716" s="9" t="str">
        <f>"Вознаграждение"</f>
        <v>Вознаграждение</v>
      </c>
      <c r="F716" s="9" t="str">
        <f>""</f>
        <v/>
      </c>
      <c r="G716" s="9" t="str">
        <f>""</f>
        <v/>
      </c>
      <c r="H716" s="9" t="str">
        <f>""</f>
        <v/>
      </c>
      <c r="I716" s="11">
        <v>4747022.0999999996</v>
      </c>
    </row>
    <row r="717" spans="1:9" x14ac:dyDescent="0.25">
      <c r="A717" s="9">
        <v>710</v>
      </c>
      <c r="B717" s="10">
        <v>44834</v>
      </c>
      <c r="C717" s="9">
        <v>8</v>
      </c>
      <c r="D717" s="9" t="str">
        <f>"7339"</f>
        <v>7339</v>
      </c>
      <c r="E717" s="9" t="str">
        <f>"Разные ценности и документы"</f>
        <v>Разные ценности и документы</v>
      </c>
      <c r="F717" s="9" t="str">
        <f>""</f>
        <v/>
      </c>
      <c r="G717" s="9" t="str">
        <f>""</f>
        <v/>
      </c>
      <c r="H717" s="9" t="str">
        <f>""</f>
        <v/>
      </c>
      <c r="I717" s="11">
        <v>303109</v>
      </c>
    </row>
    <row r="718" spans="1:9" x14ac:dyDescent="0.25">
      <c r="A718" s="9">
        <v>711</v>
      </c>
      <c r="B718" s="10">
        <v>44834</v>
      </c>
      <c r="C718" s="9">
        <v>8</v>
      </c>
      <c r="D718" s="9" t="str">
        <f>"7701"</f>
        <v>7701</v>
      </c>
      <c r="E718" s="9" t="str">
        <f>"Ценные бумаги"</f>
        <v>Ценные бумаги</v>
      </c>
      <c r="F718" s="9" t="str">
        <f>""</f>
        <v/>
      </c>
      <c r="G718" s="9" t="str">
        <f>""</f>
        <v/>
      </c>
      <c r="H718" s="9" t="str">
        <f>""</f>
        <v/>
      </c>
      <c r="I718" s="11">
        <v>287256147822.41998</v>
      </c>
    </row>
    <row r="719" spans="1:9" x14ac:dyDescent="0.25">
      <c r="A719" s="9">
        <v>712</v>
      </c>
      <c r="B719" s="10">
        <v>44834</v>
      </c>
      <c r="C719" s="9">
        <v>8</v>
      </c>
      <c r="D719" s="9" t="str">
        <f>"7702"</f>
        <v>7702</v>
      </c>
      <c r="E719" s="9" t="str">
        <f>"Вклады в других банках"</f>
        <v>Вклады в других банках</v>
      </c>
      <c r="F719" s="9" t="str">
        <f>""</f>
        <v/>
      </c>
      <c r="G719" s="9" t="str">
        <f>""</f>
        <v/>
      </c>
      <c r="H719" s="9" t="str">
        <f>""</f>
        <v/>
      </c>
      <c r="I719" s="11">
        <v>1130497118.6900001</v>
      </c>
    </row>
    <row r="720" spans="1:9" x14ac:dyDescent="0.25">
      <c r="A720" s="9">
        <v>713</v>
      </c>
      <c r="B720" s="10">
        <v>44834</v>
      </c>
      <c r="C720" s="9">
        <v>8</v>
      </c>
      <c r="D720" s="9" t="str">
        <f>"5220"</f>
        <v>5220</v>
      </c>
      <c r="E720" s="9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720" s="9" t="str">
        <f>""</f>
        <v/>
      </c>
      <c r="G720" s="9" t="str">
        <f>""</f>
        <v/>
      </c>
      <c r="H720" s="9" t="str">
        <f>""</f>
        <v/>
      </c>
      <c r="I720" s="11">
        <v>169121476.94</v>
      </c>
    </row>
    <row r="722" spans="2:8" x14ac:dyDescent="0.25">
      <c r="B722" s="12"/>
      <c r="C722" s="12"/>
      <c r="D722" s="13" t="s">
        <v>11</v>
      </c>
      <c r="E722" s="14"/>
      <c r="F722" s="14"/>
      <c r="G722" s="14"/>
      <c r="H722" s="14"/>
    </row>
    <row r="723" spans="2:8" x14ac:dyDescent="0.25">
      <c r="B723" s="12" t="s">
        <v>13</v>
      </c>
      <c r="C723" s="12"/>
      <c r="D723" s="13" t="s">
        <v>14</v>
      </c>
      <c r="E723" s="14"/>
      <c r="F723" s="14"/>
      <c r="G723" s="14"/>
      <c r="H723" s="14"/>
    </row>
    <row r="724" spans="2:8" x14ac:dyDescent="0.25">
      <c r="B724" s="12" t="s">
        <v>15</v>
      </c>
      <c r="C724" s="12"/>
      <c r="D724" s="13" t="s">
        <v>16</v>
      </c>
      <c r="E724" s="14"/>
      <c r="F724" s="14"/>
      <c r="G724" s="14"/>
      <c r="H724" s="14"/>
    </row>
    <row r="725" spans="2:8" x14ac:dyDescent="0.25">
      <c r="B725" s="12" t="s">
        <v>17</v>
      </c>
      <c r="C725" s="12"/>
      <c r="D725" s="13" t="s">
        <v>18</v>
      </c>
      <c r="E725" s="14"/>
      <c r="F725" s="14"/>
      <c r="G725" s="14"/>
      <c r="H725" s="14"/>
    </row>
    <row r="726" spans="2:8" x14ac:dyDescent="0.25">
      <c r="B726" s="12" t="s">
        <v>19</v>
      </c>
      <c r="C726" s="12"/>
      <c r="D726" s="13" t="s">
        <v>20</v>
      </c>
      <c r="E726" s="14"/>
      <c r="F726" s="14"/>
      <c r="G726" s="14"/>
      <c r="H726" s="14"/>
    </row>
    <row r="727" spans="2:8" x14ac:dyDescent="0.25">
      <c r="B727" s="15"/>
      <c r="C727" s="16"/>
      <c r="D727" s="17" t="s">
        <v>21</v>
      </c>
      <c r="E727" s="12"/>
      <c r="F727" s="12"/>
      <c r="G727" s="12"/>
      <c r="H727" s="12"/>
    </row>
    <row r="728" spans="2:8" x14ac:dyDescent="0.25">
      <c r="B728" s="12" t="s">
        <v>22</v>
      </c>
      <c r="C728" s="12"/>
      <c r="D728" s="13" t="s">
        <v>23</v>
      </c>
      <c r="E728" s="14"/>
      <c r="F728" s="14"/>
      <c r="G728" s="14"/>
      <c r="H728" s="14"/>
    </row>
    <row r="729" spans="2:8" x14ac:dyDescent="0.25">
      <c r="B729" s="15"/>
      <c r="C729" s="16"/>
      <c r="D729" s="17" t="s">
        <v>21</v>
      </c>
      <c r="E729" s="12"/>
      <c r="F729" s="12"/>
      <c r="G729" s="12"/>
      <c r="H729" s="12"/>
    </row>
    <row r="730" spans="2:8" x14ac:dyDescent="0.25">
      <c r="B730" s="12" t="s">
        <v>24</v>
      </c>
      <c r="C730" s="12"/>
      <c r="D730" s="13" t="s">
        <v>25</v>
      </c>
      <c r="E730" s="14"/>
      <c r="F730" s="14"/>
      <c r="G730" s="14"/>
      <c r="H730" s="14"/>
    </row>
    <row r="731" spans="2:8" x14ac:dyDescent="0.25">
      <c r="B731" s="15"/>
      <c r="C731" s="16"/>
      <c r="D731" s="17" t="s">
        <v>21</v>
      </c>
      <c r="E731" s="12"/>
      <c r="F731" s="12"/>
      <c r="G731" s="12"/>
      <c r="H731" s="12"/>
    </row>
  </sheetData>
  <autoFilter ref="A7:I720"/>
  <mergeCells count="20">
    <mergeCell ref="D731:H731"/>
    <mergeCell ref="D727:H727"/>
    <mergeCell ref="B728:C728"/>
    <mergeCell ref="D728:H728"/>
    <mergeCell ref="D729:H729"/>
    <mergeCell ref="B730:C730"/>
    <mergeCell ref="D730:H730"/>
    <mergeCell ref="B724:C724"/>
    <mergeCell ref="D724:H724"/>
    <mergeCell ref="B725:C725"/>
    <mergeCell ref="D725:H725"/>
    <mergeCell ref="B726:C726"/>
    <mergeCell ref="D726:H726"/>
    <mergeCell ref="A1:I1"/>
    <mergeCell ref="A2:I2"/>
    <mergeCell ref="A3:I3"/>
    <mergeCell ref="B722:C722"/>
    <mergeCell ref="D722:H722"/>
    <mergeCell ref="B723:C723"/>
    <mergeCell ref="D723:H7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Дадамбаев Алдияр Айбекович</dc:creator>
  <cp:lastModifiedBy>Шолпан Тунгатарова</cp:lastModifiedBy>
  <dcterms:created xsi:type="dcterms:W3CDTF">2022-10-06T12:34:53Z</dcterms:created>
  <dcterms:modified xsi:type="dcterms:W3CDTF">2022-10-14T10:27:27Z</dcterms:modified>
</cp:coreProperties>
</file>