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mussazhanova\Desktop\Индира\Пруд нормативы 2023\kase_нмо\01.01.2024\"/>
    </mc:Choice>
  </mc:AlternateContent>
  <bookViews>
    <workbookView xWindow="-120" yWindow="-120" windowWidth="29040" windowHeight="15720"/>
  </bookViews>
  <sheets>
    <sheet name="VREP_700_ND_RESPONDENTundefined" sheetId="1" r:id="rId1"/>
  </sheets>
  <definedNames>
    <definedName name="_xlnm._FilterDatabase" localSheetId="0" hidden="1">VREP_700_ND_RESPONDENTundefined!$A$2:$I$862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1" i="1" l="1"/>
  <c r="G821" i="1"/>
  <c r="F821" i="1"/>
  <c r="E821" i="1"/>
  <c r="D821" i="1"/>
  <c r="H820" i="1"/>
  <c r="G820" i="1"/>
  <c r="F820" i="1"/>
  <c r="E820" i="1"/>
  <c r="D820" i="1"/>
  <c r="H819" i="1"/>
  <c r="G819" i="1"/>
  <c r="F819" i="1"/>
  <c r="E819" i="1"/>
  <c r="D819" i="1"/>
  <c r="H818" i="1"/>
  <c r="G818" i="1"/>
  <c r="F818" i="1"/>
  <c r="E818" i="1"/>
  <c r="D818" i="1"/>
  <c r="H817" i="1"/>
  <c r="G817" i="1"/>
  <c r="F817" i="1"/>
  <c r="E817" i="1"/>
  <c r="D817" i="1"/>
  <c r="H816" i="1"/>
  <c r="G816" i="1"/>
  <c r="F816" i="1"/>
  <c r="E816" i="1"/>
  <c r="D816" i="1"/>
  <c r="H815" i="1"/>
  <c r="G815" i="1"/>
  <c r="F815" i="1"/>
  <c r="E815" i="1"/>
  <c r="D815" i="1"/>
  <c r="H814" i="1"/>
  <c r="G814" i="1"/>
  <c r="F814" i="1"/>
  <c r="E814" i="1"/>
  <c r="D814" i="1"/>
  <c r="H813" i="1"/>
  <c r="G813" i="1"/>
  <c r="F813" i="1"/>
  <c r="E813" i="1"/>
  <c r="D813" i="1"/>
  <c r="H812" i="1"/>
  <c r="G812" i="1"/>
  <c r="F812" i="1"/>
  <c r="E812" i="1"/>
  <c r="D812" i="1"/>
  <c r="H811" i="1"/>
  <c r="G811" i="1"/>
  <c r="F811" i="1"/>
  <c r="E811" i="1"/>
  <c r="D811" i="1"/>
  <c r="H810" i="1"/>
  <c r="G810" i="1"/>
  <c r="F810" i="1"/>
  <c r="E810" i="1"/>
  <c r="D810" i="1"/>
  <c r="H809" i="1"/>
  <c r="G809" i="1"/>
  <c r="F809" i="1"/>
  <c r="E809" i="1"/>
  <c r="D809" i="1"/>
  <c r="H808" i="1"/>
  <c r="G808" i="1"/>
  <c r="F808" i="1"/>
  <c r="E808" i="1"/>
  <c r="D808" i="1"/>
  <c r="H807" i="1"/>
  <c r="G807" i="1"/>
  <c r="F807" i="1"/>
  <c r="E807" i="1"/>
  <c r="D807" i="1"/>
  <c r="H806" i="1"/>
  <c r="G806" i="1"/>
  <c r="F806" i="1"/>
  <c r="E806" i="1"/>
  <c r="D806" i="1"/>
  <c r="H805" i="1"/>
  <c r="G805" i="1"/>
  <c r="F805" i="1"/>
  <c r="E805" i="1"/>
  <c r="D805" i="1"/>
  <c r="H804" i="1"/>
  <c r="G804" i="1"/>
  <c r="F804" i="1"/>
  <c r="E804" i="1"/>
  <c r="D804" i="1"/>
  <c r="H803" i="1"/>
  <c r="G803" i="1"/>
  <c r="F803" i="1"/>
  <c r="E803" i="1"/>
  <c r="D803" i="1"/>
  <c r="H802" i="1"/>
  <c r="G802" i="1"/>
  <c r="F802" i="1"/>
  <c r="E802" i="1"/>
  <c r="D802" i="1"/>
  <c r="H801" i="1"/>
  <c r="G801" i="1"/>
  <c r="F801" i="1"/>
  <c r="E801" i="1"/>
  <c r="D801" i="1"/>
  <c r="H800" i="1"/>
  <c r="G800" i="1"/>
  <c r="F800" i="1"/>
  <c r="E800" i="1"/>
  <c r="D800" i="1"/>
  <c r="H799" i="1"/>
  <c r="G799" i="1"/>
  <c r="F799" i="1"/>
  <c r="E799" i="1"/>
  <c r="D799" i="1"/>
  <c r="H798" i="1"/>
  <c r="G798" i="1"/>
  <c r="F798" i="1"/>
  <c r="E798" i="1"/>
  <c r="D798" i="1"/>
  <c r="H797" i="1"/>
  <c r="G797" i="1"/>
  <c r="F797" i="1"/>
  <c r="E797" i="1"/>
  <c r="D797" i="1"/>
  <c r="H796" i="1"/>
  <c r="G796" i="1"/>
  <c r="F796" i="1"/>
  <c r="E796" i="1"/>
  <c r="D796" i="1"/>
  <c r="H795" i="1"/>
  <c r="G795" i="1"/>
  <c r="F795" i="1"/>
  <c r="E795" i="1"/>
  <c r="D795" i="1"/>
  <c r="H794" i="1"/>
  <c r="G794" i="1"/>
  <c r="F794" i="1"/>
  <c r="E794" i="1"/>
  <c r="D794" i="1"/>
  <c r="H793" i="1"/>
  <c r="G793" i="1"/>
  <c r="F793" i="1"/>
  <c r="E793" i="1"/>
  <c r="D793" i="1"/>
  <c r="H792" i="1"/>
  <c r="G792" i="1"/>
  <c r="F792" i="1"/>
  <c r="E792" i="1"/>
  <c r="D792" i="1"/>
  <c r="H791" i="1"/>
  <c r="G791" i="1"/>
  <c r="F791" i="1"/>
  <c r="E791" i="1"/>
  <c r="D791" i="1"/>
  <c r="H790" i="1"/>
  <c r="G790" i="1"/>
  <c r="F790" i="1"/>
  <c r="E790" i="1"/>
  <c r="D790" i="1"/>
  <c r="H789" i="1"/>
  <c r="G789" i="1"/>
  <c r="F789" i="1"/>
  <c r="E789" i="1"/>
  <c r="D789" i="1"/>
  <c r="H788" i="1"/>
  <c r="G788" i="1"/>
  <c r="F788" i="1"/>
  <c r="E788" i="1"/>
  <c r="D788" i="1"/>
  <c r="H787" i="1"/>
  <c r="G787" i="1"/>
  <c r="F787" i="1"/>
  <c r="E787" i="1"/>
  <c r="D787" i="1"/>
  <c r="H786" i="1"/>
  <c r="G786" i="1"/>
  <c r="F786" i="1"/>
  <c r="E786" i="1"/>
  <c r="D786" i="1"/>
  <c r="H785" i="1"/>
  <c r="G785" i="1"/>
  <c r="F785" i="1"/>
  <c r="E785" i="1"/>
  <c r="D785" i="1"/>
  <c r="H784" i="1"/>
  <c r="G784" i="1"/>
  <c r="F784" i="1"/>
  <c r="E784" i="1"/>
  <c r="D784" i="1"/>
  <c r="H783" i="1"/>
  <c r="G783" i="1"/>
  <c r="F783" i="1"/>
  <c r="E783" i="1"/>
  <c r="D783" i="1"/>
  <c r="H782" i="1"/>
  <c r="G782" i="1"/>
  <c r="F782" i="1"/>
  <c r="E782" i="1"/>
  <c r="D782" i="1"/>
  <c r="H781" i="1"/>
  <c r="G781" i="1"/>
  <c r="F781" i="1"/>
  <c r="E781" i="1"/>
  <c r="D781" i="1"/>
  <c r="H780" i="1"/>
  <c r="G780" i="1"/>
  <c r="F780" i="1"/>
  <c r="E780" i="1"/>
  <c r="D780" i="1"/>
  <c r="H779" i="1"/>
  <c r="G779" i="1"/>
  <c r="F779" i="1"/>
  <c r="E779" i="1"/>
  <c r="D779" i="1"/>
  <c r="H778" i="1"/>
  <c r="G778" i="1"/>
  <c r="F778" i="1"/>
  <c r="E778" i="1"/>
  <c r="D778" i="1"/>
  <c r="H777" i="1"/>
  <c r="G777" i="1"/>
  <c r="F777" i="1"/>
  <c r="E777" i="1"/>
  <c r="D777" i="1"/>
  <c r="H776" i="1"/>
  <c r="G776" i="1"/>
  <c r="F776" i="1"/>
  <c r="E776" i="1"/>
  <c r="D776" i="1"/>
  <c r="H775" i="1"/>
  <c r="G775" i="1"/>
  <c r="F775" i="1"/>
  <c r="E775" i="1"/>
  <c r="D775" i="1"/>
  <c r="H774" i="1"/>
  <c r="G774" i="1"/>
  <c r="F774" i="1"/>
  <c r="E774" i="1"/>
  <c r="D774" i="1"/>
  <c r="H773" i="1"/>
  <c r="G773" i="1"/>
  <c r="F773" i="1"/>
  <c r="E773" i="1"/>
  <c r="D773" i="1"/>
  <c r="H772" i="1"/>
  <c r="G772" i="1"/>
  <c r="F772" i="1"/>
  <c r="E772" i="1"/>
  <c r="D772" i="1"/>
  <c r="H771" i="1"/>
  <c r="G771" i="1"/>
  <c r="F771" i="1"/>
  <c r="E771" i="1"/>
  <c r="D771" i="1"/>
  <c r="H770" i="1"/>
  <c r="G770" i="1"/>
  <c r="F770" i="1"/>
  <c r="E770" i="1"/>
  <c r="D770" i="1"/>
  <c r="H769" i="1"/>
  <c r="G769" i="1"/>
  <c r="F769" i="1"/>
  <c r="E769" i="1"/>
  <c r="D769" i="1"/>
  <c r="H768" i="1"/>
  <c r="G768" i="1"/>
  <c r="F768" i="1"/>
  <c r="E768" i="1"/>
  <c r="D768" i="1"/>
  <c r="H767" i="1"/>
  <c r="G767" i="1"/>
  <c r="F767" i="1"/>
  <c r="E767" i="1"/>
  <c r="D767" i="1"/>
  <c r="H766" i="1"/>
  <c r="G766" i="1"/>
  <c r="F766" i="1"/>
  <c r="E766" i="1"/>
  <c r="D766" i="1"/>
  <c r="H765" i="1"/>
  <c r="G765" i="1"/>
  <c r="F765" i="1"/>
  <c r="E765" i="1"/>
  <c r="D765" i="1"/>
  <c r="H764" i="1"/>
  <c r="G764" i="1"/>
  <c r="F764" i="1"/>
  <c r="E764" i="1"/>
  <c r="D764" i="1"/>
  <c r="H763" i="1"/>
  <c r="G763" i="1"/>
  <c r="F763" i="1"/>
  <c r="E763" i="1"/>
  <c r="D763" i="1"/>
  <c r="H762" i="1"/>
  <c r="G762" i="1"/>
  <c r="F762" i="1"/>
  <c r="E762" i="1"/>
  <c r="D762" i="1"/>
  <c r="H761" i="1"/>
  <c r="G761" i="1"/>
  <c r="F761" i="1"/>
  <c r="E761" i="1"/>
  <c r="D761" i="1"/>
  <c r="H760" i="1"/>
  <c r="G760" i="1"/>
  <c r="F760" i="1"/>
  <c r="E760" i="1"/>
  <c r="D760" i="1"/>
  <c r="H759" i="1"/>
  <c r="G759" i="1"/>
  <c r="F759" i="1"/>
  <c r="E759" i="1"/>
  <c r="D759" i="1"/>
  <c r="H758" i="1"/>
  <c r="G758" i="1"/>
  <c r="F758" i="1"/>
  <c r="E758" i="1"/>
  <c r="D758" i="1"/>
  <c r="H757" i="1"/>
  <c r="G757" i="1"/>
  <c r="F757" i="1"/>
  <c r="E757" i="1"/>
  <c r="D757" i="1"/>
  <c r="H756" i="1"/>
  <c r="G756" i="1"/>
  <c r="F756" i="1"/>
  <c r="E756" i="1"/>
  <c r="D756" i="1"/>
  <c r="H755" i="1"/>
  <c r="G755" i="1"/>
  <c r="F755" i="1"/>
  <c r="E755" i="1"/>
  <c r="D755" i="1"/>
  <c r="H754" i="1"/>
  <c r="G754" i="1"/>
  <c r="F754" i="1"/>
  <c r="E754" i="1"/>
  <c r="D754" i="1"/>
  <c r="H753" i="1"/>
  <c r="G753" i="1"/>
  <c r="F753" i="1"/>
  <c r="E753" i="1"/>
  <c r="D753" i="1"/>
  <c r="H752" i="1"/>
  <c r="G752" i="1"/>
  <c r="F752" i="1"/>
  <c r="E752" i="1"/>
  <c r="D752" i="1"/>
  <c r="H751" i="1"/>
  <c r="G751" i="1"/>
  <c r="F751" i="1"/>
  <c r="E751" i="1"/>
  <c r="D751" i="1"/>
  <c r="H750" i="1"/>
  <c r="G750" i="1"/>
  <c r="F750" i="1"/>
  <c r="E750" i="1"/>
  <c r="D750" i="1"/>
  <c r="H749" i="1"/>
  <c r="G749" i="1"/>
  <c r="F749" i="1"/>
  <c r="E749" i="1"/>
  <c r="D749" i="1"/>
  <c r="H748" i="1"/>
  <c r="G748" i="1"/>
  <c r="F748" i="1"/>
  <c r="E748" i="1"/>
  <c r="D748" i="1"/>
  <c r="H747" i="1"/>
  <c r="G747" i="1"/>
  <c r="F747" i="1"/>
  <c r="E747" i="1"/>
  <c r="D747" i="1"/>
  <c r="H746" i="1"/>
  <c r="G746" i="1"/>
  <c r="F746" i="1"/>
  <c r="E746" i="1"/>
  <c r="D746" i="1"/>
  <c r="H745" i="1"/>
  <c r="G745" i="1"/>
  <c r="F745" i="1"/>
  <c r="E745" i="1"/>
  <c r="D745" i="1"/>
  <c r="H744" i="1"/>
  <c r="G744" i="1"/>
  <c r="F744" i="1"/>
  <c r="E744" i="1"/>
  <c r="D744" i="1"/>
  <c r="H743" i="1"/>
  <c r="G743" i="1"/>
  <c r="F743" i="1"/>
  <c r="E743" i="1"/>
  <c r="D743" i="1"/>
  <c r="H742" i="1"/>
  <c r="G742" i="1"/>
  <c r="F742" i="1"/>
  <c r="E742" i="1"/>
  <c r="D742" i="1"/>
  <c r="H741" i="1"/>
  <c r="G741" i="1"/>
  <c r="F741" i="1"/>
  <c r="E741" i="1"/>
  <c r="D741" i="1"/>
  <c r="H740" i="1"/>
  <c r="G740" i="1"/>
  <c r="F740" i="1"/>
  <c r="E740" i="1"/>
  <c r="D740" i="1"/>
  <c r="H739" i="1"/>
  <c r="G739" i="1"/>
  <c r="F739" i="1"/>
  <c r="E739" i="1"/>
  <c r="D739" i="1"/>
  <c r="H738" i="1"/>
  <c r="G738" i="1"/>
  <c r="F738" i="1"/>
  <c r="E738" i="1"/>
  <c r="D738" i="1"/>
  <c r="H737" i="1"/>
  <c r="G737" i="1"/>
  <c r="F737" i="1"/>
  <c r="E737" i="1"/>
  <c r="D737" i="1"/>
  <c r="H736" i="1"/>
  <c r="G736" i="1"/>
  <c r="F736" i="1"/>
  <c r="E736" i="1"/>
  <c r="D736" i="1"/>
  <c r="H735" i="1"/>
  <c r="G735" i="1"/>
  <c r="F735" i="1"/>
  <c r="E735" i="1"/>
  <c r="D735" i="1"/>
  <c r="H734" i="1"/>
  <c r="G734" i="1"/>
  <c r="F734" i="1"/>
  <c r="E734" i="1"/>
  <c r="D734" i="1"/>
  <c r="H733" i="1"/>
  <c r="G733" i="1"/>
  <c r="F733" i="1"/>
  <c r="E733" i="1"/>
  <c r="D733" i="1"/>
  <c r="H732" i="1"/>
  <c r="G732" i="1"/>
  <c r="F732" i="1"/>
  <c r="E732" i="1"/>
  <c r="D732" i="1"/>
  <c r="H731" i="1"/>
  <c r="G731" i="1"/>
  <c r="F731" i="1"/>
  <c r="E731" i="1"/>
  <c r="D731" i="1"/>
  <c r="H730" i="1"/>
  <c r="G730" i="1"/>
  <c r="F730" i="1"/>
  <c r="E730" i="1"/>
  <c r="D730" i="1"/>
  <c r="H729" i="1"/>
  <c r="G729" i="1"/>
  <c r="F729" i="1"/>
  <c r="E729" i="1"/>
  <c r="D729" i="1"/>
  <c r="H728" i="1"/>
  <c r="G728" i="1"/>
  <c r="F728" i="1"/>
  <c r="E728" i="1"/>
  <c r="D728" i="1"/>
  <c r="H727" i="1"/>
  <c r="G727" i="1"/>
  <c r="F727" i="1"/>
  <c r="E727" i="1"/>
  <c r="D727" i="1"/>
  <c r="H726" i="1"/>
  <c r="G726" i="1"/>
  <c r="F726" i="1"/>
  <c r="E726" i="1"/>
  <c r="D726" i="1"/>
  <c r="H725" i="1"/>
  <c r="G725" i="1"/>
  <c r="F725" i="1"/>
  <c r="E725" i="1"/>
  <c r="D725" i="1"/>
  <c r="H724" i="1"/>
  <c r="G724" i="1"/>
  <c r="F724" i="1"/>
  <c r="E724" i="1"/>
  <c r="D724" i="1"/>
  <c r="H723" i="1"/>
  <c r="G723" i="1"/>
  <c r="F723" i="1"/>
  <c r="E723" i="1"/>
  <c r="D723" i="1"/>
  <c r="H722" i="1"/>
  <c r="G722" i="1"/>
  <c r="F722" i="1"/>
  <c r="E722" i="1"/>
  <c r="D722" i="1"/>
  <c r="H721" i="1"/>
  <c r="G721" i="1"/>
  <c r="F721" i="1"/>
  <c r="E721" i="1"/>
  <c r="D721" i="1"/>
  <c r="H720" i="1"/>
  <c r="G720" i="1"/>
  <c r="F720" i="1"/>
  <c r="E720" i="1"/>
  <c r="D720" i="1"/>
  <c r="H719" i="1"/>
  <c r="G719" i="1"/>
  <c r="F719" i="1"/>
  <c r="E719" i="1"/>
  <c r="D719" i="1"/>
  <c r="H718" i="1"/>
  <c r="G718" i="1"/>
  <c r="F718" i="1"/>
  <c r="E718" i="1"/>
  <c r="D718" i="1"/>
  <c r="H717" i="1"/>
  <c r="G717" i="1"/>
  <c r="F717" i="1"/>
  <c r="D717" i="1"/>
  <c r="H716" i="1"/>
  <c r="G716" i="1"/>
  <c r="F716" i="1"/>
  <c r="E716" i="1"/>
  <c r="D716" i="1"/>
  <c r="H715" i="1"/>
  <c r="G715" i="1"/>
  <c r="F715" i="1"/>
  <c r="E715" i="1"/>
  <c r="D715" i="1"/>
  <c r="H714" i="1"/>
  <c r="G714" i="1"/>
  <c r="F714" i="1"/>
  <c r="E714" i="1"/>
  <c r="D714" i="1"/>
  <c r="H713" i="1"/>
  <c r="G713" i="1"/>
  <c r="F713" i="1"/>
  <c r="E713" i="1"/>
  <c r="D713" i="1"/>
  <c r="H712" i="1"/>
  <c r="G712" i="1"/>
  <c r="F712" i="1"/>
  <c r="E712" i="1"/>
  <c r="D712" i="1"/>
  <c r="H711" i="1"/>
  <c r="G711" i="1"/>
  <c r="F711" i="1"/>
  <c r="E711" i="1"/>
  <c r="D711" i="1"/>
  <c r="H710" i="1"/>
  <c r="G710" i="1"/>
  <c r="F710" i="1"/>
  <c r="E710" i="1"/>
  <c r="D710" i="1"/>
  <c r="H709" i="1"/>
  <c r="G709" i="1"/>
  <c r="F709" i="1"/>
  <c r="E709" i="1"/>
  <c r="D709" i="1"/>
  <c r="H708" i="1"/>
  <c r="G708" i="1"/>
  <c r="F708" i="1"/>
  <c r="E708" i="1"/>
  <c r="D708" i="1"/>
  <c r="H707" i="1"/>
  <c r="G707" i="1"/>
  <c r="F707" i="1"/>
  <c r="E707" i="1"/>
  <c r="D707" i="1"/>
  <c r="H706" i="1"/>
  <c r="G706" i="1"/>
  <c r="F706" i="1"/>
  <c r="E706" i="1"/>
  <c r="D706" i="1"/>
  <c r="H705" i="1"/>
  <c r="G705" i="1"/>
  <c r="F705" i="1"/>
  <c r="E705" i="1"/>
  <c r="D705" i="1"/>
  <c r="H704" i="1"/>
  <c r="G704" i="1"/>
  <c r="F704" i="1"/>
  <c r="E704" i="1"/>
  <c r="D704" i="1"/>
  <c r="H703" i="1"/>
  <c r="G703" i="1"/>
  <c r="F703" i="1"/>
  <c r="E703" i="1"/>
  <c r="D703" i="1"/>
  <c r="H702" i="1"/>
  <c r="G702" i="1"/>
  <c r="F702" i="1"/>
  <c r="E702" i="1"/>
  <c r="D702" i="1"/>
  <c r="H701" i="1"/>
  <c r="G701" i="1"/>
  <c r="F701" i="1"/>
  <c r="E701" i="1"/>
  <c r="D701" i="1"/>
  <c r="H700" i="1"/>
  <c r="G700" i="1"/>
  <c r="F700" i="1"/>
  <c r="D700" i="1"/>
  <c r="H699" i="1"/>
  <c r="G699" i="1"/>
  <c r="F699" i="1"/>
  <c r="E699" i="1"/>
  <c r="D699" i="1"/>
  <c r="H698" i="1"/>
  <c r="G698" i="1"/>
  <c r="F698" i="1"/>
  <c r="E698" i="1"/>
  <c r="D698" i="1"/>
  <c r="H697" i="1"/>
  <c r="G697" i="1"/>
  <c r="F697" i="1"/>
  <c r="E697" i="1"/>
  <c r="D697" i="1"/>
  <c r="H696" i="1"/>
  <c r="G696" i="1"/>
  <c r="F696" i="1"/>
  <c r="E696" i="1"/>
  <c r="D696" i="1"/>
  <c r="H695" i="1"/>
  <c r="G695" i="1"/>
  <c r="F695" i="1"/>
  <c r="E695" i="1"/>
  <c r="D695" i="1"/>
  <c r="H694" i="1"/>
  <c r="G694" i="1"/>
  <c r="F694" i="1"/>
  <c r="E694" i="1"/>
  <c r="D694" i="1"/>
  <c r="H693" i="1"/>
  <c r="G693" i="1"/>
  <c r="F693" i="1"/>
  <c r="E693" i="1"/>
  <c r="D693" i="1"/>
  <c r="H692" i="1"/>
  <c r="G692" i="1"/>
  <c r="F692" i="1"/>
  <c r="E692" i="1"/>
  <c r="D692" i="1"/>
  <c r="H691" i="1"/>
  <c r="G691" i="1"/>
  <c r="F691" i="1"/>
  <c r="E691" i="1"/>
  <c r="D691" i="1"/>
  <c r="H690" i="1"/>
  <c r="G690" i="1"/>
  <c r="F690" i="1"/>
  <c r="E690" i="1"/>
  <c r="D690" i="1"/>
  <c r="H689" i="1"/>
  <c r="G689" i="1"/>
  <c r="F689" i="1"/>
  <c r="E689" i="1"/>
  <c r="D689" i="1"/>
  <c r="H688" i="1"/>
  <c r="G688" i="1"/>
  <c r="F688" i="1"/>
  <c r="E688" i="1"/>
  <c r="D688" i="1"/>
  <c r="H687" i="1"/>
  <c r="G687" i="1"/>
  <c r="F687" i="1"/>
  <c r="E687" i="1"/>
  <c r="D687" i="1"/>
  <c r="H686" i="1"/>
  <c r="G686" i="1"/>
  <c r="F686" i="1"/>
  <c r="E686" i="1"/>
  <c r="D686" i="1"/>
  <c r="H685" i="1"/>
  <c r="G685" i="1"/>
  <c r="F685" i="1"/>
  <c r="E685" i="1"/>
  <c r="D685" i="1"/>
  <c r="H684" i="1"/>
  <c r="G684" i="1"/>
  <c r="F684" i="1"/>
  <c r="E684" i="1"/>
  <c r="D684" i="1"/>
  <c r="H683" i="1"/>
  <c r="G683" i="1"/>
  <c r="F683" i="1"/>
  <c r="E683" i="1"/>
  <c r="D683" i="1"/>
  <c r="H682" i="1"/>
  <c r="G682" i="1"/>
  <c r="F682" i="1"/>
  <c r="E682" i="1"/>
  <c r="D682" i="1"/>
  <c r="H681" i="1"/>
  <c r="G681" i="1"/>
  <c r="F681" i="1"/>
  <c r="E681" i="1"/>
  <c r="D681" i="1"/>
  <c r="H680" i="1"/>
  <c r="G680" i="1"/>
  <c r="F680" i="1"/>
  <c r="E680" i="1"/>
  <c r="D680" i="1"/>
  <c r="H679" i="1"/>
  <c r="G679" i="1"/>
  <c r="F679" i="1"/>
  <c r="E679" i="1"/>
  <c r="D679" i="1"/>
  <c r="H678" i="1"/>
  <c r="G678" i="1"/>
  <c r="F678" i="1"/>
  <c r="E678" i="1"/>
  <c r="D678" i="1"/>
  <c r="H677" i="1"/>
  <c r="G677" i="1"/>
  <c r="F677" i="1"/>
  <c r="E677" i="1"/>
  <c r="D677" i="1"/>
  <c r="H676" i="1"/>
  <c r="G676" i="1"/>
  <c r="F676" i="1"/>
  <c r="E676" i="1"/>
  <c r="D676" i="1"/>
  <c r="H675" i="1"/>
  <c r="G675" i="1"/>
  <c r="F675" i="1"/>
  <c r="E675" i="1"/>
  <c r="D675" i="1"/>
  <c r="H674" i="1"/>
  <c r="G674" i="1"/>
  <c r="F674" i="1"/>
  <c r="E674" i="1"/>
  <c r="D674" i="1"/>
  <c r="H673" i="1"/>
  <c r="G673" i="1"/>
  <c r="F673" i="1"/>
  <c r="E673" i="1"/>
  <c r="D673" i="1"/>
  <c r="H672" i="1"/>
  <c r="G672" i="1"/>
  <c r="F672" i="1"/>
  <c r="E672" i="1"/>
  <c r="D672" i="1"/>
  <c r="H671" i="1"/>
  <c r="G671" i="1"/>
  <c r="F671" i="1"/>
  <c r="E671" i="1"/>
  <c r="D671" i="1"/>
  <c r="H670" i="1"/>
  <c r="G670" i="1"/>
  <c r="F670" i="1"/>
  <c r="E670" i="1"/>
  <c r="D670" i="1"/>
  <c r="H669" i="1"/>
  <c r="G669" i="1"/>
  <c r="F669" i="1"/>
  <c r="E669" i="1"/>
  <c r="D669" i="1"/>
  <c r="H668" i="1"/>
  <c r="G668" i="1"/>
  <c r="F668" i="1"/>
  <c r="E668" i="1"/>
  <c r="D668" i="1"/>
  <c r="H667" i="1"/>
  <c r="G667" i="1"/>
  <c r="F667" i="1"/>
  <c r="E667" i="1"/>
  <c r="D667" i="1"/>
  <c r="H666" i="1"/>
  <c r="G666" i="1"/>
  <c r="F666" i="1"/>
  <c r="E666" i="1"/>
  <c r="D666" i="1"/>
  <c r="H665" i="1"/>
  <c r="G665" i="1"/>
  <c r="F665" i="1"/>
  <c r="E665" i="1"/>
  <c r="D665" i="1"/>
  <c r="H664" i="1"/>
  <c r="G664" i="1"/>
  <c r="F664" i="1"/>
  <c r="E664" i="1"/>
  <c r="D664" i="1"/>
  <c r="H663" i="1"/>
  <c r="G663" i="1"/>
  <c r="F663" i="1"/>
  <c r="E663" i="1"/>
  <c r="D663" i="1"/>
  <c r="H662" i="1"/>
  <c r="G662" i="1"/>
  <c r="F662" i="1"/>
  <c r="E662" i="1"/>
  <c r="D662" i="1"/>
  <c r="H661" i="1"/>
  <c r="G661" i="1"/>
  <c r="F661" i="1"/>
  <c r="E661" i="1"/>
  <c r="D661" i="1"/>
  <c r="H660" i="1"/>
  <c r="G660" i="1"/>
  <c r="F660" i="1"/>
  <c r="E660" i="1"/>
  <c r="D660" i="1"/>
  <c r="H659" i="1"/>
  <c r="G659" i="1"/>
  <c r="F659" i="1"/>
  <c r="E659" i="1"/>
  <c r="D659" i="1"/>
  <c r="H658" i="1"/>
  <c r="G658" i="1"/>
  <c r="F658" i="1"/>
  <c r="E658" i="1"/>
  <c r="D658" i="1"/>
  <c r="H657" i="1"/>
  <c r="G657" i="1"/>
  <c r="F657" i="1"/>
  <c r="E657" i="1"/>
  <c r="D657" i="1"/>
  <c r="H656" i="1"/>
  <c r="G656" i="1"/>
  <c r="F656" i="1"/>
  <c r="E656" i="1"/>
  <c r="D656" i="1"/>
  <c r="H655" i="1"/>
  <c r="G655" i="1"/>
  <c r="F655" i="1"/>
  <c r="E655" i="1"/>
  <c r="D655" i="1"/>
  <c r="H654" i="1"/>
  <c r="G654" i="1"/>
  <c r="F654" i="1"/>
  <c r="E654" i="1"/>
  <c r="D654" i="1"/>
  <c r="H653" i="1"/>
  <c r="G653" i="1"/>
  <c r="F653" i="1"/>
  <c r="E653" i="1"/>
  <c r="D653" i="1"/>
  <c r="H652" i="1"/>
  <c r="G652" i="1"/>
  <c r="F652" i="1"/>
  <c r="E652" i="1"/>
  <c r="D652" i="1"/>
  <c r="H651" i="1"/>
  <c r="G651" i="1"/>
  <c r="F651" i="1"/>
  <c r="E651" i="1"/>
  <c r="D651" i="1"/>
  <c r="H650" i="1"/>
  <c r="G650" i="1"/>
  <c r="F650" i="1"/>
  <c r="E650" i="1"/>
  <c r="D650" i="1"/>
  <c r="H649" i="1"/>
  <c r="G649" i="1"/>
  <c r="F649" i="1"/>
  <c r="E649" i="1"/>
  <c r="D649" i="1"/>
  <c r="H648" i="1"/>
  <c r="G648" i="1"/>
  <c r="F648" i="1"/>
  <c r="E648" i="1"/>
  <c r="D648" i="1"/>
  <c r="H647" i="1"/>
  <c r="G647" i="1"/>
  <c r="F647" i="1"/>
  <c r="E647" i="1"/>
  <c r="D647" i="1"/>
  <c r="H646" i="1"/>
  <c r="G646" i="1"/>
  <c r="F646" i="1"/>
  <c r="E646" i="1"/>
  <c r="D646" i="1"/>
  <c r="H645" i="1"/>
  <c r="G645" i="1"/>
  <c r="F645" i="1"/>
  <c r="E645" i="1"/>
  <c r="D645" i="1"/>
  <c r="H644" i="1"/>
  <c r="G644" i="1"/>
  <c r="F644" i="1"/>
  <c r="E644" i="1"/>
  <c r="D644" i="1"/>
  <c r="H643" i="1"/>
  <c r="G643" i="1"/>
  <c r="F643" i="1"/>
  <c r="E643" i="1"/>
  <c r="D643" i="1"/>
  <c r="H642" i="1"/>
  <c r="G642" i="1"/>
  <c r="F642" i="1"/>
  <c r="E642" i="1"/>
  <c r="D642" i="1"/>
  <c r="H641" i="1"/>
  <c r="G641" i="1"/>
  <c r="F641" i="1"/>
  <c r="E641" i="1"/>
  <c r="D641" i="1"/>
  <c r="H640" i="1"/>
  <c r="G640" i="1"/>
  <c r="F640" i="1"/>
  <c r="E640" i="1"/>
  <c r="D640" i="1"/>
  <c r="H639" i="1"/>
  <c r="G639" i="1"/>
  <c r="F639" i="1"/>
  <c r="E639" i="1"/>
  <c r="D639" i="1"/>
  <c r="H638" i="1"/>
  <c r="G638" i="1"/>
  <c r="F638" i="1"/>
  <c r="E638" i="1"/>
  <c r="D638" i="1"/>
  <c r="H637" i="1"/>
  <c r="G637" i="1"/>
  <c r="F637" i="1"/>
  <c r="E637" i="1"/>
  <c r="D637" i="1"/>
  <c r="H636" i="1"/>
  <c r="G636" i="1"/>
  <c r="F636" i="1"/>
  <c r="E636" i="1"/>
  <c r="D636" i="1"/>
  <c r="H635" i="1"/>
  <c r="G635" i="1"/>
  <c r="F635" i="1"/>
  <c r="E635" i="1"/>
  <c r="D635" i="1"/>
  <c r="H634" i="1"/>
  <c r="G634" i="1"/>
  <c r="F634" i="1"/>
  <c r="E634" i="1"/>
  <c r="D634" i="1"/>
  <c r="H633" i="1"/>
  <c r="G633" i="1"/>
  <c r="F633" i="1"/>
  <c r="E633" i="1"/>
  <c r="D633" i="1"/>
  <c r="H632" i="1"/>
  <c r="G632" i="1"/>
  <c r="F632" i="1"/>
  <c r="E632" i="1"/>
  <c r="D632" i="1"/>
  <c r="H631" i="1"/>
  <c r="G631" i="1"/>
  <c r="F631" i="1"/>
  <c r="E631" i="1"/>
  <c r="D631" i="1"/>
  <c r="H630" i="1"/>
  <c r="G630" i="1"/>
  <c r="F630" i="1"/>
  <c r="E630" i="1"/>
  <c r="D630" i="1"/>
  <c r="H629" i="1"/>
  <c r="G629" i="1"/>
  <c r="F629" i="1"/>
  <c r="E629" i="1"/>
  <c r="D629" i="1"/>
  <c r="H628" i="1"/>
  <c r="G628" i="1"/>
  <c r="F628" i="1"/>
  <c r="E628" i="1"/>
  <c r="D628" i="1"/>
  <c r="H627" i="1"/>
  <c r="G627" i="1"/>
  <c r="F627" i="1"/>
  <c r="E627" i="1"/>
  <c r="D627" i="1"/>
  <c r="H626" i="1"/>
  <c r="G626" i="1"/>
  <c r="F626" i="1"/>
  <c r="E626" i="1"/>
  <c r="D626" i="1"/>
  <c r="H625" i="1"/>
  <c r="G625" i="1"/>
  <c r="F625" i="1"/>
  <c r="E625" i="1"/>
  <c r="D625" i="1"/>
  <c r="H624" i="1"/>
  <c r="G624" i="1"/>
  <c r="F624" i="1"/>
  <c r="E624" i="1"/>
  <c r="D624" i="1"/>
  <c r="H623" i="1"/>
  <c r="G623" i="1"/>
  <c r="F623" i="1"/>
  <c r="E623" i="1"/>
  <c r="D623" i="1"/>
  <c r="H622" i="1"/>
  <c r="G622" i="1"/>
  <c r="F622" i="1"/>
  <c r="E622" i="1"/>
  <c r="D622" i="1"/>
  <c r="H621" i="1"/>
  <c r="G621" i="1"/>
  <c r="F621" i="1"/>
  <c r="E621" i="1"/>
  <c r="D621" i="1"/>
  <c r="H620" i="1"/>
  <c r="G620" i="1"/>
  <c r="F620" i="1"/>
  <c r="E620" i="1"/>
  <c r="D620" i="1"/>
  <c r="H619" i="1"/>
  <c r="G619" i="1"/>
  <c r="F619" i="1"/>
  <c r="E619" i="1"/>
  <c r="D619" i="1"/>
  <c r="H618" i="1"/>
  <c r="G618" i="1"/>
  <c r="F618" i="1"/>
  <c r="E618" i="1"/>
  <c r="D618" i="1"/>
  <c r="H617" i="1"/>
  <c r="G617" i="1"/>
  <c r="F617" i="1"/>
  <c r="E617" i="1"/>
  <c r="D617" i="1"/>
  <c r="H616" i="1"/>
  <c r="G616" i="1"/>
  <c r="F616" i="1"/>
  <c r="E616" i="1"/>
  <c r="D616" i="1"/>
  <c r="H615" i="1"/>
  <c r="G615" i="1"/>
  <c r="F615" i="1"/>
  <c r="E615" i="1"/>
  <c r="D615" i="1"/>
  <c r="H614" i="1"/>
  <c r="G614" i="1"/>
  <c r="F614" i="1"/>
  <c r="E614" i="1"/>
  <c r="D614" i="1"/>
  <c r="H613" i="1"/>
  <c r="G613" i="1"/>
  <c r="F613" i="1"/>
  <c r="E613" i="1"/>
  <c r="D613" i="1"/>
  <c r="H612" i="1"/>
  <c r="G612" i="1"/>
  <c r="F612" i="1"/>
  <c r="E612" i="1"/>
  <c r="D612" i="1"/>
  <c r="H611" i="1"/>
  <c r="G611" i="1"/>
  <c r="F611" i="1"/>
  <c r="E611" i="1"/>
  <c r="D611" i="1"/>
  <c r="H610" i="1"/>
  <c r="G610" i="1"/>
  <c r="F610" i="1"/>
  <c r="E610" i="1"/>
  <c r="D610" i="1"/>
  <c r="H609" i="1"/>
  <c r="G609" i="1"/>
  <c r="F609" i="1"/>
  <c r="E609" i="1"/>
  <c r="D609" i="1"/>
  <c r="H608" i="1"/>
  <c r="G608" i="1"/>
  <c r="F608" i="1"/>
  <c r="E608" i="1"/>
  <c r="D608" i="1"/>
  <c r="H607" i="1"/>
  <c r="G607" i="1"/>
  <c r="F607" i="1"/>
  <c r="E607" i="1"/>
  <c r="D607" i="1"/>
  <c r="H606" i="1"/>
  <c r="G606" i="1"/>
  <c r="F606" i="1"/>
  <c r="E606" i="1"/>
  <c r="D606" i="1"/>
  <c r="H605" i="1"/>
  <c r="G605" i="1"/>
  <c r="F605" i="1"/>
  <c r="E605" i="1"/>
  <c r="D605" i="1"/>
  <c r="H604" i="1"/>
  <c r="G604" i="1"/>
  <c r="F604" i="1"/>
  <c r="E604" i="1"/>
  <c r="D604" i="1"/>
  <c r="H603" i="1"/>
  <c r="G603" i="1"/>
  <c r="F603" i="1"/>
  <c r="E603" i="1"/>
  <c r="D603" i="1"/>
  <c r="H602" i="1"/>
  <c r="G602" i="1"/>
  <c r="F602" i="1"/>
  <c r="E602" i="1"/>
  <c r="D602" i="1"/>
  <c r="H601" i="1"/>
  <c r="G601" i="1"/>
  <c r="F601" i="1"/>
  <c r="E601" i="1"/>
  <c r="D601" i="1"/>
  <c r="H600" i="1"/>
  <c r="G600" i="1"/>
  <c r="F600" i="1"/>
  <c r="E600" i="1"/>
  <c r="D600" i="1"/>
  <c r="H599" i="1"/>
  <c r="G599" i="1"/>
  <c r="F599" i="1"/>
  <c r="E599" i="1"/>
  <c r="D599" i="1"/>
  <c r="H598" i="1"/>
  <c r="G598" i="1"/>
  <c r="F598" i="1"/>
  <c r="E598" i="1"/>
  <c r="D598" i="1"/>
  <c r="H597" i="1"/>
  <c r="G597" i="1"/>
  <c r="F597" i="1"/>
  <c r="E597" i="1"/>
  <c r="D597" i="1"/>
  <c r="H596" i="1"/>
  <c r="G596" i="1"/>
  <c r="F596" i="1"/>
  <c r="E596" i="1"/>
  <c r="D596" i="1"/>
  <c r="H595" i="1"/>
  <c r="G595" i="1"/>
  <c r="F595" i="1"/>
  <c r="E595" i="1"/>
  <c r="D595" i="1"/>
  <c r="H594" i="1"/>
  <c r="G594" i="1"/>
  <c r="F594" i="1"/>
  <c r="E594" i="1"/>
  <c r="D594" i="1"/>
  <c r="H593" i="1"/>
  <c r="G593" i="1"/>
  <c r="F593" i="1"/>
  <c r="E593" i="1"/>
  <c r="D593" i="1"/>
  <c r="H592" i="1"/>
  <c r="G592" i="1"/>
  <c r="F592" i="1"/>
  <c r="E592" i="1"/>
  <c r="D592" i="1"/>
  <c r="H591" i="1"/>
  <c r="G591" i="1"/>
  <c r="F591" i="1"/>
  <c r="E591" i="1"/>
  <c r="D591" i="1"/>
  <c r="H590" i="1"/>
  <c r="G590" i="1"/>
  <c r="F590" i="1"/>
  <c r="E590" i="1"/>
  <c r="D590" i="1"/>
  <c r="H589" i="1"/>
  <c r="G589" i="1"/>
  <c r="F589" i="1"/>
  <c r="E589" i="1"/>
  <c r="D589" i="1"/>
  <c r="H588" i="1"/>
  <c r="G588" i="1"/>
  <c r="F588" i="1"/>
  <c r="E588" i="1"/>
  <c r="D588" i="1"/>
  <c r="H587" i="1"/>
  <c r="G587" i="1"/>
  <c r="F587" i="1"/>
  <c r="E587" i="1"/>
  <c r="D587" i="1"/>
  <c r="H586" i="1"/>
  <c r="G586" i="1"/>
  <c r="F586" i="1"/>
  <c r="E586" i="1"/>
  <c r="D586" i="1"/>
  <c r="H585" i="1"/>
  <c r="G585" i="1"/>
  <c r="F585" i="1"/>
  <c r="E585" i="1"/>
  <c r="D585" i="1"/>
  <c r="H584" i="1"/>
  <c r="G584" i="1"/>
  <c r="F584" i="1"/>
  <c r="E584" i="1"/>
  <c r="D584" i="1"/>
  <c r="H583" i="1"/>
  <c r="G583" i="1"/>
  <c r="F583" i="1"/>
  <c r="E583" i="1"/>
  <c r="D583" i="1"/>
  <c r="H582" i="1"/>
  <c r="G582" i="1"/>
  <c r="F582" i="1"/>
  <c r="E582" i="1"/>
  <c r="D582" i="1"/>
  <c r="H581" i="1"/>
  <c r="G581" i="1"/>
  <c r="F581" i="1"/>
  <c r="E581" i="1"/>
  <c r="D581" i="1"/>
  <c r="H580" i="1"/>
  <c r="G580" i="1"/>
  <c r="F580" i="1"/>
  <c r="E580" i="1"/>
  <c r="D580" i="1"/>
  <c r="H579" i="1"/>
  <c r="G579" i="1"/>
  <c r="F579" i="1"/>
  <c r="E579" i="1"/>
  <c r="D579" i="1"/>
  <c r="H578" i="1"/>
  <c r="G578" i="1"/>
  <c r="F578" i="1"/>
  <c r="E578" i="1"/>
  <c r="D578" i="1"/>
  <c r="H577" i="1"/>
  <c r="G577" i="1"/>
  <c r="F577" i="1"/>
  <c r="E577" i="1"/>
  <c r="D577" i="1"/>
  <c r="H576" i="1"/>
  <c r="G576" i="1"/>
  <c r="F576" i="1"/>
  <c r="E576" i="1"/>
  <c r="D576" i="1"/>
  <c r="H575" i="1"/>
  <c r="G575" i="1"/>
  <c r="F575" i="1"/>
  <c r="E575" i="1"/>
  <c r="D575" i="1"/>
  <c r="H574" i="1"/>
  <c r="G574" i="1"/>
  <c r="F574" i="1"/>
  <c r="E574" i="1"/>
  <c r="D574" i="1"/>
  <c r="H573" i="1"/>
  <c r="G573" i="1"/>
  <c r="F573" i="1"/>
  <c r="E573" i="1"/>
  <c r="D573" i="1"/>
  <c r="H572" i="1"/>
  <c r="G572" i="1"/>
  <c r="F572" i="1"/>
  <c r="E572" i="1"/>
  <c r="D572" i="1"/>
  <c r="H571" i="1"/>
  <c r="G571" i="1"/>
  <c r="F571" i="1"/>
  <c r="E571" i="1"/>
  <c r="D571" i="1"/>
  <c r="H570" i="1"/>
  <c r="G570" i="1"/>
  <c r="F570" i="1"/>
  <c r="E570" i="1"/>
  <c r="D570" i="1"/>
  <c r="H569" i="1"/>
  <c r="G569" i="1"/>
  <c r="F569" i="1"/>
  <c r="E569" i="1"/>
  <c r="D569" i="1"/>
  <c r="H568" i="1"/>
  <c r="G568" i="1"/>
  <c r="F568" i="1"/>
  <c r="E568" i="1"/>
  <c r="D568" i="1"/>
  <c r="H567" i="1"/>
  <c r="G567" i="1"/>
  <c r="F567" i="1"/>
  <c r="E567" i="1"/>
  <c r="D567" i="1"/>
  <c r="H566" i="1"/>
  <c r="G566" i="1"/>
  <c r="F566" i="1"/>
  <c r="E566" i="1"/>
  <c r="D566" i="1"/>
  <c r="H565" i="1"/>
  <c r="G565" i="1"/>
  <c r="F565" i="1"/>
  <c r="E565" i="1"/>
  <c r="D565" i="1"/>
  <c r="H564" i="1"/>
  <c r="G564" i="1"/>
  <c r="F564" i="1"/>
  <c r="E564" i="1"/>
  <c r="D564" i="1"/>
  <c r="H563" i="1"/>
  <c r="G563" i="1"/>
  <c r="F563" i="1"/>
  <c r="E563" i="1"/>
  <c r="D563" i="1"/>
  <c r="H562" i="1"/>
  <c r="G562" i="1"/>
  <c r="F562" i="1"/>
  <c r="E562" i="1"/>
  <c r="D562" i="1"/>
  <c r="H561" i="1"/>
  <c r="G561" i="1"/>
  <c r="F561" i="1"/>
  <c r="E561" i="1"/>
  <c r="D561" i="1"/>
  <c r="H560" i="1"/>
  <c r="G560" i="1"/>
  <c r="F560" i="1"/>
  <c r="E560" i="1"/>
  <c r="D560" i="1"/>
  <c r="H559" i="1"/>
  <c r="G559" i="1"/>
  <c r="F559" i="1"/>
  <c r="E559" i="1"/>
  <c r="D559" i="1"/>
  <c r="H558" i="1"/>
  <c r="G558" i="1"/>
  <c r="F558" i="1"/>
  <c r="E558" i="1"/>
  <c r="D558" i="1"/>
  <c r="H557" i="1"/>
  <c r="G557" i="1"/>
  <c r="F557" i="1"/>
  <c r="E557" i="1"/>
  <c r="D557" i="1"/>
  <c r="H556" i="1"/>
  <c r="G556" i="1"/>
  <c r="F556" i="1"/>
  <c r="E556" i="1"/>
  <c r="D556" i="1"/>
  <c r="H555" i="1"/>
  <c r="G555" i="1"/>
  <c r="F555" i="1"/>
  <c r="E555" i="1"/>
  <c r="D555" i="1"/>
  <c r="H554" i="1"/>
  <c r="G554" i="1"/>
  <c r="F554" i="1"/>
  <c r="E554" i="1"/>
  <c r="D554" i="1"/>
  <c r="H553" i="1"/>
  <c r="G553" i="1"/>
  <c r="F553" i="1"/>
  <c r="E553" i="1"/>
  <c r="D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D549" i="1"/>
  <c r="H548" i="1"/>
  <c r="G548" i="1"/>
  <c r="F548" i="1"/>
  <c r="E548" i="1"/>
  <c r="D548" i="1"/>
  <c r="H547" i="1"/>
  <c r="G547" i="1"/>
  <c r="F547" i="1"/>
  <c r="E547" i="1"/>
  <c r="D547" i="1"/>
  <c r="H546" i="1"/>
  <c r="G546" i="1"/>
  <c r="F546" i="1"/>
  <c r="E546" i="1"/>
  <c r="D546" i="1"/>
  <c r="H545" i="1"/>
  <c r="G545" i="1"/>
  <c r="F545" i="1"/>
  <c r="E545" i="1"/>
  <c r="D545" i="1"/>
  <c r="H544" i="1"/>
  <c r="G544" i="1"/>
  <c r="F544" i="1"/>
  <c r="E544" i="1"/>
  <c r="D544" i="1"/>
  <c r="H543" i="1"/>
  <c r="G543" i="1"/>
  <c r="F543" i="1"/>
  <c r="E543" i="1"/>
  <c r="D543" i="1"/>
  <c r="H542" i="1"/>
  <c r="G542" i="1"/>
  <c r="F542" i="1"/>
  <c r="E542" i="1"/>
  <c r="D542" i="1"/>
  <c r="H541" i="1"/>
  <c r="G541" i="1"/>
  <c r="F541" i="1"/>
  <c r="E541" i="1"/>
  <c r="D541" i="1"/>
  <c r="H540" i="1"/>
  <c r="G540" i="1"/>
  <c r="F540" i="1"/>
  <c r="E540" i="1"/>
  <c r="D540" i="1"/>
  <c r="H539" i="1"/>
  <c r="G539" i="1"/>
  <c r="F539" i="1"/>
  <c r="E539" i="1"/>
  <c r="D539" i="1"/>
  <c r="H538" i="1"/>
  <c r="G538" i="1"/>
  <c r="F538" i="1"/>
  <c r="E538" i="1"/>
  <c r="D538" i="1"/>
  <c r="H537" i="1"/>
  <c r="G537" i="1"/>
  <c r="F537" i="1"/>
  <c r="E537" i="1"/>
  <c r="D537" i="1"/>
  <c r="H536" i="1"/>
  <c r="G536" i="1"/>
  <c r="F536" i="1"/>
  <c r="E536" i="1"/>
  <c r="D536" i="1"/>
  <c r="H535" i="1"/>
  <c r="G535" i="1"/>
  <c r="F535" i="1"/>
  <c r="E535" i="1"/>
  <c r="D535" i="1"/>
  <c r="H534" i="1"/>
  <c r="G534" i="1"/>
  <c r="F534" i="1"/>
  <c r="E534" i="1"/>
  <c r="D534" i="1"/>
  <c r="H533" i="1"/>
  <c r="G533" i="1"/>
  <c r="F533" i="1"/>
  <c r="E533" i="1"/>
  <c r="D533" i="1"/>
  <c r="H532" i="1"/>
  <c r="G532" i="1"/>
  <c r="F532" i="1"/>
  <c r="E532" i="1"/>
  <c r="D532" i="1"/>
  <c r="H531" i="1"/>
  <c r="G531" i="1"/>
  <c r="F531" i="1"/>
  <c r="E531" i="1"/>
  <c r="D531" i="1"/>
  <c r="H530" i="1"/>
  <c r="G530" i="1"/>
  <c r="F530" i="1"/>
  <c r="E530" i="1"/>
  <c r="D530" i="1"/>
  <c r="H529" i="1"/>
  <c r="G529" i="1"/>
  <c r="F529" i="1"/>
  <c r="E529" i="1"/>
  <c r="D529" i="1"/>
  <c r="H528" i="1"/>
  <c r="G528" i="1"/>
  <c r="F528" i="1"/>
  <c r="E528" i="1"/>
  <c r="D528" i="1"/>
  <c r="H527" i="1"/>
  <c r="G527" i="1"/>
  <c r="F527" i="1"/>
  <c r="E527" i="1"/>
  <c r="D527" i="1"/>
  <c r="H526" i="1"/>
  <c r="G526" i="1"/>
  <c r="F526" i="1"/>
  <c r="E526" i="1"/>
  <c r="D526" i="1"/>
  <c r="H525" i="1"/>
  <c r="G525" i="1"/>
  <c r="F525" i="1"/>
  <c r="E525" i="1"/>
  <c r="D525" i="1"/>
  <c r="H524" i="1"/>
  <c r="G524" i="1"/>
  <c r="F524" i="1"/>
  <c r="E524" i="1"/>
  <c r="D524" i="1"/>
  <c r="H523" i="1"/>
  <c r="G523" i="1"/>
  <c r="F523" i="1"/>
  <c r="E523" i="1"/>
  <c r="D523" i="1"/>
  <c r="H522" i="1"/>
  <c r="G522" i="1"/>
  <c r="F522" i="1"/>
  <c r="E522" i="1"/>
  <c r="D522" i="1"/>
  <c r="H521" i="1"/>
  <c r="G521" i="1"/>
  <c r="F521" i="1"/>
  <c r="E521" i="1"/>
  <c r="D521" i="1"/>
  <c r="H520" i="1"/>
  <c r="G520" i="1"/>
  <c r="F520" i="1"/>
  <c r="E520" i="1"/>
  <c r="D520" i="1"/>
  <c r="H519" i="1"/>
  <c r="G519" i="1"/>
  <c r="F519" i="1"/>
  <c r="E519" i="1"/>
  <c r="D519" i="1"/>
  <c r="H518" i="1"/>
  <c r="G518" i="1"/>
  <c r="F518" i="1"/>
  <c r="E518" i="1"/>
  <c r="D518" i="1"/>
  <c r="H517" i="1"/>
  <c r="G517" i="1"/>
  <c r="F517" i="1"/>
  <c r="E517" i="1"/>
  <c r="D517" i="1"/>
  <c r="H516" i="1"/>
  <c r="G516" i="1"/>
  <c r="F516" i="1"/>
  <c r="E516" i="1"/>
  <c r="D516" i="1"/>
  <c r="H515" i="1"/>
  <c r="G515" i="1"/>
  <c r="F515" i="1"/>
  <c r="E515" i="1"/>
  <c r="D515" i="1"/>
  <c r="H514" i="1"/>
  <c r="G514" i="1"/>
  <c r="F514" i="1"/>
  <c r="E514" i="1"/>
  <c r="D514" i="1"/>
  <c r="H513" i="1"/>
  <c r="G513" i="1"/>
  <c r="F513" i="1"/>
  <c r="E513" i="1"/>
  <c r="D513" i="1"/>
  <c r="H512" i="1"/>
  <c r="G512" i="1"/>
  <c r="F512" i="1"/>
  <c r="E512" i="1"/>
  <c r="D512" i="1"/>
  <c r="H511" i="1"/>
  <c r="G511" i="1"/>
  <c r="F511" i="1"/>
  <c r="E511" i="1"/>
  <c r="D511" i="1"/>
  <c r="H510" i="1"/>
  <c r="G510" i="1"/>
  <c r="F510" i="1"/>
  <c r="E510" i="1"/>
  <c r="D510" i="1"/>
  <c r="H509" i="1"/>
  <c r="G509" i="1"/>
  <c r="F509" i="1"/>
  <c r="E509" i="1"/>
  <c r="D509" i="1"/>
  <c r="H508" i="1"/>
  <c r="G508" i="1"/>
  <c r="F508" i="1"/>
  <c r="E508" i="1"/>
  <c r="D508" i="1"/>
  <c r="H507" i="1"/>
  <c r="G507" i="1"/>
  <c r="F507" i="1"/>
  <c r="E507" i="1"/>
  <c r="D507" i="1"/>
  <c r="H506" i="1"/>
  <c r="G506" i="1"/>
  <c r="F506" i="1"/>
  <c r="E506" i="1"/>
  <c r="D506" i="1"/>
  <c r="H505" i="1"/>
  <c r="G505" i="1"/>
  <c r="F505" i="1"/>
  <c r="E505" i="1"/>
  <c r="D505" i="1"/>
  <c r="H504" i="1"/>
  <c r="G504" i="1"/>
  <c r="F504" i="1"/>
  <c r="E504" i="1"/>
  <c r="D504" i="1"/>
  <c r="H503" i="1"/>
  <c r="G503" i="1"/>
  <c r="F503" i="1"/>
  <c r="E503" i="1"/>
  <c r="D503" i="1"/>
  <c r="H502" i="1"/>
  <c r="G502" i="1"/>
  <c r="F502" i="1"/>
  <c r="E502" i="1"/>
  <c r="D502" i="1"/>
  <c r="H501" i="1"/>
  <c r="G501" i="1"/>
  <c r="F501" i="1"/>
  <c r="E501" i="1"/>
  <c r="D501" i="1"/>
  <c r="H500" i="1"/>
  <c r="G500" i="1"/>
  <c r="F500" i="1"/>
  <c r="E500" i="1"/>
  <c r="D500" i="1"/>
  <c r="H499" i="1"/>
  <c r="G499" i="1"/>
  <c r="F499" i="1"/>
  <c r="E499" i="1"/>
  <c r="D499" i="1"/>
  <c r="H498" i="1"/>
  <c r="G498" i="1"/>
  <c r="F498" i="1"/>
  <c r="E498" i="1"/>
  <c r="D498" i="1"/>
  <c r="H497" i="1"/>
  <c r="G497" i="1"/>
  <c r="F497" i="1"/>
  <c r="E497" i="1"/>
  <c r="D497" i="1"/>
  <c r="H496" i="1"/>
  <c r="G496" i="1"/>
  <c r="F496" i="1"/>
  <c r="E496" i="1"/>
  <c r="D496" i="1"/>
  <c r="H495" i="1"/>
  <c r="G495" i="1"/>
  <c r="F495" i="1"/>
  <c r="E495" i="1"/>
  <c r="D495" i="1"/>
  <c r="H494" i="1"/>
  <c r="G494" i="1"/>
  <c r="F494" i="1"/>
  <c r="E494" i="1"/>
  <c r="D494" i="1"/>
  <c r="H493" i="1"/>
  <c r="G493" i="1"/>
  <c r="F493" i="1"/>
  <c r="E493" i="1"/>
  <c r="D493" i="1"/>
  <c r="H492" i="1"/>
  <c r="G492" i="1"/>
  <c r="F492" i="1"/>
  <c r="E492" i="1"/>
  <c r="D492" i="1"/>
  <c r="H491" i="1"/>
  <c r="G491" i="1"/>
  <c r="F491" i="1"/>
  <c r="E491" i="1"/>
  <c r="D491" i="1"/>
  <c r="H490" i="1"/>
  <c r="G490" i="1"/>
  <c r="F490" i="1"/>
  <c r="E490" i="1"/>
  <c r="D490" i="1"/>
  <c r="H489" i="1"/>
  <c r="G489" i="1"/>
  <c r="F489" i="1"/>
  <c r="E489" i="1"/>
  <c r="D489" i="1"/>
  <c r="H488" i="1"/>
  <c r="G488" i="1"/>
  <c r="F488" i="1"/>
  <c r="E488" i="1"/>
  <c r="D488" i="1"/>
  <c r="H487" i="1"/>
  <c r="G487" i="1"/>
  <c r="F487" i="1"/>
  <c r="E487" i="1"/>
  <c r="D487" i="1"/>
  <c r="H486" i="1"/>
  <c r="G486" i="1"/>
  <c r="F486" i="1"/>
  <c r="E486" i="1"/>
  <c r="D486" i="1"/>
  <c r="H485" i="1"/>
  <c r="G485" i="1"/>
  <c r="F485" i="1"/>
  <c r="E485" i="1"/>
  <c r="D485" i="1"/>
  <c r="H484" i="1"/>
  <c r="G484" i="1"/>
  <c r="F484" i="1"/>
  <c r="E484" i="1"/>
  <c r="D484" i="1"/>
  <c r="H483" i="1"/>
  <c r="G483" i="1"/>
  <c r="F483" i="1"/>
  <c r="E483" i="1"/>
  <c r="D483" i="1"/>
  <c r="H482" i="1"/>
  <c r="G482" i="1"/>
  <c r="F482" i="1"/>
  <c r="E482" i="1"/>
  <c r="D482" i="1"/>
  <c r="H481" i="1"/>
  <c r="G481" i="1"/>
  <c r="F481" i="1"/>
  <c r="E481" i="1"/>
  <c r="D481" i="1"/>
  <c r="H480" i="1"/>
  <c r="G480" i="1"/>
  <c r="F480" i="1"/>
  <c r="E480" i="1"/>
  <c r="D480" i="1"/>
  <c r="H479" i="1"/>
  <c r="G479" i="1"/>
  <c r="F479" i="1"/>
  <c r="E479" i="1"/>
  <c r="D479" i="1"/>
  <c r="H478" i="1"/>
  <c r="G478" i="1"/>
  <c r="F478" i="1"/>
  <c r="E478" i="1"/>
  <c r="D478" i="1"/>
  <c r="H477" i="1"/>
  <c r="G477" i="1"/>
  <c r="F477" i="1"/>
  <c r="E477" i="1"/>
  <c r="D477" i="1"/>
  <c r="H476" i="1"/>
  <c r="G476" i="1"/>
  <c r="F476" i="1"/>
  <c r="E476" i="1"/>
  <c r="D476" i="1"/>
  <c r="H475" i="1"/>
  <c r="G475" i="1"/>
  <c r="F475" i="1"/>
  <c r="E475" i="1"/>
  <c r="D475" i="1"/>
  <c r="H474" i="1"/>
  <c r="G474" i="1"/>
  <c r="F474" i="1"/>
  <c r="E474" i="1"/>
  <c r="D474" i="1"/>
  <c r="H473" i="1"/>
  <c r="G473" i="1"/>
  <c r="F473" i="1"/>
  <c r="E473" i="1"/>
  <c r="D473" i="1"/>
  <c r="H472" i="1"/>
  <c r="G472" i="1"/>
  <c r="F472" i="1"/>
  <c r="E472" i="1"/>
  <c r="D472" i="1"/>
  <c r="H471" i="1"/>
  <c r="G471" i="1"/>
  <c r="F471" i="1"/>
  <c r="E471" i="1"/>
  <c r="D471" i="1"/>
  <c r="H470" i="1"/>
  <c r="G470" i="1"/>
  <c r="F470" i="1"/>
  <c r="E470" i="1"/>
  <c r="D470" i="1"/>
  <c r="H469" i="1"/>
  <c r="G469" i="1"/>
  <c r="F469" i="1"/>
  <c r="E469" i="1"/>
  <c r="D469" i="1"/>
  <c r="H468" i="1"/>
  <c r="G468" i="1"/>
  <c r="F468" i="1"/>
  <c r="E468" i="1"/>
  <c r="D468" i="1"/>
  <c r="H467" i="1"/>
  <c r="G467" i="1"/>
  <c r="F467" i="1"/>
  <c r="E467" i="1"/>
  <c r="D467" i="1"/>
  <c r="H466" i="1"/>
  <c r="G466" i="1"/>
  <c r="F466" i="1"/>
  <c r="E466" i="1"/>
  <c r="D466" i="1"/>
  <c r="H465" i="1"/>
  <c r="G465" i="1"/>
  <c r="F465" i="1"/>
  <c r="E465" i="1"/>
  <c r="D465" i="1"/>
  <c r="H464" i="1"/>
  <c r="G464" i="1"/>
  <c r="F464" i="1"/>
  <c r="E464" i="1"/>
  <c r="D464" i="1"/>
  <c r="H463" i="1"/>
  <c r="G463" i="1"/>
  <c r="F463" i="1"/>
  <c r="E463" i="1"/>
  <c r="D463" i="1"/>
  <c r="H462" i="1"/>
  <c r="G462" i="1"/>
  <c r="F462" i="1"/>
  <c r="E462" i="1"/>
  <c r="D462" i="1"/>
  <c r="H461" i="1"/>
  <c r="G461" i="1"/>
  <c r="F461" i="1"/>
  <c r="E461" i="1"/>
  <c r="D461" i="1"/>
  <c r="H460" i="1"/>
  <c r="G460" i="1"/>
  <c r="F460" i="1"/>
  <c r="E460" i="1"/>
  <c r="D460" i="1"/>
  <c r="H459" i="1"/>
  <c r="G459" i="1"/>
  <c r="F459" i="1"/>
  <c r="E459" i="1"/>
  <c r="D459" i="1"/>
  <c r="H458" i="1"/>
  <c r="G458" i="1"/>
  <c r="F458" i="1"/>
  <c r="E458" i="1"/>
  <c r="D458" i="1"/>
  <c r="H457" i="1"/>
  <c r="G457" i="1"/>
  <c r="F457" i="1"/>
  <c r="E457" i="1"/>
  <c r="D457" i="1"/>
  <c r="H456" i="1"/>
  <c r="G456" i="1"/>
  <c r="F456" i="1"/>
  <c r="E456" i="1"/>
  <c r="D456" i="1"/>
  <c r="H455" i="1"/>
  <c r="G455" i="1"/>
  <c r="F455" i="1"/>
  <c r="E455" i="1"/>
  <c r="D455" i="1"/>
  <c r="H454" i="1"/>
  <c r="G454" i="1"/>
  <c r="F454" i="1"/>
  <c r="E454" i="1"/>
  <c r="D454" i="1"/>
  <c r="H453" i="1"/>
  <c r="G453" i="1"/>
  <c r="F453" i="1"/>
  <c r="E453" i="1"/>
  <c r="D453" i="1"/>
  <c r="H452" i="1"/>
  <c r="G452" i="1"/>
  <c r="F452" i="1"/>
  <c r="E452" i="1"/>
  <c r="D452" i="1"/>
  <c r="H451" i="1"/>
  <c r="G451" i="1"/>
  <c r="F451" i="1"/>
  <c r="E451" i="1"/>
  <c r="D451" i="1"/>
  <c r="H450" i="1"/>
  <c r="G450" i="1"/>
  <c r="F450" i="1"/>
  <c r="E450" i="1"/>
  <c r="D450" i="1"/>
  <c r="H449" i="1"/>
  <c r="G449" i="1"/>
  <c r="F449" i="1"/>
  <c r="E449" i="1"/>
  <c r="D449" i="1"/>
  <c r="H448" i="1"/>
  <c r="G448" i="1"/>
  <c r="F448" i="1"/>
  <c r="E448" i="1"/>
  <c r="D448" i="1"/>
  <c r="H447" i="1"/>
  <c r="G447" i="1"/>
  <c r="F447" i="1"/>
  <c r="E447" i="1"/>
  <c r="D447" i="1"/>
  <c r="H446" i="1"/>
  <c r="G446" i="1"/>
  <c r="F446" i="1"/>
  <c r="E446" i="1"/>
  <c r="D446" i="1"/>
  <c r="H445" i="1"/>
  <c r="G445" i="1"/>
  <c r="F445" i="1"/>
  <c r="E445" i="1"/>
  <c r="D445" i="1"/>
  <c r="H444" i="1"/>
  <c r="G444" i="1"/>
  <c r="F444" i="1"/>
  <c r="E444" i="1"/>
  <c r="D444" i="1"/>
  <c r="H443" i="1"/>
  <c r="G443" i="1"/>
  <c r="F443" i="1"/>
  <c r="E443" i="1"/>
  <c r="D443" i="1"/>
  <c r="H442" i="1"/>
  <c r="G442" i="1"/>
  <c r="F442" i="1"/>
  <c r="E442" i="1"/>
  <c r="D442" i="1"/>
  <c r="H441" i="1"/>
  <c r="G441" i="1"/>
  <c r="F441" i="1"/>
  <c r="E441" i="1"/>
  <c r="D441" i="1"/>
  <c r="H440" i="1"/>
  <c r="G440" i="1"/>
  <c r="F440" i="1"/>
  <c r="E440" i="1"/>
  <c r="D440" i="1"/>
  <c r="H439" i="1"/>
  <c r="G439" i="1"/>
  <c r="F439" i="1"/>
  <c r="E439" i="1"/>
  <c r="D439" i="1"/>
  <c r="H438" i="1"/>
  <c r="G438" i="1"/>
  <c r="F438" i="1"/>
  <c r="E438" i="1"/>
  <c r="D438" i="1"/>
  <c r="H437" i="1"/>
  <c r="G437" i="1"/>
  <c r="F437" i="1"/>
  <c r="E437" i="1"/>
  <c r="D437" i="1"/>
  <c r="H436" i="1"/>
  <c r="G436" i="1"/>
  <c r="F436" i="1"/>
  <c r="E436" i="1"/>
  <c r="D436" i="1"/>
  <c r="H435" i="1"/>
  <c r="G435" i="1"/>
  <c r="F435" i="1"/>
  <c r="E435" i="1"/>
  <c r="D435" i="1"/>
  <c r="H434" i="1"/>
  <c r="G434" i="1"/>
  <c r="F434" i="1"/>
  <c r="E434" i="1"/>
  <c r="D434" i="1"/>
  <c r="H433" i="1"/>
  <c r="G433" i="1"/>
  <c r="F433" i="1"/>
  <c r="E433" i="1"/>
  <c r="D433" i="1"/>
  <c r="H432" i="1"/>
  <c r="G432" i="1"/>
  <c r="F432" i="1"/>
  <c r="E432" i="1"/>
  <c r="D432" i="1"/>
  <c r="H431" i="1"/>
  <c r="G431" i="1"/>
  <c r="F431" i="1"/>
  <c r="E431" i="1"/>
  <c r="D431" i="1"/>
  <c r="H430" i="1"/>
  <c r="G430" i="1"/>
  <c r="F430" i="1"/>
  <c r="E430" i="1"/>
  <c r="D430" i="1"/>
  <c r="H429" i="1"/>
  <c r="G429" i="1"/>
  <c r="F429" i="1"/>
  <c r="E429" i="1"/>
  <c r="D429" i="1"/>
  <c r="H428" i="1"/>
  <c r="G428" i="1"/>
  <c r="F428" i="1"/>
  <c r="E428" i="1"/>
  <c r="D428" i="1"/>
  <c r="H427" i="1"/>
  <c r="G427" i="1"/>
  <c r="F427" i="1"/>
  <c r="E427" i="1"/>
  <c r="D427" i="1"/>
  <c r="H426" i="1"/>
  <c r="G426" i="1"/>
  <c r="F426" i="1"/>
  <c r="E426" i="1"/>
  <c r="D426" i="1"/>
  <c r="H425" i="1"/>
  <c r="G425" i="1"/>
  <c r="F425" i="1"/>
  <c r="E425" i="1"/>
  <c r="D425" i="1"/>
  <c r="H424" i="1"/>
  <c r="G424" i="1"/>
  <c r="F424" i="1"/>
  <c r="E424" i="1"/>
  <c r="D424" i="1"/>
  <c r="H423" i="1"/>
  <c r="G423" i="1"/>
  <c r="F423" i="1"/>
  <c r="E423" i="1"/>
  <c r="D423" i="1"/>
  <c r="H422" i="1"/>
  <c r="G422" i="1"/>
  <c r="F422" i="1"/>
  <c r="E422" i="1"/>
  <c r="D422" i="1"/>
  <c r="H421" i="1"/>
  <c r="G421" i="1"/>
  <c r="F421" i="1"/>
  <c r="E421" i="1"/>
  <c r="D421" i="1"/>
  <c r="H420" i="1"/>
  <c r="G420" i="1"/>
  <c r="F420" i="1"/>
  <c r="E420" i="1"/>
  <c r="D420" i="1"/>
  <c r="H419" i="1"/>
  <c r="G419" i="1"/>
  <c r="F419" i="1"/>
  <c r="E419" i="1"/>
  <c r="D419" i="1"/>
  <c r="H418" i="1"/>
  <c r="G418" i="1"/>
  <c r="F418" i="1"/>
  <c r="E418" i="1"/>
  <c r="D418" i="1"/>
  <c r="H417" i="1"/>
  <c r="G417" i="1"/>
  <c r="F417" i="1"/>
  <c r="E417" i="1"/>
  <c r="D417" i="1"/>
  <c r="H416" i="1"/>
  <c r="G416" i="1"/>
  <c r="F416" i="1"/>
  <c r="E416" i="1"/>
  <c r="D416" i="1"/>
  <c r="H415" i="1"/>
  <c r="G415" i="1"/>
  <c r="F415" i="1"/>
  <c r="E415" i="1"/>
  <c r="D415" i="1"/>
  <c r="H414" i="1"/>
  <c r="G414" i="1"/>
  <c r="F414" i="1"/>
  <c r="E414" i="1"/>
  <c r="D414" i="1"/>
  <c r="H413" i="1"/>
  <c r="G413" i="1"/>
  <c r="F413" i="1"/>
  <c r="E413" i="1"/>
  <c r="D413" i="1"/>
  <c r="H412" i="1"/>
  <c r="G412" i="1"/>
  <c r="F412" i="1"/>
  <c r="E412" i="1"/>
  <c r="D412" i="1"/>
  <c r="H411" i="1"/>
  <c r="G411" i="1"/>
  <c r="F411" i="1"/>
  <c r="E411" i="1"/>
  <c r="D411" i="1"/>
  <c r="H410" i="1"/>
  <c r="G410" i="1"/>
  <c r="F410" i="1"/>
  <c r="E410" i="1"/>
  <c r="D410" i="1"/>
  <c r="H409" i="1"/>
  <c r="G409" i="1"/>
  <c r="F409" i="1"/>
  <c r="E409" i="1"/>
  <c r="D409" i="1"/>
  <c r="H408" i="1"/>
  <c r="G408" i="1"/>
  <c r="F408" i="1"/>
  <c r="E408" i="1"/>
  <c r="D408" i="1"/>
  <c r="H407" i="1"/>
  <c r="G407" i="1"/>
  <c r="F407" i="1"/>
  <c r="E407" i="1"/>
  <c r="D407" i="1"/>
  <c r="H406" i="1"/>
  <c r="G406" i="1"/>
  <c r="F406" i="1"/>
  <c r="E406" i="1"/>
  <c r="D406" i="1"/>
  <c r="H405" i="1"/>
  <c r="G405" i="1"/>
  <c r="F405" i="1"/>
  <c r="E405" i="1"/>
  <c r="D405" i="1"/>
  <c r="H404" i="1"/>
  <c r="G404" i="1"/>
  <c r="F404" i="1"/>
  <c r="E404" i="1"/>
  <c r="D404" i="1"/>
  <c r="H403" i="1"/>
  <c r="G403" i="1"/>
  <c r="F403" i="1"/>
  <c r="E403" i="1"/>
  <c r="D403" i="1"/>
  <c r="H402" i="1"/>
  <c r="G402" i="1"/>
  <c r="F402" i="1"/>
  <c r="E402" i="1"/>
  <c r="D402" i="1"/>
  <c r="H401" i="1"/>
  <c r="G401" i="1"/>
  <c r="F401" i="1"/>
  <c r="E401" i="1"/>
  <c r="D401" i="1"/>
  <c r="H400" i="1"/>
  <c r="G400" i="1"/>
  <c r="F400" i="1"/>
  <c r="E400" i="1"/>
  <c r="D400" i="1"/>
  <c r="H399" i="1"/>
  <c r="G399" i="1"/>
  <c r="F399" i="1"/>
  <c r="E399" i="1"/>
  <c r="D399" i="1"/>
  <c r="H398" i="1"/>
  <c r="G398" i="1"/>
  <c r="F398" i="1"/>
  <c r="E398" i="1"/>
  <c r="D398" i="1"/>
  <c r="H397" i="1"/>
  <c r="G397" i="1"/>
  <c r="F397" i="1"/>
  <c r="E397" i="1"/>
  <c r="D397" i="1"/>
  <c r="H396" i="1"/>
  <c r="G396" i="1"/>
  <c r="F396" i="1"/>
  <c r="E396" i="1"/>
  <c r="D396" i="1"/>
  <c r="H395" i="1"/>
  <c r="G395" i="1"/>
  <c r="F395" i="1"/>
  <c r="E395" i="1"/>
  <c r="D395" i="1"/>
  <c r="H394" i="1"/>
  <c r="G394" i="1"/>
  <c r="F394" i="1"/>
  <c r="E394" i="1"/>
  <c r="D394" i="1"/>
  <c r="H393" i="1"/>
  <c r="G393" i="1"/>
  <c r="F393" i="1"/>
  <c r="E393" i="1"/>
  <c r="D393" i="1"/>
  <c r="H392" i="1"/>
  <c r="G392" i="1"/>
  <c r="F392" i="1"/>
  <c r="E392" i="1"/>
  <c r="D392" i="1"/>
  <c r="H391" i="1"/>
  <c r="G391" i="1"/>
  <c r="F391" i="1"/>
  <c r="E391" i="1"/>
  <c r="D391" i="1"/>
  <c r="H390" i="1"/>
  <c r="G390" i="1"/>
  <c r="F390" i="1"/>
  <c r="E390" i="1"/>
  <c r="D390" i="1"/>
  <c r="H389" i="1"/>
  <c r="G389" i="1"/>
  <c r="F389" i="1"/>
  <c r="E389" i="1"/>
  <c r="D389" i="1"/>
  <c r="H388" i="1"/>
  <c r="G388" i="1"/>
  <c r="F388" i="1"/>
  <c r="E388" i="1"/>
  <c r="D388" i="1"/>
  <c r="H387" i="1"/>
  <c r="G387" i="1"/>
  <c r="F387" i="1"/>
  <c r="E387" i="1"/>
  <c r="D387" i="1"/>
  <c r="H386" i="1"/>
  <c r="G386" i="1"/>
  <c r="F386" i="1"/>
  <c r="E386" i="1"/>
  <c r="D386" i="1"/>
  <c r="H385" i="1"/>
  <c r="G385" i="1"/>
  <c r="F385" i="1"/>
  <c r="E385" i="1"/>
  <c r="D385" i="1"/>
  <c r="H384" i="1"/>
  <c r="G384" i="1"/>
  <c r="F384" i="1"/>
  <c r="E384" i="1"/>
  <c r="D384" i="1"/>
  <c r="H383" i="1"/>
  <c r="G383" i="1"/>
  <c r="F383" i="1"/>
  <c r="E383" i="1"/>
  <c r="D383" i="1"/>
  <c r="H382" i="1"/>
  <c r="G382" i="1"/>
  <c r="F382" i="1"/>
  <c r="E382" i="1"/>
  <c r="D382" i="1"/>
  <c r="H381" i="1"/>
  <c r="G381" i="1"/>
  <c r="F381" i="1"/>
  <c r="E381" i="1"/>
  <c r="D381" i="1"/>
  <c r="H380" i="1"/>
  <c r="G380" i="1"/>
  <c r="F380" i="1"/>
  <c r="E380" i="1"/>
  <c r="D380" i="1"/>
  <c r="H379" i="1"/>
  <c r="G379" i="1"/>
  <c r="F379" i="1"/>
  <c r="E379" i="1"/>
  <c r="D379" i="1"/>
  <c r="H378" i="1"/>
  <c r="G378" i="1"/>
  <c r="F378" i="1"/>
  <c r="E378" i="1"/>
  <c r="D378" i="1"/>
  <c r="H377" i="1"/>
  <c r="G377" i="1"/>
  <c r="F377" i="1"/>
  <c r="E377" i="1"/>
  <c r="D377" i="1"/>
  <c r="H376" i="1"/>
  <c r="G376" i="1"/>
  <c r="F376" i="1"/>
  <c r="E376" i="1"/>
  <c r="D376" i="1"/>
  <c r="H375" i="1"/>
  <c r="G375" i="1"/>
  <c r="F375" i="1"/>
  <c r="E375" i="1"/>
  <c r="D375" i="1"/>
  <c r="H374" i="1"/>
  <c r="G374" i="1"/>
  <c r="F374" i="1"/>
  <c r="E374" i="1"/>
  <c r="D374" i="1"/>
  <c r="H373" i="1"/>
  <c r="G373" i="1"/>
  <c r="F373" i="1"/>
  <c r="E373" i="1"/>
  <c r="D373" i="1"/>
  <c r="H372" i="1"/>
  <c r="G372" i="1"/>
  <c r="F372" i="1"/>
  <c r="E372" i="1"/>
  <c r="D372" i="1"/>
  <c r="H371" i="1"/>
  <c r="G371" i="1"/>
  <c r="F371" i="1"/>
  <c r="E371" i="1"/>
  <c r="D371" i="1"/>
  <c r="H370" i="1"/>
  <c r="G370" i="1"/>
  <c r="F370" i="1"/>
  <c r="E370" i="1"/>
  <c r="D370" i="1"/>
  <c r="H369" i="1"/>
  <c r="G369" i="1"/>
  <c r="F369" i="1"/>
  <c r="E369" i="1"/>
  <c r="D369" i="1"/>
  <c r="H368" i="1"/>
  <c r="G368" i="1"/>
  <c r="F368" i="1"/>
  <c r="E368" i="1"/>
  <c r="D368" i="1"/>
  <c r="H367" i="1"/>
  <c r="G367" i="1"/>
  <c r="F367" i="1"/>
  <c r="E367" i="1"/>
  <c r="D367" i="1"/>
  <c r="H366" i="1"/>
  <c r="G366" i="1"/>
  <c r="F366" i="1"/>
  <c r="E366" i="1"/>
  <c r="D366" i="1"/>
  <c r="H365" i="1"/>
  <c r="G365" i="1"/>
  <c r="F365" i="1"/>
  <c r="E365" i="1"/>
  <c r="D365" i="1"/>
  <c r="H364" i="1"/>
  <c r="G364" i="1"/>
  <c r="F364" i="1"/>
  <c r="E364" i="1"/>
  <c r="D364" i="1"/>
  <c r="H363" i="1"/>
  <c r="G363" i="1"/>
  <c r="F363" i="1"/>
  <c r="E363" i="1"/>
  <c r="D363" i="1"/>
  <c r="H362" i="1"/>
  <c r="G362" i="1"/>
  <c r="F362" i="1"/>
  <c r="E362" i="1"/>
  <c r="D362" i="1"/>
  <c r="H361" i="1"/>
  <c r="G361" i="1"/>
  <c r="F361" i="1"/>
  <c r="E361" i="1"/>
  <c r="D361" i="1"/>
  <c r="H360" i="1"/>
  <c r="G360" i="1"/>
  <c r="F360" i="1"/>
  <c r="E360" i="1"/>
  <c r="D360" i="1"/>
  <c r="H359" i="1"/>
  <c r="G359" i="1"/>
  <c r="F359" i="1"/>
  <c r="E359" i="1"/>
  <c r="D359" i="1"/>
  <c r="H358" i="1"/>
  <c r="G358" i="1"/>
  <c r="F358" i="1"/>
  <c r="E358" i="1"/>
  <c r="D358" i="1"/>
  <c r="H357" i="1"/>
  <c r="G357" i="1"/>
  <c r="F357" i="1"/>
  <c r="E357" i="1"/>
  <c r="D357" i="1"/>
  <c r="H356" i="1"/>
  <c r="G356" i="1"/>
  <c r="F356" i="1"/>
  <c r="E356" i="1"/>
  <c r="D356" i="1"/>
  <c r="H355" i="1"/>
  <c r="G355" i="1"/>
  <c r="F355" i="1"/>
  <c r="E355" i="1"/>
  <c r="D355" i="1"/>
  <c r="H354" i="1"/>
  <c r="G354" i="1"/>
  <c r="F354" i="1"/>
  <c r="E354" i="1"/>
  <c r="D354" i="1"/>
  <c r="H353" i="1"/>
  <c r="G353" i="1"/>
  <c r="F353" i="1"/>
  <c r="E353" i="1"/>
  <c r="D353" i="1"/>
  <c r="H352" i="1"/>
  <c r="G352" i="1"/>
  <c r="F352" i="1"/>
  <c r="E352" i="1"/>
  <c r="D352" i="1"/>
  <c r="H351" i="1"/>
  <c r="G351" i="1"/>
  <c r="F351" i="1"/>
  <c r="E351" i="1"/>
  <c r="D351" i="1"/>
  <c r="H350" i="1"/>
  <c r="G350" i="1"/>
  <c r="F350" i="1"/>
  <c r="E350" i="1"/>
  <c r="D350" i="1"/>
  <c r="H349" i="1"/>
  <c r="G349" i="1"/>
  <c r="F349" i="1"/>
  <c r="E349" i="1"/>
  <c r="D349" i="1"/>
  <c r="H348" i="1"/>
  <c r="G348" i="1"/>
  <c r="F348" i="1"/>
  <c r="E348" i="1"/>
  <c r="D348" i="1"/>
  <c r="H347" i="1"/>
  <c r="G347" i="1"/>
  <c r="F347" i="1"/>
  <c r="E347" i="1"/>
  <c r="D347" i="1"/>
  <c r="H346" i="1"/>
  <c r="G346" i="1"/>
  <c r="F346" i="1"/>
  <c r="E346" i="1"/>
  <c r="D346" i="1"/>
  <c r="H345" i="1"/>
  <c r="G345" i="1"/>
  <c r="F345" i="1"/>
  <c r="E345" i="1"/>
  <c r="D345" i="1"/>
  <c r="H344" i="1"/>
  <c r="G344" i="1"/>
  <c r="F344" i="1"/>
  <c r="E344" i="1"/>
  <c r="D344" i="1"/>
  <c r="H343" i="1"/>
  <c r="G343" i="1"/>
  <c r="F343" i="1"/>
  <c r="E343" i="1"/>
  <c r="D343" i="1"/>
  <c r="H342" i="1"/>
  <c r="G342" i="1"/>
  <c r="F342" i="1"/>
  <c r="E342" i="1"/>
  <c r="D342" i="1"/>
  <c r="H341" i="1"/>
  <c r="G341" i="1"/>
  <c r="F341" i="1"/>
  <c r="E341" i="1"/>
  <c r="D341" i="1"/>
  <c r="H340" i="1"/>
  <c r="G340" i="1"/>
  <c r="F340" i="1"/>
  <c r="E340" i="1"/>
  <c r="D340" i="1"/>
  <c r="H339" i="1"/>
  <c r="G339" i="1"/>
  <c r="F339" i="1"/>
  <c r="E339" i="1"/>
  <c r="D339" i="1"/>
  <c r="H338" i="1"/>
  <c r="G338" i="1"/>
  <c r="F338" i="1"/>
  <c r="E338" i="1"/>
  <c r="D338" i="1"/>
  <c r="H337" i="1"/>
  <c r="G337" i="1"/>
  <c r="F337" i="1"/>
  <c r="E337" i="1"/>
  <c r="D337" i="1"/>
  <c r="H336" i="1"/>
  <c r="G336" i="1"/>
  <c r="F336" i="1"/>
  <c r="E336" i="1"/>
  <c r="D336" i="1"/>
  <c r="H335" i="1"/>
  <c r="G335" i="1"/>
  <c r="F335" i="1"/>
  <c r="E335" i="1"/>
  <c r="D335" i="1"/>
  <c r="H334" i="1"/>
  <c r="G334" i="1"/>
  <c r="F334" i="1"/>
  <c r="E334" i="1"/>
  <c r="D334" i="1"/>
  <c r="H333" i="1"/>
  <c r="G333" i="1"/>
  <c r="F333" i="1"/>
  <c r="E333" i="1"/>
  <c r="D333" i="1"/>
  <c r="H332" i="1"/>
  <c r="G332" i="1"/>
  <c r="F332" i="1"/>
  <c r="E332" i="1"/>
  <c r="D332" i="1"/>
  <c r="H331" i="1"/>
  <c r="G331" i="1"/>
  <c r="F331" i="1"/>
  <c r="E331" i="1"/>
  <c r="D331" i="1"/>
  <c r="H330" i="1"/>
  <c r="G330" i="1"/>
  <c r="F330" i="1"/>
  <c r="E330" i="1"/>
  <c r="D330" i="1"/>
  <c r="H329" i="1"/>
  <c r="G329" i="1"/>
  <c r="F329" i="1"/>
  <c r="E329" i="1"/>
  <c r="D329" i="1"/>
  <c r="H328" i="1"/>
  <c r="G328" i="1"/>
  <c r="F328" i="1"/>
  <c r="E328" i="1"/>
  <c r="D328" i="1"/>
  <c r="H327" i="1"/>
  <c r="G327" i="1"/>
  <c r="F327" i="1"/>
  <c r="E327" i="1"/>
  <c r="D327" i="1"/>
  <c r="H326" i="1"/>
  <c r="G326" i="1"/>
  <c r="F326" i="1"/>
  <c r="E326" i="1"/>
  <c r="D326" i="1"/>
  <c r="H325" i="1"/>
  <c r="G325" i="1"/>
  <c r="F325" i="1"/>
  <c r="E325" i="1"/>
  <c r="D325" i="1"/>
  <c r="H324" i="1"/>
  <c r="G324" i="1"/>
  <c r="F324" i="1"/>
  <c r="E324" i="1"/>
  <c r="D324" i="1"/>
  <c r="H323" i="1"/>
  <c r="G323" i="1"/>
  <c r="F323" i="1"/>
  <c r="E323" i="1"/>
  <c r="D323" i="1"/>
  <c r="H322" i="1"/>
  <c r="G322" i="1"/>
  <c r="F322" i="1"/>
  <c r="E322" i="1"/>
  <c r="D322" i="1"/>
  <c r="H321" i="1"/>
  <c r="G321" i="1"/>
  <c r="F321" i="1"/>
  <c r="E321" i="1"/>
  <c r="D321" i="1"/>
  <c r="H320" i="1"/>
  <c r="G320" i="1"/>
  <c r="F320" i="1"/>
  <c r="E320" i="1"/>
  <c r="D320" i="1"/>
  <c r="H319" i="1"/>
  <c r="G319" i="1"/>
  <c r="F319" i="1"/>
  <c r="E319" i="1"/>
  <c r="D319" i="1"/>
  <c r="H318" i="1"/>
  <c r="G318" i="1"/>
  <c r="F318" i="1"/>
  <c r="E318" i="1"/>
  <c r="D318" i="1"/>
  <c r="H317" i="1"/>
  <c r="G317" i="1"/>
  <c r="F317" i="1"/>
  <c r="E317" i="1"/>
  <c r="D317" i="1"/>
  <c r="H316" i="1"/>
  <c r="G316" i="1"/>
  <c r="F316" i="1"/>
  <c r="E316" i="1"/>
  <c r="D316" i="1"/>
  <c r="H315" i="1"/>
  <c r="G315" i="1"/>
  <c r="F315" i="1"/>
  <c r="E315" i="1"/>
  <c r="D315" i="1"/>
  <c r="H314" i="1"/>
  <c r="G314" i="1"/>
  <c r="F314" i="1"/>
  <c r="E314" i="1"/>
  <c r="D314" i="1"/>
  <c r="H313" i="1"/>
  <c r="G313" i="1"/>
  <c r="F313" i="1"/>
  <c r="E313" i="1"/>
  <c r="D313" i="1"/>
  <c r="H312" i="1"/>
  <c r="G312" i="1"/>
  <c r="F312" i="1"/>
  <c r="E312" i="1"/>
  <c r="D312" i="1"/>
  <c r="H311" i="1"/>
  <c r="G311" i="1"/>
  <c r="F311" i="1"/>
  <c r="E311" i="1"/>
  <c r="D311" i="1"/>
  <c r="H310" i="1"/>
  <c r="G310" i="1"/>
  <c r="F310" i="1"/>
  <c r="E310" i="1"/>
  <c r="D310" i="1"/>
  <c r="H309" i="1"/>
  <c r="G309" i="1"/>
  <c r="F309" i="1"/>
  <c r="E309" i="1"/>
  <c r="D309" i="1"/>
  <c r="H308" i="1"/>
  <c r="G308" i="1"/>
  <c r="F308" i="1"/>
  <c r="E308" i="1"/>
  <c r="D308" i="1"/>
  <c r="H307" i="1"/>
  <c r="G307" i="1"/>
  <c r="F307" i="1"/>
  <c r="E307" i="1"/>
  <c r="D307" i="1"/>
  <c r="H306" i="1"/>
  <c r="G306" i="1"/>
  <c r="F306" i="1"/>
  <c r="E306" i="1"/>
  <c r="D306" i="1"/>
  <c r="H305" i="1"/>
  <c r="G305" i="1"/>
  <c r="F305" i="1"/>
  <c r="E305" i="1"/>
  <c r="D305" i="1"/>
  <c r="H304" i="1"/>
  <c r="G304" i="1"/>
  <c r="F304" i="1"/>
  <c r="E304" i="1"/>
  <c r="D304" i="1"/>
  <c r="H303" i="1"/>
  <c r="G303" i="1"/>
  <c r="F303" i="1"/>
  <c r="E303" i="1"/>
  <c r="D303" i="1"/>
  <c r="H302" i="1"/>
  <c r="G302" i="1"/>
  <c r="F302" i="1"/>
  <c r="E302" i="1"/>
  <c r="D302" i="1"/>
  <c r="H301" i="1"/>
  <c r="G301" i="1"/>
  <c r="F301" i="1"/>
  <c r="E301" i="1"/>
  <c r="D301" i="1"/>
  <c r="H300" i="1"/>
  <c r="G300" i="1"/>
  <c r="F300" i="1"/>
  <c r="E300" i="1"/>
  <c r="D300" i="1"/>
  <c r="H299" i="1"/>
  <c r="G299" i="1"/>
  <c r="F299" i="1"/>
  <c r="E299" i="1"/>
  <c r="D299" i="1"/>
  <c r="H298" i="1"/>
  <c r="G298" i="1"/>
  <c r="F298" i="1"/>
  <c r="E298" i="1"/>
  <c r="D298" i="1"/>
  <c r="H297" i="1"/>
  <c r="G297" i="1"/>
  <c r="F297" i="1"/>
  <c r="E297" i="1"/>
  <c r="D297" i="1"/>
  <c r="H296" i="1"/>
  <c r="G296" i="1"/>
  <c r="F296" i="1"/>
  <c r="E296" i="1"/>
  <c r="D296" i="1"/>
  <c r="H295" i="1"/>
  <c r="G295" i="1"/>
  <c r="F295" i="1"/>
  <c r="E295" i="1"/>
  <c r="D295" i="1"/>
  <c r="H294" i="1"/>
  <c r="G294" i="1"/>
  <c r="F294" i="1"/>
  <c r="E294" i="1"/>
  <c r="D294" i="1"/>
  <c r="H293" i="1"/>
  <c r="G293" i="1"/>
  <c r="F293" i="1"/>
  <c r="E293" i="1"/>
  <c r="D293" i="1"/>
  <c r="H292" i="1"/>
  <c r="G292" i="1"/>
  <c r="F292" i="1"/>
  <c r="E292" i="1"/>
  <c r="D292" i="1"/>
  <c r="H291" i="1"/>
  <c r="G291" i="1"/>
  <c r="F291" i="1"/>
  <c r="E291" i="1"/>
  <c r="D291" i="1"/>
  <c r="H290" i="1"/>
  <c r="G290" i="1"/>
  <c r="F290" i="1"/>
  <c r="E290" i="1"/>
  <c r="D290" i="1"/>
  <c r="H289" i="1"/>
  <c r="G289" i="1"/>
  <c r="F289" i="1"/>
  <c r="E289" i="1"/>
  <c r="D289" i="1"/>
  <c r="H288" i="1"/>
  <c r="G288" i="1"/>
  <c r="F288" i="1"/>
  <c r="E288" i="1"/>
  <c r="D288" i="1"/>
  <c r="H287" i="1"/>
  <c r="G287" i="1"/>
  <c r="F287" i="1"/>
  <c r="E287" i="1"/>
  <c r="D287" i="1"/>
  <c r="H286" i="1"/>
  <c r="G286" i="1"/>
  <c r="F286" i="1"/>
  <c r="E286" i="1"/>
  <c r="D286" i="1"/>
  <c r="H285" i="1"/>
  <c r="G285" i="1"/>
  <c r="F285" i="1"/>
  <c r="E285" i="1"/>
  <c r="D285" i="1"/>
  <c r="H284" i="1"/>
  <c r="G284" i="1"/>
  <c r="F284" i="1"/>
  <c r="E284" i="1"/>
  <c r="D284" i="1"/>
  <c r="H283" i="1"/>
  <c r="G283" i="1"/>
  <c r="F283" i="1"/>
  <c r="E283" i="1"/>
  <c r="D283" i="1"/>
  <c r="H282" i="1"/>
  <c r="G282" i="1"/>
  <c r="F282" i="1"/>
  <c r="E282" i="1"/>
  <c r="D282" i="1"/>
  <c r="H281" i="1"/>
  <c r="G281" i="1"/>
  <c r="F281" i="1"/>
  <c r="E281" i="1"/>
  <c r="D281" i="1"/>
  <c r="H280" i="1"/>
  <c r="G280" i="1"/>
  <c r="F280" i="1"/>
  <c r="E280" i="1"/>
  <c r="D280" i="1"/>
  <c r="H279" i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F4" i="1"/>
  <c r="E4" i="1"/>
  <c r="D4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<sst xmlns="http://schemas.openxmlformats.org/spreadsheetml/2006/main" count="13" uniqueCount="13">
  <si>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</si>
  <si>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</si>
  <si>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</si>
  <si>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</si>
  <si>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</si>
  <si>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</si>
  <si>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</si>
  <si>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</si>
  <si>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Начисленные доходы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</si>
  <si>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t>
  </si>
  <si>
    <t>Расходы по операциям "РЕПО" с ценными бумагами</t>
  </si>
  <si>
    <t>АО "ForteBank" Отчет об остатках на балансовых  и внебалансовых счетах банков второго уровня  за 29.12.2023г</t>
  </si>
  <si>
    <t>Сумма в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</si>
</sst>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43" fontId="0" fillId="0" borderId="0" xfId="1" applyFont="1"/>
    <xf numFmtId="0" fontId="18" fillId="0" borderId="0" xfId="0" applyFont="1"/>
    <xf numFmtId="43" fontId="18" fillId="0" borderId="0" xfId="1" applyFont="1"/>
    <xf numFmtId="0" fontId="18" fillId="0" borderId="0" xfId="0" applyFont="1" applyAlignment="1">
      <alignment wrapText="1"/>
    </xf>
    <xf numFmtId="43" fontId="18" fillId="0" borderId="0" xfId="1" applyFont="1" applyAlignment="1">
      <alignment wrapText="1"/>
    </xf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 2 4" xfId="4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1"/>
  <sheetViews>
    <sheetView tabSelected="1" workbookViewId="0">
      <selection activeCell="H16" sqref="H16"/>
    </sheetView>
  </sheetViews>
  <sheetFormatPr defaultRowHeight="15" x14ac:dyDescent="0.25"/>
  <cols>
    <col min="2" max="2" width="13.5703125" bestFit="1" customWidth="1"/>
    <col min="9" max="9" width="20" style="2" bestFit="1" customWidth="1"/>
  </cols>
  <sheetData>
    <row r="1" spans="1:9" s="3" customFormat="1" x14ac:dyDescent="0.25">
      <c r="A1" s="3" t="s">
        <v>11</v>
      </c>
      <c r="I1" s="4"/>
    </row>
    <row r="2" spans="1:9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12</v>
      </c>
    </row>
    <row r="3" spans="1:9" x14ac:dyDescent="0.25">
      <c r="A3">
        <v>602</v>
      </c>
      <c r="B3" s="1">
        <v>45289</v>
      </c>
      <c r="C3">
        <v>25</v>
      </c>
      <c r="D3" t="str">
        <f>"1001"</f>
        <v>1001</v>
      </c>
      <c r="E3" t="str">
        <f>"Наличность в кассе"</f>
        <v>Наличность в кассе</v>
      </c>
      <c r="F3" t="str">
        <f>"1"</f>
        <v>1</v>
      </c>
      <c r="G3" t="str">
        <f t="shared" ref="G3:G13" si="0">"3"</f>
        <v>3</v>
      </c>
      <c r="H3" t="str">
        <f>"1"</f>
        <v>1</v>
      </c>
      <c r="I3" s="2">
        <v>13568593161</v>
      </c>
    </row>
    <row r="4" spans="1:9" x14ac:dyDescent="0.25">
      <c r="A4">
        <v>601</v>
      </c>
      <c r="B4" s="1">
        <v>45289</v>
      </c>
      <c r="C4">
        <v>25</v>
      </c>
      <c r="D4" t="str">
        <f>"1001"</f>
        <v>1001</v>
      </c>
      <c r="E4" t="str">
        <f>"Наличность в кассе"</f>
        <v>Наличность в кассе</v>
      </c>
      <c r="F4" t="str">
        <f>"2"</f>
        <v>2</v>
      </c>
      <c r="G4" t="str">
        <f t="shared" si="0"/>
        <v>3</v>
      </c>
      <c r="H4" t="str">
        <f>"2"</f>
        <v>2</v>
      </c>
      <c r="I4" s="2">
        <v>34790405332.959999</v>
      </c>
    </row>
    <row r="5" spans="1:9" x14ac:dyDescent="0.25">
      <c r="A5">
        <v>600</v>
      </c>
      <c r="B5" s="1">
        <v>45289</v>
      </c>
      <c r="C5">
        <v>25</v>
      </c>
      <c r="D5" t="str">
        <f>"1001"</f>
        <v>1001</v>
      </c>
      <c r="E5" t="str">
        <f>"Наличность в кассе"</f>
        <v>Наличность в кассе</v>
      </c>
      <c r="F5" t="str">
        <f>"2"</f>
        <v>2</v>
      </c>
      <c r="G5" t="str">
        <f t="shared" si="0"/>
        <v>3</v>
      </c>
      <c r="H5" t="str">
        <f>"3"</f>
        <v>3</v>
      </c>
      <c r="I5" s="2">
        <v>256790607.91999999</v>
      </c>
    </row>
    <row r="6" spans="1:9" x14ac:dyDescent="0.25">
      <c r="A6">
        <v>203</v>
      </c>
      <c r="B6" s="1">
        <v>45289</v>
      </c>
      <c r="C6">
        <v>25</v>
      </c>
      <c r="D6" t="str">
        <f>"1002"</f>
        <v>1002</v>
      </c>
      <c r="E6" t="str">
        <f>"Банкноты и монеты в пути"</f>
        <v>Банкноты и монеты в пути</v>
      </c>
      <c r="F6" t="str">
        <f>"1"</f>
        <v>1</v>
      </c>
      <c r="G6" t="str">
        <f t="shared" si="0"/>
        <v>3</v>
      </c>
      <c r="H6" t="str">
        <f>"1"</f>
        <v>1</v>
      </c>
      <c r="I6" s="2">
        <v>1881896102</v>
      </c>
    </row>
    <row r="7" spans="1:9" x14ac:dyDescent="0.25">
      <c r="A7">
        <v>465</v>
      </c>
      <c r="B7" s="1">
        <v>45289</v>
      </c>
      <c r="C7">
        <v>25</v>
      </c>
      <c r="D7" t="str">
        <f>"1002"</f>
        <v>1002</v>
      </c>
      <c r="E7" t="str">
        <f>"Банкноты и монеты в пути"</f>
        <v>Банкноты и монеты в пути</v>
      </c>
      <c r="F7" t="str">
        <f>"2"</f>
        <v>2</v>
      </c>
      <c r="G7" t="str">
        <f t="shared" si="0"/>
        <v>3</v>
      </c>
      <c r="H7" t="str">
        <f>"2"</f>
        <v>2</v>
      </c>
      <c r="I7" s="2">
        <v>1297260893.4400001</v>
      </c>
    </row>
    <row r="8" spans="1:9" x14ac:dyDescent="0.25">
      <c r="A8">
        <v>592</v>
      </c>
      <c r="B8" s="1">
        <v>45289</v>
      </c>
      <c r="C8">
        <v>25</v>
      </c>
      <c r="D8" t="str">
        <f>"1002"</f>
        <v>1002</v>
      </c>
      <c r="E8" t="str">
        <f>"Банкноты и монеты в пути"</f>
        <v>Банкноты и монеты в пути</v>
      </c>
      <c r="F8" t="str">
        <f>"2"</f>
        <v>2</v>
      </c>
      <c r="G8" t="str">
        <f t="shared" si="0"/>
        <v>3</v>
      </c>
      <c r="H8" t="str">
        <f>"3"</f>
        <v>3</v>
      </c>
      <c r="I8" s="2">
        <v>21147460.399999999</v>
      </c>
    </row>
    <row r="9" spans="1:9" x14ac:dyDescent="0.25">
      <c r="A9">
        <v>204</v>
      </c>
      <c r="B9" s="1">
        <v>45289</v>
      </c>
      <c r="C9">
        <v>25</v>
      </c>
      <c r="D9" t="str">
        <f>"1005"</f>
        <v>1005</v>
      </c>
      <c r="E9" t="str">
        <f>"Наличность в банкоматах и электронных терминалах"</f>
        <v>Наличность в банкоматах и электронных терминалах</v>
      </c>
      <c r="F9" t="str">
        <f>"1"</f>
        <v>1</v>
      </c>
      <c r="G9" t="str">
        <f t="shared" si="0"/>
        <v>3</v>
      </c>
      <c r="H9" t="str">
        <f>"1"</f>
        <v>1</v>
      </c>
      <c r="I9" s="2">
        <v>15800291300</v>
      </c>
    </row>
    <row r="10" spans="1:9" x14ac:dyDescent="0.25">
      <c r="A10">
        <v>383</v>
      </c>
      <c r="B10" s="1">
        <v>45289</v>
      </c>
      <c r="C10">
        <v>25</v>
      </c>
      <c r="D10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t="str">
        <f>"2"</f>
        <v>2</v>
      </c>
      <c r="G10" t="str">
        <f t="shared" si="0"/>
        <v>3</v>
      </c>
      <c r="H10" t="str">
        <f>"2"</f>
        <v>2</v>
      </c>
      <c r="I10" s="2">
        <v>419958336</v>
      </c>
    </row>
    <row r="11" spans="1:9" x14ac:dyDescent="0.25">
      <c r="A11">
        <v>604</v>
      </c>
      <c r="B11" s="1">
        <v>45289</v>
      </c>
      <c r="C11">
        <v>25</v>
      </c>
      <c r="D11" t="str">
        <f>"1051"</f>
        <v>1051</v>
      </c>
      <c r="E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t="str">
        <f t="shared" ref="F11:F16" si="1">"1"</f>
        <v>1</v>
      </c>
      <c r="G11" t="str">
        <f t="shared" si="0"/>
        <v>3</v>
      </c>
      <c r="H11" t="str">
        <f>"1"</f>
        <v>1</v>
      </c>
      <c r="I11" s="2">
        <v>28461715481.169998</v>
      </c>
    </row>
    <row r="12" spans="1:9" x14ac:dyDescent="0.25">
      <c r="A12">
        <v>210</v>
      </c>
      <c r="B12" s="1">
        <v>45289</v>
      </c>
      <c r="C12">
        <v>25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 t="shared" si="1"/>
        <v>1</v>
      </c>
      <c r="G12" t="str">
        <f t="shared" si="0"/>
        <v>3</v>
      </c>
      <c r="H12" t="str">
        <f>"2"</f>
        <v>2</v>
      </c>
      <c r="I12" s="2">
        <v>10764010579.629999</v>
      </c>
    </row>
    <row r="13" spans="1:9" x14ac:dyDescent="0.25">
      <c r="A13">
        <v>389</v>
      </c>
      <c r="B13" s="1">
        <v>45289</v>
      </c>
      <c r="C13">
        <v>25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 t="shared" si="1"/>
        <v>1</v>
      </c>
      <c r="G13" t="str">
        <f t="shared" si="0"/>
        <v>3</v>
      </c>
      <c r="H13" t="str">
        <f>"3"</f>
        <v>3</v>
      </c>
      <c r="I13" s="2">
        <v>233115885.94</v>
      </c>
    </row>
    <row r="14" spans="1:9" x14ac:dyDescent="0.25">
      <c r="A14">
        <v>202</v>
      </c>
      <c r="B14" s="1">
        <v>45289</v>
      </c>
      <c r="C14">
        <v>25</v>
      </c>
      <c r="D14" t="str">
        <f t="shared" ref="D14:D21" si="2">"1052"</f>
        <v>1052</v>
      </c>
      <c r="E14" t="str">
        <f t="shared" ref="E14:E21" si="3">"Корреспондентские счета в других банках"</f>
        <v>Корреспондентские счета в других банках</v>
      </c>
      <c r="F14" t="str">
        <f t="shared" si="1"/>
        <v>1</v>
      </c>
      <c r="G14" t="str">
        <f>"4"</f>
        <v>4</v>
      </c>
      <c r="H14" t="str">
        <f>"1"</f>
        <v>1</v>
      </c>
      <c r="I14" s="2">
        <v>2552300165.3099999</v>
      </c>
    </row>
    <row r="15" spans="1:9" x14ac:dyDescent="0.25">
      <c r="A15">
        <v>201</v>
      </c>
      <c r="B15" s="1">
        <v>45289</v>
      </c>
      <c r="C15">
        <v>25</v>
      </c>
      <c r="D15" t="str">
        <f t="shared" si="2"/>
        <v>1052</v>
      </c>
      <c r="E15" t="str">
        <f t="shared" si="3"/>
        <v>Корреспондентские счета в других банках</v>
      </c>
      <c r="F15" t="str">
        <f t="shared" si="1"/>
        <v>1</v>
      </c>
      <c r="G15" t="str">
        <f>"4"</f>
        <v>4</v>
      </c>
      <c r="H15" t="str">
        <f>"2"</f>
        <v>2</v>
      </c>
      <c r="I15" s="2">
        <v>2599445766.3800001</v>
      </c>
    </row>
    <row r="16" spans="1:9" x14ac:dyDescent="0.25">
      <c r="A16">
        <v>98</v>
      </c>
      <c r="B16" s="1">
        <v>45289</v>
      </c>
      <c r="C16">
        <v>25</v>
      </c>
      <c r="D16" t="str">
        <f t="shared" si="2"/>
        <v>1052</v>
      </c>
      <c r="E16" t="str">
        <f t="shared" si="3"/>
        <v>Корреспондентские счета в других банках</v>
      </c>
      <c r="F16" t="str">
        <f t="shared" si="1"/>
        <v>1</v>
      </c>
      <c r="G16" t="str">
        <f>"5"</f>
        <v>5</v>
      </c>
      <c r="H16" t="str">
        <f>"2"</f>
        <v>2</v>
      </c>
      <c r="I16" s="2">
        <v>7207259.5199999996</v>
      </c>
    </row>
    <row r="17" spans="1:9" x14ac:dyDescent="0.25">
      <c r="A17">
        <v>588</v>
      </c>
      <c r="B17" s="1">
        <v>45289</v>
      </c>
      <c r="C17">
        <v>25</v>
      </c>
      <c r="D17" t="str">
        <f t="shared" si="2"/>
        <v>1052</v>
      </c>
      <c r="E17" t="str">
        <f t="shared" si="3"/>
        <v>Корреспондентские счета в других банках</v>
      </c>
      <c r="F17" t="str">
        <f>"2"</f>
        <v>2</v>
      </c>
      <c r="G17" t="str">
        <f>"4"</f>
        <v>4</v>
      </c>
      <c r="H17" t="str">
        <f>"2"</f>
        <v>2</v>
      </c>
      <c r="I17" s="2">
        <v>43655939598.099998</v>
      </c>
    </row>
    <row r="18" spans="1:9" x14ac:dyDescent="0.25">
      <c r="A18">
        <v>587</v>
      </c>
      <c r="B18" s="1">
        <v>45289</v>
      </c>
      <c r="C18">
        <v>25</v>
      </c>
      <c r="D18" t="str">
        <f t="shared" si="2"/>
        <v>1052</v>
      </c>
      <c r="E18" t="str">
        <f t="shared" si="3"/>
        <v>Корреспондентские счета в других банках</v>
      </c>
      <c r="F18" t="str">
        <f>"2"</f>
        <v>2</v>
      </c>
      <c r="G18" t="str">
        <f>"4"</f>
        <v>4</v>
      </c>
      <c r="H18" t="str">
        <f>"3"</f>
        <v>3</v>
      </c>
      <c r="I18" s="2">
        <v>3904615074.1300001</v>
      </c>
    </row>
    <row r="19" spans="1:9" x14ac:dyDescent="0.25">
      <c r="A19">
        <v>7</v>
      </c>
      <c r="B19" s="1">
        <v>45289</v>
      </c>
      <c r="C19">
        <v>25</v>
      </c>
      <c r="D19" t="str">
        <f t="shared" si="2"/>
        <v>1052</v>
      </c>
      <c r="E19" t="str">
        <f t="shared" si="3"/>
        <v>Корреспондентские счета в других банках</v>
      </c>
      <c r="F19" t="str">
        <f>"2"</f>
        <v>2</v>
      </c>
      <c r="G19" t="str">
        <f>"5"</f>
        <v>5</v>
      </c>
      <c r="H19" t="str">
        <f>"1"</f>
        <v>1</v>
      </c>
      <c r="I19" s="2">
        <v>1175579186.02</v>
      </c>
    </row>
    <row r="20" spans="1:9" x14ac:dyDescent="0.25">
      <c r="A20">
        <v>97</v>
      </c>
      <c r="B20" s="1">
        <v>45289</v>
      </c>
      <c r="C20">
        <v>25</v>
      </c>
      <c r="D20" t="str">
        <f t="shared" si="2"/>
        <v>1052</v>
      </c>
      <c r="E20" t="str">
        <f t="shared" si="3"/>
        <v>Корреспондентские счета в других банках</v>
      </c>
      <c r="F20" t="str">
        <f>"2"</f>
        <v>2</v>
      </c>
      <c r="G20" t="str">
        <f>"5"</f>
        <v>5</v>
      </c>
      <c r="H20" t="str">
        <f>"2"</f>
        <v>2</v>
      </c>
      <c r="I20" s="2">
        <v>1527957372.5999999</v>
      </c>
    </row>
    <row r="21" spans="1:9" x14ac:dyDescent="0.25">
      <c r="A21">
        <v>464</v>
      </c>
      <c r="B21" s="1">
        <v>45289</v>
      </c>
      <c r="C21">
        <v>25</v>
      </c>
      <c r="D21" t="str">
        <f t="shared" si="2"/>
        <v>1052</v>
      </c>
      <c r="E21" t="str">
        <f t="shared" si="3"/>
        <v>Корреспондентские счета в других банках</v>
      </c>
      <c r="F21" t="str">
        <f>"2"</f>
        <v>2</v>
      </c>
      <c r="G21" t="str">
        <f>"5"</f>
        <v>5</v>
      </c>
      <c r="H21" t="str">
        <f>"3"</f>
        <v>3</v>
      </c>
      <c r="I21" s="2">
        <v>333196227.05000001</v>
      </c>
    </row>
    <row r="22" spans="1:9" x14ac:dyDescent="0.25">
      <c r="A22">
        <v>591</v>
      </c>
      <c r="B22" s="1">
        <v>45289</v>
      </c>
      <c r="C22">
        <v>25</v>
      </c>
      <c r="D22" t="str">
        <f t="shared" ref="D22:D29" si="4">"1054"</f>
        <v>1054</v>
      </c>
      <c r="E22" t="str">
        <f t="shared" ref="E22:E29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t="str">
        <f>"1"</f>
        <v>1</v>
      </c>
      <c r="G22" t="str">
        <f>"4"</f>
        <v>4</v>
      </c>
      <c r="H22" t="str">
        <f>"1"</f>
        <v>1</v>
      </c>
      <c r="I22" s="2">
        <v>-142081.5</v>
      </c>
    </row>
    <row r="23" spans="1:9" x14ac:dyDescent="0.25">
      <c r="A23">
        <v>9</v>
      </c>
      <c r="B23" s="1">
        <v>45289</v>
      </c>
      <c r="C23">
        <v>25</v>
      </c>
      <c r="D23" t="str">
        <f t="shared" si="4"/>
        <v>1054</v>
      </c>
      <c r="E23" t="str">
        <f t="shared" si="5"/>
        <v>Резервы (провизии) по корреспондентским счетам в других банках и текущим счетам ипотечных организаций</v>
      </c>
      <c r="F23" t="str">
        <f>"1"</f>
        <v>1</v>
      </c>
      <c r="G23" t="str">
        <f>"4"</f>
        <v>4</v>
      </c>
      <c r="H23" t="str">
        <f>"2"</f>
        <v>2</v>
      </c>
      <c r="I23" s="2">
        <v>-81864.22</v>
      </c>
    </row>
    <row r="24" spans="1:9" x14ac:dyDescent="0.25">
      <c r="A24">
        <v>8</v>
      </c>
      <c r="B24" s="1">
        <v>45289</v>
      </c>
      <c r="C24">
        <v>25</v>
      </c>
      <c r="D24" t="str">
        <f t="shared" si="4"/>
        <v>1054</v>
      </c>
      <c r="E24" t="str">
        <f t="shared" si="5"/>
        <v>Резервы (провизии) по корреспондентским счетам в других банках и текущим счетам ипотечных организаций</v>
      </c>
      <c r="F24" t="str">
        <f>"1"</f>
        <v>1</v>
      </c>
      <c r="G24" t="str">
        <f>"5"</f>
        <v>5</v>
      </c>
      <c r="H24" t="str">
        <f>"2"</f>
        <v>2</v>
      </c>
      <c r="I24" s="2">
        <v>-401.79</v>
      </c>
    </row>
    <row r="25" spans="1:9" x14ac:dyDescent="0.25">
      <c r="A25">
        <v>382</v>
      </c>
      <c r="B25" s="1">
        <v>45289</v>
      </c>
      <c r="C25">
        <v>25</v>
      </c>
      <c r="D25" t="str">
        <f t="shared" si="4"/>
        <v>1054</v>
      </c>
      <c r="E25" t="str">
        <f t="shared" si="5"/>
        <v>Резервы (провизии) по корреспондентским счетам в других банках и текущим счетам ипотечных организаций</v>
      </c>
      <c r="F25" t="str">
        <f>"2"</f>
        <v>2</v>
      </c>
      <c r="G25" t="str">
        <f>"4"</f>
        <v>4</v>
      </c>
      <c r="H25" t="str">
        <f>"2"</f>
        <v>2</v>
      </c>
      <c r="I25" s="2">
        <v>-431736.52</v>
      </c>
    </row>
    <row r="26" spans="1:9" x14ac:dyDescent="0.25">
      <c r="A26">
        <v>10</v>
      </c>
      <c r="B26" s="1">
        <v>45289</v>
      </c>
      <c r="C26">
        <v>25</v>
      </c>
      <c r="D26" t="str">
        <f t="shared" si="4"/>
        <v>1054</v>
      </c>
      <c r="E26" t="str">
        <f t="shared" si="5"/>
        <v>Резервы (провизии) по корреспондентским счетам в других банках и текущим счетам ипотечных организаций</v>
      </c>
      <c r="F26" t="str">
        <f>"2"</f>
        <v>2</v>
      </c>
      <c r="G26" t="str">
        <f>"4"</f>
        <v>4</v>
      </c>
      <c r="H26" t="str">
        <f>"3"</f>
        <v>3</v>
      </c>
      <c r="I26" s="2">
        <v>-884112.95</v>
      </c>
    </row>
    <row r="27" spans="1:9" x14ac:dyDescent="0.25">
      <c r="A27">
        <v>589</v>
      </c>
      <c r="B27" s="1">
        <v>45289</v>
      </c>
      <c r="C27">
        <v>25</v>
      </c>
      <c r="D27" t="str">
        <f t="shared" si="4"/>
        <v>1054</v>
      </c>
      <c r="E27" t="str">
        <f t="shared" si="5"/>
        <v>Резервы (провизии) по корреспондентским счетам в других банках и текущим счетам ипотечных организаций</v>
      </c>
      <c r="F27" t="str">
        <f>"2"</f>
        <v>2</v>
      </c>
      <c r="G27" t="str">
        <f>"5"</f>
        <v>5</v>
      </c>
      <c r="H27" t="str">
        <f>"1"</f>
        <v>1</v>
      </c>
      <c r="I27" s="2">
        <v>-58486.38</v>
      </c>
    </row>
    <row r="28" spans="1:9" x14ac:dyDescent="0.25">
      <c r="A28">
        <v>11</v>
      </c>
      <c r="B28" s="1">
        <v>45289</v>
      </c>
      <c r="C28">
        <v>25</v>
      </c>
      <c r="D28" t="str">
        <f t="shared" si="4"/>
        <v>1054</v>
      </c>
      <c r="E28" t="str">
        <f t="shared" si="5"/>
        <v>Резервы (провизии) по корреспондентским счетам в других банках и текущим счетам ипотечных организаций</v>
      </c>
      <c r="F28" t="str">
        <f>"2"</f>
        <v>2</v>
      </c>
      <c r="G28" t="str">
        <f>"5"</f>
        <v>5</v>
      </c>
      <c r="H28" t="str">
        <f>"2"</f>
        <v>2</v>
      </c>
      <c r="I28" s="2">
        <v>-110571.16</v>
      </c>
    </row>
    <row r="29" spans="1:9" x14ac:dyDescent="0.25">
      <c r="A29">
        <v>590</v>
      </c>
      <c r="B29" s="1">
        <v>45289</v>
      </c>
      <c r="C29">
        <v>25</v>
      </c>
      <c r="D29" t="str">
        <f t="shared" si="4"/>
        <v>1054</v>
      </c>
      <c r="E29" t="str">
        <f t="shared" si="5"/>
        <v>Резервы (провизии) по корреспондентским счетам в других банках и текущим счетам ипотечных организаций</v>
      </c>
      <c r="F29" t="str">
        <f>"2"</f>
        <v>2</v>
      </c>
      <c r="G29" t="str">
        <f>"5"</f>
        <v>5</v>
      </c>
      <c r="H29" t="str">
        <f>"3"</f>
        <v>3</v>
      </c>
      <c r="I29" s="2">
        <v>-13312.61</v>
      </c>
    </row>
    <row r="30" spans="1:9" x14ac:dyDescent="0.25">
      <c r="A30">
        <v>603</v>
      </c>
      <c r="B30" s="1">
        <v>45289</v>
      </c>
      <c r="C30">
        <v>25</v>
      </c>
      <c r="D30" t="str">
        <f>"1055"</f>
        <v>1055</v>
      </c>
      <c r="E30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30" t="str">
        <f t="shared" ref="F30:F36" si="6">"1"</f>
        <v>1</v>
      </c>
      <c r="G30" t="str">
        <f>"3"</f>
        <v>3</v>
      </c>
      <c r="H30" t="str">
        <f>"1"</f>
        <v>1</v>
      </c>
      <c r="I30" s="2">
        <v>7163673366</v>
      </c>
    </row>
    <row r="31" spans="1:9" x14ac:dyDescent="0.25">
      <c r="A31">
        <v>593</v>
      </c>
      <c r="B31" s="1">
        <v>45289</v>
      </c>
      <c r="C31">
        <v>25</v>
      </c>
      <c r="D31" t="str">
        <f>"1103"</f>
        <v>1103</v>
      </c>
      <c r="E3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1" t="str">
        <f t="shared" si="6"/>
        <v>1</v>
      </c>
      <c r="G31" t="str">
        <f>"3"</f>
        <v>3</v>
      </c>
      <c r="H31" t="str">
        <f>"1"</f>
        <v>1</v>
      </c>
      <c r="I31" s="2">
        <v>355000000000</v>
      </c>
    </row>
    <row r="32" spans="1:9" x14ac:dyDescent="0.25">
      <c r="A32">
        <v>466</v>
      </c>
      <c r="B32" s="1">
        <v>45289</v>
      </c>
      <c r="C32">
        <v>25</v>
      </c>
      <c r="D32" t="str">
        <f>"1103"</f>
        <v>1103</v>
      </c>
      <c r="E3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2" t="str">
        <f t="shared" si="6"/>
        <v>1</v>
      </c>
      <c r="G32" t="str">
        <f>"3"</f>
        <v>3</v>
      </c>
      <c r="H32" t="str">
        <f>"2"</f>
        <v>2</v>
      </c>
      <c r="I32" s="2">
        <v>68184000000</v>
      </c>
    </row>
    <row r="33" spans="1:9" x14ac:dyDescent="0.25">
      <c r="A33">
        <v>12</v>
      </c>
      <c r="B33" s="1">
        <v>45289</v>
      </c>
      <c r="C33">
        <v>25</v>
      </c>
      <c r="D33" t="str">
        <f>"1201"</f>
        <v>1201</v>
      </c>
      <c r="E3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3" t="str">
        <f t="shared" si="6"/>
        <v>1</v>
      </c>
      <c r="G33" t="str">
        <f>"4"</f>
        <v>4</v>
      </c>
      <c r="H33" t="str">
        <f>"1"</f>
        <v>1</v>
      </c>
      <c r="I33" s="2">
        <v>66290250.299999997</v>
      </c>
    </row>
    <row r="34" spans="1:9" x14ac:dyDescent="0.25">
      <c r="A34">
        <v>205</v>
      </c>
      <c r="B34" s="1">
        <v>45289</v>
      </c>
      <c r="C34">
        <v>25</v>
      </c>
      <c r="D34" t="str">
        <f>"1201"</f>
        <v>1201</v>
      </c>
      <c r="E34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4" t="str">
        <f t="shared" si="6"/>
        <v>1</v>
      </c>
      <c r="G34" t="str">
        <f>"6"</f>
        <v>6</v>
      </c>
      <c r="H34" t="str">
        <f>"1"</f>
        <v>1</v>
      </c>
      <c r="I34" s="2">
        <v>61740000</v>
      </c>
    </row>
    <row r="35" spans="1:9" x14ac:dyDescent="0.25">
      <c r="A35">
        <v>608</v>
      </c>
      <c r="B35" s="1">
        <v>45289</v>
      </c>
      <c r="C35">
        <v>25</v>
      </c>
      <c r="D35" t="str">
        <f>"1209"</f>
        <v>1209</v>
      </c>
      <c r="E35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5" t="str">
        <f t="shared" si="6"/>
        <v>1</v>
      </c>
      <c r="G35" t="str">
        <f>"4"</f>
        <v>4</v>
      </c>
      <c r="H35" t="str">
        <f>"1"</f>
        <v>1</v>
      </c>
      <c r="I35" s="2">
        <v>-66290250.299999997</v>
      </c>
    </row>
    <row r="36" spans="1:9" x14ac:dyDescent="0.25">
      <c r="A36">
        <v>607</v>
      </c>
      <c r="B36" s="1">
        <v>45289</v>
      </c>
      <c r="C36">
        <v>25</v>
      </c>
      <c r="D36" t="str">
        <f>"1209"</f>
        <v>1209</v>
      </c>
      <c r="E36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6" t="str">
        <f t="shared" si="6"/>
        <v>1</v>
      </c>
      <c r="G36" t="str">
        <f>"6"</f>
        <v>6</v>
      </c>
      <c r="H36" t="str">
        <f>"1"</f>
        <v>1</v>
      </c>
      <c r="I36" s="2">
        <v>-20268937.91</v>
      </c>
    </row>
    <row r="37" spans="1:9" x14ac:dyDescent="0.25">
      <c r="A37">
        <v>217</v>
      </c>
      <c r="B37" s="1">
        <v>45289</v>
      </c>
      <c r="C37">
        <v>25</v>
      </c>
      <c r="D37" t="str">
        <f>"1253"</f>
        <v>1253</v>
      </c>
      <c r="E37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37" t="str">
        <f>"2"</f>
        <v>2</v>
      </c>
      <c r="G37" t="str">
        <f>"4"</f>
        <v>4</v>
      </c>
      <c r="H37" t="str">
        <f>"2"</f>
        <v>2</v>
      </c>
      <c r="I37" s="2">
        <v>15067200000</v>
      </c>
    </row>
    <row r="38" spans="1:9" x14ac:dyDescent="0.25">
      <c r="A38">
        <v>472</v>
      </c>
      <c r="B38" s="1">
        <v>45289</v>
      </c>
      <c r="C38">
        <v>25</v>
      </c>
      <c r="D38" t="str">
        <f>"1256"</f>
        <v>1256</v>
      </c>
      <c r="E38" t="str">
        <f>"Условные вклады, размещенные в других банках"</f>
        <v>Условные вклады, размещенные в других банках</v>
      </c>
      <c r="F38" t="str">
        <f>"2"</f>
        <v>2</v>
      </c>
      <c r="G38" t="str">
        <f>"4"</f>
        <v>4</v>
      </c>
      <c r="H38" t="str">
        <f>"2"</f>
        <v>2</v>
      </c>
      <c r="I38" s="2">
        <v>23167282.239999998</v>
      </c>
    </row>
    <row r="39" spans="1:9" x14ac:dyDescent="0.25">
      <c r="A39">
        <v>463</v>
      </c>
      <c r="B39" s="1">
        <v>45289</v>
      </c>
      <c r="C39">
        <v>25</v>
      </c>
      <c r="D39" t="str">
        <f>"1259"</f>
        <v>1259</v>
      </c>
      <c r="E3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9" t="str">
        <f>"1"</f>
        <v>1</v>
      </c>
      <c r="G39" t="str">
        <f>"3"</f>
        <v>3</v>
      </c>
      <c r="H39" t="str">
        <f>"1"</f>
        <v>1</v>
      </c>
      <c r="I39" s="2">
        <v>-41889284.659999996</v>
      </c>
    </row>
    <row r="40" spans="1:9" x14ac:dyDescent="0.25">
      <c r="A40">
        <v>584</v>
      </c>
      <c r="B40" s="1">
        <v>45289</v>
      </c>
      <c r="C40">
        <v>25</v>
      </c>
      <c r="D40" t="str">
        <f>"1259"</f>
        <v>1259</v>
      </c>
      <c r="E4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0" t="str">
        <f>"1"</f>
        <v>1</v>
      </c>
      <c r="G40" t="str">
        <f>"3"</f>
        <v>3</v>
      </c>
      <c r="H40" t="str">
        <f>"2"</f>
        <v>2</v>
      </c>
      <c r="I40" s="2">
        <v>-53411054.539999999</v>
      </c>
    </row>
    <row r="41" spans="1:9" x14ac:dyDescent="0.25">
      <c r="A41">
        <v>6</v>
      </c>
      <c r="B41" s="1">
        <v>45289</v>
      </c>
      <c r="C41">
        <v>25</v>
      </c>
      <c r="D41" t="str">
        <f>"1259"</f>
        <v>1259</v>
      </c>
      <c r="E4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1" t="str">
        <f>"1"</f>
        <v>1</v>
      </c>
      <c r="G41" t="str">
        <f>"5"</f>
        <v>5</v>
      </c>
      <c r="H41" t="str">
        <f>"1"</f>
        <v>1</v>
      </c>
      <c r="I41" s="2">
        <v>-160597.65</v>
      </c>
    </row>
    <row r="42" spans="1:9" x14ac:dyDescent="0.25">
      <c r="A42">
        <v>586</v>
      </c>
      <c r="B42" s="1">
        <v>45289</v>
      </c>
      <c r="C42">
        <v>25</v>
      </c>
      <c r="D42" t="str">
        <f>"1259"</f>
        <v>1259</v>
      </c>
      <c r="E4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2" t="str">
        <f>"2"</f>
        <v>2</v>
      </c>
      <c r="G42" t="str">
        <f>"4"</f>
        <v>4</v>
      </c>
      <c r="H42" t="str">
        <f>"2"</f>
        <v>2</v>
      </c>
      <c r="I42" s="2">
        <v>-721502.82</v>
      </c>
    </row>
    <row r="43" spans="1:9" x14ac:dyDescent="0.25">
      <c r="A43">
        <v>585</v>
      </c>
      <c r="B43" s="1">
        <v>45289</v>
      </c>
      <c r="C43">
        <v>25</v>
      </c>
      <c r="D43" t="str">
        <f>"1259"</f>
        <v>1259</v>
      </c>
      <c r="E4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3" t="str">
        <f>"2"</f>
        <v>2</v>
      </c>
      <c r="G43" t="str">
        <f>"5"</f>
        <v>5</v>
      </c>
      <c r="H43" t="str">
        <f>"2"</f>
        <v>2</v>
      </c>
      <c r="I43" s="2">
        <v>-162274074.43000001</v>
      </c>
    </row>
    <row r="44" spans="1:9" x14ac:dyDescent="0.25">
      <c r="A44">
        <v>594</v>
      </c>
      <c r="B44" s="1">
        <v>45289</v>
      </c>
      <c r="C44">
        <v>25</v>
      </c>
      <c r="D44" t="str">
        <f>"1264"</f>
        <v>1264</v>
      </c>
      <c r="E44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44" t="str">
        <f>"2"</f>
        <v>2</v>
      </c>
      <c r="G44" t="str">
        <f>"5"</f>
        <v>5</v>
      </c>
      <c r="H44" t="str">
        <f>"2"</f>
        <v>2</v>
      </c>
      <c r="I44" s="2">
        <v>14975634495.879999</v>
      </c>
    </row>
    <row r="45" spans="1:9" x14ac:dyDescent="0.25">
      <c r="A45">
        <v>17</v>
      </c>
      <c r="B45" s="1">
        <v>45289</v>
      </c>
      <c r="C45">
        <v>25</v>
      </c>
      <c r="D45" t="str">
        <f>"1267"</f>
        <v>1267</v>
      </c>
      <c r="E4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5" t="str">
        <f>"1"</f>
        <v>1</v>
      </c>
      <c r="G45" t="str">
        <f>"5"</f>
        <v>5</v>
      </c>
      <c r="H45" t="str">
        <f>"1"</f>
        <v>1</v>
      </c>
      <c r="I45" s="2">
        <v>55000000</v>
      </c>
    </row>
    <row r="46" spans="1:9" x14ac:dyDescent="0.25">
      <c r="A46">
        <v>209</v>
      </c>
      <c r="B46" s="1">
        <v>45289</v>
      </c>
      <c r="C46">
        <v>25</v>
      </c>
      <c r="D46" t="str">
        <f>"1267"</f>
        <v>1267</v>
      </c>
      <c r="E46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6" t="str">
        <f>"2"</f>
        <v>2</v>
      </c>
      <c r="G46" t="str">
        <f>"4"</f>
        <v>4</v>
      </c>
      <c r="H46" t="str">
        <f>"2"</f>
        <v>2</v>
      </c>
      <c r="I46" s="2">
        <v>113640000</v>
      </c>
    </row>
    <row r="47" spans="1:9" x14ac:dyDescent="0.25">
      <c r="A47">
        <v>606</v>
      </c>
      <c r="B47" s="1">
        <v>45289</v>
      </c>
      <c r="C47">
        <v>25</v>
      </c>
      <c r="D47" t="str">
        <f t="shared" ref="D47:D55" si="7">"1401"</f>
        <v>1401</v>
      </c>
      <c r="E47" t="str">
        <f t="shared" ref="E47:E55" si="8">"Займы овердрафт, предоставленные клиентам"</f>
        <v>Займы овердрафт, предоставленные клиентам</v>
      </c>
      <c r="F47" t="str">
        <f t="shared" ref="F47:F52" si="9">"1"</f>
        <v>1</v>
      </c>
      <c r="G47" t="str">
        <f>"6"</f>
        <v>6</v>
      </c>
      <c r="H47" t="str">
        <f>"1"</f>
        <v>1</v>
      </c>
      <c r="I47" s="2">
        <v>102805000</v>
      </c>
    </row>
    <row r="48" spans="1:9" x14ac:dyDescent="0.25">
      <c r="A48">
        <v>215</v>
      </c>
      <c r="B48" s="1">
        <v>45289</v>
      </c>
      <c r="C48">
        <v>25</v>
      </c>
      <c r="D48" t="str">
        <f t="shared" si="7"/>
        <v>1401</v>
      </c>
      <c r="E48" t="str">
        <f t="shared" si="8"/>
        <v>Займы овердрафт, предоставленные клиентам</v>
      </c>
      <c r="F48" t="str">
        <f t="shared" si="9"/>
        <v>1</v>
      </c>
      <c r="G48" t="str">
        <f>"7"</f>
        <v>7</v>
      </c>
      <c r="H48" t="str">
        <f>"1"</f>
        <v>1</v>
      </c>
      <c r="I48" s="2">
        <v>8211509961.4700003</v>
      </c>
    </row>
    <row r="49" spans="1:9" x14ac:dyDescent="0.25">
      <c r="A49">
        <v>605</v>
      </c>
      <c r="B49" s="1">
        <v>45289</v>
      </c>
      <c r="C49">
        <v>25</v>
      </c>
      <c r="D49" t="str">
        <f t="shared" si="7"/>
        <v>1401</v>
      </c>
      <c r="E49" t="str">
        <f t="shared" si="8"/>
        <v>Займы овердрафт, предоставленные клиентам</v>
      </c>
      <c r="F49" t="str">
        <f t="shared" si="9"/>
        <v>1</v>
      </c>
      <c r="G49" t="str">
        <f>"7"</f>
        <v>7</v>
      </c>
      <c r="H49" t="str">
        <f>"2"</f>
        <v>2</v>
      </c>
      <c r="I49" s="2">
        <v>75.34</v>
      </c>
    </row>
    <row r="50" spans="1:9" x14ac:dyDescent="0.25">
      <c r="A50">
        <v>213</v>
      </c>
      <c r="B50" s="1">
        <v>45289</v>
      </c>
      <c r="C50">
        <v>25</v>
      </c>
      <c r="D50" t="str">
        <f t="shared" si="7"/>
        <v>1401</v>
      </c>
      <c r="E50" t="str">
        <f t="shared" si="8"/>
        <v>Займы овердрафт, предоставленные клиентам</v>
      </c>
      <c r="F50" t="str">
        <f t="shared" si="9"/>
        <v>1</v>
      </c>
      <c r="G50" t="str">
        <f t="shared" ref="G50:G58" si="10">"9"</f>
        <v>9</v>
      </c>
      <c r="H50" t="str">
        <f>"1"</f>
        <v>1</v>
      </c>
      <c r="I50" s="2">
        <v>735034478.11000001</v>
      </c>
    </row>
    <row r="51" spans="1:9" x14ac:dyDescent="0.25">
      <c r="A51">
        <v>212</v>
      </c>
      <c r="B51" s="1">
        <v>45289</v>
      </c>
      <c r="C51">
        <v>25</v>
      </c>
      <c r="D51" t="str">
        <f t="shared" si="7"/>
        <v>1401</v>
      </c>
      <c r="E51" t="str">
        <f t="shared" si="8"/>
        <v>Займы овердрафт, предоставленные клиентам</v>
      </c>
      <c r="F51" t="str">
        <f t="shared" si="9"/>
        <v>1</v>
      </c>
      <c r="G51" t="str">
        <f t="shared" si="10"/>
        <v>9</v>
      </c>
      <c r="H51" t="str">
        <f>"2"</f>
        <v>2</v>
      </c>
      <c r="I51" s="2">
        <v>1943254.22</v>
      </c>
    </row>
    <row r="52" spans="1:9" x14ac:dyDescent="0.25">
      <c r="A52">
        <v>102</v>
      </c>
      <c r="B52" s="1">
        <v>45289</v>
      </c>
      <c r="C52">
        <v>25</v>
      </c>
      <c r="D52" t="str">
        <f t="shared" si="7"/>
        <v>1401</v>
      </c>
      <c r="E52" t="str">
        <f t="shared" si="8"/>
        <v>Займы овердрафт, предоставленные клиентам</v>
      </c>
      <c r="F52" t="str">
        <f t="shared" si="9"/>
        <v>1</v>
      </c>
      <c r="G52" t="str">
        <f t="shared" si="10"/>
        <v>9</v>
      </c>
      <c r="H52" t="str">
        <f>"3"</f>
        <v>3</v>
      </c>
      <c r="I52" s="2">
        <v>43.92</v>
      </c>
    </row>
    <row r="53" spans="1:9" x14ac:dyDescent="0.25">
      <c r="A53">
        <v>103</v>
      </c>
      <c r="B53" s="1">
        <v>45289</v>
      </c>
      <c r="C53">
        <v>25</v>
      </c>
      <c r="D53" t="str">
        <f t="shared" si="7"/>
        <v>1401</v>
      </c>
      <c r="E53" t="str">
        <f t="shared" si="8"/>
        <v>Займы овердрафт, предоставленные клиентам</v>
      </c>
      <c r="F53" t="str">
        <f>"2"</f>
        <v>2</v>
      </c>
      <c r="G53" t="str">
        <f t="shared" si="10"/>
        <v>9</v>
      </c>
      <c r="H53" t="str">
        <f>"1"</f>
        <v>1</v>
      </c>
      <c r="I53" s="2">
        <v>115.57</v>
      </c>
    </row>
    <row r="54" spans="1:9" x14ac:dyDescent="0.25">
      <c r="A54">
        <v>214</v>
      </c>
      <c r="B54" s="1">
        <v>45289</v>
      </c>
      <c r="C54">
        <v>25</v>
      </c>
      <c r="D54" t="str">
        <f t="shared" si="7"/>
        <v>1401</v>
      </c>
      <c r="E54" t="str">
        <f t="shared" si="8"/>
        <v>Займы овердрафт, предоставленные клиентам</v>
      </c>
      <c r="F54" t="str">
        <f>"2"</f>
        <v>2</v>
      </c>
      <c r="G54" t="str">
        <f t="shared" si="10"/>
        <v>9</v>
      </c>
      <c r="H54" t="str">
        <f>"2"</f>
        <v>2</v>
      </c>
      <c r="I54" s="2">
        <v>64380.91</v>
      </c>
    </row>
    <row r="55" spans="1:9" x14ac:dyDescent="0.25">
      <c r="A55">
        <v>211</v>
      </c>
      <c r="B55" s="1">
        <v>45289</v>
      </c>
      <c r="C55">
        <v>25</v>
      </c>
      <c r="D55" t="str">
        <f t="shared" si="7"/>
        <v>1401</v>
      </c>
      <c r="E55" t="str">
        <f t="shared" si="8"/>
        <v>Займы овердрафт, предоставленные клиентам</v>
      </c>
      <c r="F55" t="str">
        <f>"2"</f>
        <v>2</v>
      </c>
      <c r="G55" t="str">
        <f t="shared" si="10"/>
        <v>9</v>
      </c>
      <c r="H55" t="str">
        <f>"3"</f>
        <v>3</v>
      </c>
      <c r="I55" s="2">
        <v>26.82</v>
      </c>
    </row>
    <row r="56" spans="1:9" x14ac:dyDescent="0.25">
      <c r="A56">
        <v>473</v>
      </c>
      <c r="B56" s="1">
        <v>45289</v>
      </c>
      <c r="C56">
        <v>25</v>
      </c>
      <c r="D56" t="str">
        <f>"1403"</f>
        <v>1403</v>
      </c>
      <c r="E56" t="str">
        <f>"Счета по кредитным карточкам клиентов"</f>
        <v>Счета по кредитным карточкам клиентов</v>
      </c>
      <c r="F56" t="str">
        <f>"1"</f>
        <v>1</v>
      </c>
      <c r="G56" t="str">
        <f t="shared" si="10"/>
        <v>9</v>
      </c>
      <c r="H56" t="str">
        <f>"1"</f>
        <v>1</v>
      </c>
      <c r="I56" s="2">
        <v>3326984265.4299998</v>
      </c>
    </row>
    <row r="57" spans="1:9" x14ac:dyDescent="0.25">
      <c r="A57">
        <v>101</v>
      </c>
      <c r="B57" s="1">
        <v>45289</v>
      </c>
      <c r="C57">
        <v>25</v>
      </c>
      <c r="D57" t="str">
        <f>"1403"</f>
        <v>1403</v>
      </c>
      <c r="E57" t="str">
        <f>"Счета по кредитным карточкам клиентов"</f>
        <v>Счета по кредитным карточкам клиентов</v>
      </c>
      <c r="F57" t="str">
        <f>"1"</f>
        <v>1</v>
      </c>
      <c r="G57" t="str">
        <f t="shared" si="10"/>
        <v>9</v>
      </c>
      <c r="H57" t="str">
        <f>"2"</f>
        <v>2</v>
      </c>
      <c r="I57" s="2">
        <v>43631859.810000002</v>
      </c>
    </row>
    <row r="58" spans="1:9" x14ac:dyDescent="0.25">
      <c r="A58">
        <v>388</v>
      </c>
      <c r="B58" s="1">
        <v>45289</v>
      </c>
      <c r="C58">
        <v>25</v>
      </c>
      <c r="D58" t="str">
        <f>"1403"</f>
        <v>1403</v>
      </c>
      <c r="E58" t="str">
        <f>"Счета по кредитным карточкам клиентов"</f>
        <v>Счета по кредитным карточкам клиентов</v>
      </c>
      <c r="F58" t="str">
        <f>"2"</f>
        <v>2</v>
      </c>
      <c r="G58" t="str">
        <f t="shared" si="10"/>
        <v>9</v>
      </c>
      <c r="H58" t="str">
        <f>"1"</f>
        <v>1</v>
      </c>
      <c r="I58" s="2">
        <v>7290151.6699999999</v>
      </c>
    </row>
    <row r="59" spans="1:9" x14ac:dyDescent="0.25">
      <c r="A59">
        <v>391</v>
      </c>
      <c r="B59" s="1">
        <v>45289</v>
      </c>
      <c r="C59">
        <v>25</v>
      </c>
      <c r="D59" t="str">
        <f>"1411"</f>
        <v>1411</v>
      </c>
      <c r="E59" t="str">
        <f>"Краткосрочные займы, предоставленные клиентам"</f>
        <v>Краткосрочные займы, предоставленные клиентам</v>
      </c>
      <c r="F59" t="str">
        <f t="shared" ref="F59:F69" si="11">"1"</f>
        <v>1</v>
      </c>
      <c r="G59" t="str">
        <f>"5"</f>
        <v>5</v>
      </c>
      <c r="H59" t="str">
        <f>"1"</f>
        <v>1</v>
      </c>
      <c r="I59" s="2">
        <v>18078553396.220001</v>
      </c>
    </row>
    <row r="60" spans="1:9" x14ac:dyDescent="0.25">
      <c r="A60">
        <v>216</v>
      </c>
      <c r="B60" s="1">
        <v>45289</v>
      </c>
      <c r="C60">
        <v>25</v>
      </c>
      <c r="D60" t="str">
        <f>"1411"</f>
        <v>1411</v>
      </c>
      <c r="E60" t="str">
        <f>"Краткосрочные займы, предоставленные клиентам"</f>
        <v>Краткосрочные займы, предоставленные клиентам</v>
      </c>
      <c r="F60" t="str">
        <f t="shared" si="11"/>
        <v>1</v>
      </c>
      <c r="G60" t="str">
        <f>"6"</f>
        <v>6</v>
      </c>
      <c r="H60" t="str">
        <f>"1"</f>
        <v>1</v>
      </c>
      <c r="I60" s="2">
        <v>633091575.69000006</v>
      </c>
    </row>
    <row r="61" spans="1:9" x14ac:dyDescent="0.25">
      <c r="A61">
        <v>390</v>
      </c>
      <c r="B61" s="1">
        <v>45289</v>
      </c>
      <c r="C61">
        <v>25</v>
      </c>
      <c r="D61" t="str">
        <f>"1411"</f>
        <v>1411</v>
      </c>
      <c r="E61" t="str">
        <f>"Краткосрочные займы, предоставленные клиентам"</f>
        <v>Краткосрочные займы, предоставленные клиентам</v>
      </c>
      <c r="F61" t="str">
        <f t="shared" si="11"/>
        <v>1</v>
      </c>
      <c r="G61" t="str">
        <f>"7"</f>
        <v>7</v>
      </c>
      <c r="H61" t="str">
        <f>"1"</f>
        <v>1</v>
      </c>
      <c r="I61" s="2">
        <v>219936444420.12</v>
      </c>
    </row>
    <row r="62" spans="1:9" x14ac:dyDescent="0.25">
      <c r="A62">
        <v>104</v>
      </c>
      <c r="B62" s="1">
        <v>45289</v>
      </c>
      <c r="C62">
        <v>25</v>
      </c>
      <c r="D62" t="str">
        <f>"1411"</f>
        <v>1411</v>
      </c>
      <c r="E62" t="str">
        <f>"Краткосрочные займы, предоставленные клиентам"</f>
        <v>Краткосрочные займы, предоставленные клиентам</v>
      </c>
      <c r="F62" t="str">
        <f t="shared" si="11"/>
        <v>1</v>
      </c>
      <c r="G62" t="str">
        <f>"7"</f>
        <v>7</v>
      </c>
      <c r="H62" t="str">
        <f>"2"</f>
        <v>2</v>
      </c>
      <c r="I62" s="2">
        <v>92879530449.429993</v>
      </c>
    </row>
    <row r="63" spans="1:9" x14ac:dyDescent="0.25">
      <c r="A63">
        <v>18</v>
      </c>
      <c r="B63" s="1">
        <v>45289</v>
      </c>
      <c r="C63">
        <v>25</v>
      </c>
      <c r="D63" t="str">
        <f>"1411"</f>
        <v>1411</v>
      </c>
      <c r="E63" t="str">
        <f>"Краткосрочные займы, предоставленные клиентам"</f>
        <v>Краткосрочные займы, предоставленные клиентам</v>
      </c>
      <c r="F63" t="str">
        <f t="shared" si="11"/>
        <v>1</v>
      </c>
      <c r="G63" t="str">
        <f>"9"</f>
        <v>9</v>
      </c>
      <c r="H63" t="str">
        <f>"1"</f>
        <v>1</v>
      </c>
      <c r="I63" s="2">
        <v>11498498027.469999</v>
      </c>
    </row>
    <row r="64" spans="1:9" x14ac:dyDescent="0.25">
      <c r="A64">
        <v>13</v>
      </c>
      <c r="B64" s="1">
        <v>45289</v>
      </c>
      <c r="C64">
        <v>25</v>
      </c>
      <c r="D64" t="str">
        <f t="shared" ref="D64:D70" si="12">"1417"</f>
        <v>1417</v>
      </c>
      <c r="E64" t="str">
        <f t="shared" ref="E64:E70" si="13">"Долгосрочные займы, предоставленные клиентам"</f>
        <v>Долгосрочные займы, предоставленные клиентам</v>
      </c>
      <c r="F64" t="str">
        <f t="shared" si="11"/>
        <v>1</v>
      </c>
      <c r="G64" t="str">
        <f>"5"</f>
        <v>5</v>
      </c>
      <c r="H64" t="str">
        <f>"1"</f>
        <v>1</v>
      </c>
      <c r="I64" s="2">
        <v>48497218610.480003</v>
      </c>
    </row>
    <row r="65" spans="1:9" x14ac:dyDescent="0.25">
      <c r="A65">
        <v>595</v>
      </c>
      <c r="B65" s="1">
        <v>45289</v>
      </c>
      <c r="C65">
        <v>25</v>
      </c>
      <c r="D65" t="str">
        <f t="shared" si="12"/>
        <v>1417</v>
      </c>
      <c r="E65" t="str">
        <f t="shared" si="13"/>
        <v>Долгосрочные займы, предоставленные клиентам</v>
      </c>
      <c r="F65" t="str">
        <f t="shared" si="11"/>
        <v>1</v>
      </c>
      <c r="G65" t="str">
        <f>"5"</f>
        <v>5</v>
      </c>
      <c r="H65" t="str">
        <f>"2"</f>
        <v>2</v>
      </c>
      <c r="I65" s="2">
        <v>939348240</v>
      </c>
    </row>
    <row r="66" spans="1:9" x14ac:dyDescent="0.25">
      <c r="A66">
        <v>384</v>
      </c>
      <c r="B66" s="1">
        <v>45289</v>
      </c>
      <c r="C66">
        <v>25</v>
      </c>
      <c r="D66" t="str">
        <f t="shared" si="12"/>
        <v>1417</v>
      </c>
      <c r="E66" t="str">
        <f t="shared" si="13"/>
        <v>Долгосрочные займы, предоставленные клиентам</v>
      </c>
      <c r="F66" t="str">
        <f t="shared" si="11"/>
        <v>1</v>
      </c>
      <c r="G66" t="str">
        <f>"7"</f>
        <v>7</v>
      </c>
      <c r="H66" t="str">
        <f>"1"</f>
        <v>1</v>
      </c>
      <c r="I66" s="2">
        <v>228837847200.16</v>
      </c>
    </row>
    <row r="67" spans="1:9" x14ac:dyDescent="0.25">
      <c r="A67">
        <v>206</v>
      </c>
      <c r="B67" s="1">
        <v>45289</v>
      </c>
      <c r="C67">
        <v>25</v>
      </c>
      <c r="D67" t="str">
        <f t="shared" si="12"/>
        <v>1417</v>
      </c>
      <c r="E67" t="str">
        <f t="shared" si="13"/>
        <v>Долгосрочные займы, предоставленные клиентам</v>
      </c>
      <c r="F67" t="str">
        <f t="shared" si="11"/>
        <v>1</v>
      </c>
      <c r="G67" t="str">
        <f>"7"</f>
        <v>7</v>
      </c>
      <c r="H67" t="str">
        <f>"2"</f>
        <v>2</v>
      </c>
      <c r="I67" s="2">
        <v>115950593768.88</v>
      </c>
    </row>
    <row r="68" spans="1:9" x14ac:dyDescent="0.25">
      <c r="A68">
        <v>99</v>
      </c>
      <c r="B68" s="1">
        <v>45289</v>
      </c>
      <c r="C68">
        <v>25</v>
      </c>
      <c r="D68" t="str">
        <f t="shared" si="12"/>
        <v>1417</v>
      </c>
      <c r="E68" t="str">
        <f t="shared" si="13"/>
        <v>Долгосрочные займы, предоставленные клиентам</v>
      </c>
      <c r="F68" t="str">
        <f t="shared" si="11"/>
        <v>1</v>
      </c>
      <c r="G68" t="str">
        <f>"8"</f>
        <v>8</v>
      </c>
      <c r="H68" t="str">
        <f>"1"</f>
        <v>1</v>
      </c>
      <c r="I68" s="2">
        <v>147149649.5</v>
      </c>
    </row>
    <row r="69" spans="1:9" x14ac:dyDescent="0.25">
      <c r="A69">
        <v>467</v>
      </c>
      <c r="B69" s="1">
        <v>45289</v>
      </c>
      <c r="C69">
        <v>25</v>
      </c>
      <c r="D69" t="str">
        <f t="shared" si="12"/>
        <v>1417</v>
      </c>
      <c r="E69" t="str">
        <f t="shared" si="13"/>
        <v>Долгосрочные займы, предоставленные клиентам</v>
      </c>
      <c r="F69" t="str">
        <f t="shared" si="11"/>
        <v>1</v>
      </c>
      <c r="G69" t="str">
        <f>"9"</f>
        <v>9</v>
      </c>
      <c r="H69" t="str">
        <f>"1"</f>
        <v>1</v>
      </c>
      <c r="I69" s="2">
        <v>682190764025.25</v>
      </c>
    </row>
    <row r="70" spans="1:9" x14ac:dyDescent="0.25">
      <c r="A70">
        <v>100</v>
      </c>
      <c r="B70" s="1">
        <v>45289</v>
      </c>
      <c r="C70">
        <v>25</v>
      </c>
      <c r="D70" t="str">
        <f t="shared" si="12"/>
        <v>1417</v>
      </c>
      <c r="E70" t="str">
        <f t="shared" si="13"/>
        <v>Долгосрочные займы, предоставленные клиентам</v>
      </c>
      <c r="F70" t="str">
        <f>"2"</f>
        <v>2</v>
      </c>
      <c r="G70" t="str">
        <f>"9"</f>
        <v>9</v>
      </c>
      <c r="H70" t="str">
        <f>"1"</f>
        <v>1</v>
      </c>
      <c r="I70" s="2">
        <v>34199957.82</v>
      </c>
    </row>
    <row r="71" spans="1:9" x14ac:dyDescent="0.25">
      <c r="A71">
        <v>627</v>
      </c>
      <c r="B71" s="1">
        <v>45289</v>
      </c>
      <c r="C71">
        <v>25</v>
      </c>
      <c r="D71" t="str">
        <f t="shared" ref="D71:D78" si="14">"1424"</f>
        <v>1424</v>
      </c>
      <c r="E71" t="str">
        <f t="shared" ref="E71:E78" si="15">"Просроченная задолженность клиентов по займам"</f>
        <v>Просроченная задолженность клиентов по займам</v>
      </c>
      <c r="F71" t="str">
        <f>"1"</f>
        <v>1</v>
      </c>
      <c r="G71" t="str">
        <f>"7"</f>
        <v>7</v>
      </c>
      <c r="H71" t="str">
        <f>"1"</f>
        <v>1</v>
      </c>
      <c r="I71" s="2">
        <v>6918587437.1199999</v>
      </c>
    </row>
    <row r="72" spans="1:9" x14ac:dyDescent="0.25">
      <c r="A72">
        <v>228</v>
      </c>
      <c r="B72" s="1">
        <v>45289</v>
      </c>
      <c r="C72">
        <v>25</v>
      </c>
      <c r="D72" t="str">
        <f t="shared" si="14"/>
        <v>1424</v>
      </c>
      <c r="E72" t="str">
        <f t="shared" si="15"/>
        <v>Просроченная задолженность клиентов по займам</v>
      </c>
      <c r="F72" t="str">
        <f>"1"</f>
        <v>1</v>
      </c>
      <c r="G72" t="str">
        <f>"7"</f>
        <v>7</v>
      </c>
      <c r="H72" t="str">
        <f>"2"</f>
        <v>2</v>
      </c>
      <c r="I72" s="2">
        <v>5618570.5999999996</v>
      </c>
    </row>
    <row r="73" spans="1:9" x14ac:dyDescent="0.25">
      <c r="A73">
        <v>230</v>
      </c>
      <c r="B73" s="1">
        <v>45289</v>
      </c>
      <c r="C73">
        <v>25</v>
      </c>
      <c r="D73" t="str">
        <f t="shared" si="14"/>
        <v>1424</v>
      </c>
      <c r="E73" t="str">
        <f t="shared" si="15"/>
        <v>Просроченная задолженность клиентов по займам</v>
      </c>
      <c r="F73" t="str">
        <f>"1"</f>
        <v>1</v>
      </c>
      <c r="G73" t="str">
        <f t="shared" ref="G73:G78" si="16">"9"</f>
        <v>9</v>
      </c>
      <c r="H73" t="str">
        <f>"1"</f>
        <v>1</v>
      </c>
      <c r="I73" s="2">
        <v>19948984639.049999</v>
      </c>
    </row>
    <row r="74" spans="1:9" x14ac:dyDescent="0.25">
      <c r="A74">
        <v>630</v>
      </c>
      <c r="B74" s="1">
        <v>45289</v>
      </c>
      <c r="C74">
        <v>25</v>
      </c>
      <c r="D74" t="str">
        <f t="shared" si="14"/>
        <v>1424</v>
      </c>
      <c r="E74" t="str">
        <f t="shared" si="15"/>
        <v>Просроченная задолженность клиентов по займам</v>
      </c>
      <c r="F74" t="str">
        <f>"1"</f>
        <v>1</v>
      </c>
      <c r="G74" t="str">
        <f t="shared" si="16"/>
        <v>9</v>
      </c>
      <c r="H74" t="str">
        <f>"2"</f>
        <v>2</v>
      </c>
      <c r="I74" s="2">
        <v>102247592.34</v>
      </c>
    </row>
    <row r="75" spans="1:9" x14ac:dyDescent="0.25">
      <c r="A75">
        <v>628</v>
      </c>
      <c r="B75" s="1">
        <v>45289</v>
      </c>
      <c r="C75">
        <v>25</v>
      </c>
      <c r="D75" t="str">
        <f t="shared" si="14"/>
        <v>1424</v>
      </c>
      <c r="E75" t="str">
        <f t="shared" si="15"/>
        <v>Просроченная задолженность клиентов по займам</v>
      </c>
      <c r="F75" t="str">
        <f>"1"</f>
        <v>1</v>
      </c>
      <c r="G75" t="str">
        <f t="shared" si="16"/>
        <v>9</v>
      </c>
      <c r="H75" t="str">
        <f>"3"</f>
        <v>3</v>
      </c>
      <c r="I75" s="2">
        <v>770675.59</v>
      </c>
    </row>
    <row r="76" spans="1:9" x14ac:dyDescent="0.25">
      <c r="A76">
        <v>229</v>
      </c>
      <c r="B76" s="1">
        <v>45289</v>
      </c>
      <c r="C76">
        <v>25</v>
      </c>
      <c r="D76" t="str">
        <f t="shared" si="14"/>
        <v>1424</v>
      </c>
      <c r="E76" t="str">
        <f t="shared" si="15"/>
        <v>Просроченная задолженность клиентов по займам</v>
      </c>
      <c r="F76" t="str">
        <f>"2"</f>
        <v>2</v>
      </c>
      <c r="G76" t="str">
        <f t="shared" si="16"/>
        <v>9</v>
      </c>
      <c r="H76" t="str">
        <f>"1"</f>
        <v>1</v>
      </c>
      <c r="I76" s="2">
        <v>13886745.08</v>
      </c>
    </row>
    <row r="77" spans="1:9" x14ac:dyDescent="0.25">
      <c r="A77">
        <v>629</v>
      </c>
      <c r="B77" s="1">
        <v>45289</v>
      </c>
      <c r="C77">
        <v>25</v>
      </c>
      <c r="D77" t="str">
        <f t="shared" si="14"/>
        <v>1424</v>
      </c>
      <c r="E77" t="str">
        <f t="shared" si="15"/>
        <v>Просроченная задолженность клиентов по займам</v>
      </c>
      <c r="F77" t="str">
        <f>"2"</f>
        <v>2</v>
      </c>
      <c r="G77" t="str">
        <f t="shared" si="16"/>
        <v>9</v>
      </c>
      <c r="H77" t="str">
        <f>"2"</f>
        <v>2</v>
      </c>
      <c r="I77" s="2">
        <v>21752541.629999999</v>
      </c>
    </row>
    <row r="78" spans="1:9" x14ac:dyDescent="0.25">
      <c r="A78">
        <v>487</v>
      </c>
      <c r="B78" s="1">
        <v>45289</v>
      </c>
      <c r="C78">
        <v>25</v>
      </c>
      <c r="D78" t="str">
        <f t="shared" si="14"/>
        <v>1424</v>
      </c>
      <c r="E78" t="str">
        <f t="shared" si="15"/>
        <v>Просроченная задолженность клиентов по займам</v>
      </c>
      <c r="F78" t="str">
        <f>"2"</f>
        <v>2</v>
      </c>
      <c r="G78" t="str">
        <f t="shared" si="16"/>
        <v>9</v>
      </c>
      <c r="H78" t="str">
        <f>"3"</f>
        <v>3</v>
      </c>
      <c r="I78" s="2">
        <v>217886.38</v>
      </c>
    </row>
    <row r="79" spans="1:9" x14ac:dyDescent="0.25">
      <c r="A79">
        <v>25</v>
      </c>
      <c r="B79" s="1">
        <v>45289</v>
      </c>
      <c r="C79">
        <v>25</v>
      </c>
      <c r="D79" t="str">
        <f t="shared" ref="D79:D90" si="17">"1428"</f>
        <v>1428</v>
      </c>
      <c r="E79" t="str">
        <f t="shared" ref="E79:E90" si="18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9" t="str">
        <f t="shared" ref="F79:F87" si="19">"1"</f>
        <v>1</v>
      </c>
      <c r="G79" t="str">
        <f>"5"</f>
        <v>5</v>
      </c>
      <c r="H79" t="str">
        <f>"1"</f>
        <v>1</v>
      </c>
      <c r="I79" s="2">
        <v>-159161990.53999999</v>
      </c>
    </row>
    <row r="80" spans="1:9" x14ac:dyDescent="0.25">
      <c r="A80">
        <v>402</v>
      </c>
      <c r="B80" s="1">
        <v>45289</v>
      </c>
      <c r="C80">
        <v>25</v>
      </c>
      <c r="D80" t="str">
        <f t="shared" si="17"/>
        <v>1428</v>
      </c>
      <c r="E80" t="str">
        <f t="shared" si="18"/>
        <v>Резервы (провизии) по займам и финансовому лизингу, предоставленным клиентам</v>
      </c>
      <c r="F80" t="str">
        <f t="shared" si="19"/>
        <v>1</v>
      </c>
      <c r="G80" t="str">
        <f>"5"</f>
        <v>5</v>
      </c>
      <c r="H80" t="str">
        <f>"2"</f>
        <v>2</v>
      </c>
      <c r="I80" s="2">
        <v>-2010059.78</v>
      </c>
    </row>
    <row r="81" spans="1:9" x14ac:dyDescent="0.25">
      <c r="A81">
        <v>481</v>
      </c>
      <c r="B81" s="1">
        <v>45289</v>
      </c>
      <c r="C81">
        <v>25</v>
      </c>
      <c r="D81" t="str">
        <f t="shared" si="17"/>
        <v>1428</v>
      </c>
      <c r="E81" t="str">
        <f t="shared" si="18"/>
        <v>Резервы (провизии) по займам и финансовому лизингу, предоставленным клиентам</v>
      </c>
      <c r="F81" t="str">
        <f t="shared" si="19"/>
        <v>1</v>
      </c>
      <c r="G81" t="str">
        <f>"6"</f>
        <v>6</v>
      </c>
      <c r="H81" t="str">
        <f>"1"</f>
        <v>1</v>
      </c>
      <c r="I81" s="2">
        <v>-7988133.04</v>
      </c>
    </row>
    <row r="82" spans="1:9" x14ac:dyDescent="0.25">
      <c r="A82">
        <v>109</v>
      </c>
      <c r="B82" s="1">
        <v>45289</v>
      </c>
      <c r="C82">
        <v>25</v>
      </c>
      <c r="D82" t="str">
        <f t="shared" si="17"/>
        <v>1428</v>
      </c>
      <c r="E82" t="str">
        <f t="shared" si="18"/>
        <v>Резервы (провизии) по займам и финансовому лизингу, предоставленным клиентам</v>
      </c>
      <c r="F82" t="str">
        <f t="shared" si="19"/>
        <v>1</v>
      </c>
      <c r="G82" t="str">
        <f>"7"</f>
        <v>7</v>
      </c>
      <c r="H82" t="str">
        <f>"1"</f>
        <v>1</v>
      </c>
      <c r="I82" s="2">
        <v>-9598662077.2600002</v>
      </c>
    </row>
    <row r="83" spans="1:9" x14ac:dyDescent="0.25">
      <c r="A83">
        <v>482</v>
      </c>
      <c r="B83" s="1">
        <v>45289</v>
      </c>
      <c r="C83">
        <v>25</v>
      </c>
      <c r="D83" t="str">
        <f t="shared" si="17"/>
        <v>1428</v>
      </c>
      <c r="E83" t="str">
        <f t="shared" si="18"/>
        <v>Резервы (провизии) по займам и финансовому лизингу, предоставленным клиентам</v>
      </c>
      <c r="F83" t="str">
        <f t="shared" si="19"/>
        <v>1</v>
      </c>
      <c r="G83" t="str">
        <f>"7"</f>
        <v>7</v>
      </c>
      <c r="H83" t="str">
        <f>"2"</f>
        <v>2</v>
      </c>
      <c r="I83" s="2">
        <v>-1198974258.9200001</v>
      </c>
    </row>
    <row r="84" spans="1:9" x14ac:dyDescent="0.25">
      <c r="A84">
        <v>400</v>
      </c>
      <c r="B84" s="1">
        <v>45289</v>
      </c>
      <c r="C84">
        <v>25</v>
      </c>
      <c r="D84" t="str">
        <f t="shared" si="17"/>
        <v>1428</v>
      </c>
      <c r="E84" t="str">
        <f t="shared" si="18"/>
        <v>Резервы (провизии) по займам и финансовому лизингу, предоставленным клиентам</v>
      </c>
      <c r="F84" t="str">
        <f t="shared" si="19"/>
        <v>1</v>
      </c>
      <c r="G84" t="str">
        <f>"8"</f>
        <v>8</v>
      </c>
      <c r="H84" t="str">
        <f>"1"</f>
        <v>1</v>
      </c>
      <c r="I84" s="2">
        <v>-1446059.48</v>
      </c>
    </row>
    <row r="85" spans="1:9" x14ac:dyDescent="0.25">
      <c r="A85">
        <v>620</v>
      </c>
      <c r="B85" s="1">
        <v>45289</v>
      </c>
      <c r="C85">
        <v>25</v>
      </c>
      <c r="D85" t="str">
        <f t="shared" si="17"/>
        <v>1428</v>
      </c>
      <c r="E85" t="str">
        <f t="shared" si="18"/>
        <v>Резервы (провизии) по займам и финансовому лизингу, предоставленным клиентам</v>
      </c>
      <c r="F85" t="str">
        <f t="shared" si="19"/>
        <v>1</v>
      </c>
      <c r="G85" t="str">
        <f t="shared" ref="G85:G90" si="20">"9"</f>
        <v>9</v>
      </c>
      <c r="H85" t="str">
        <f>"1"</f>
        <v>1</v>
      </c>
      <c r="I85" s="2">
        <v>-69596272453.779999</v>
      </c>
    </row>
    <row r="86" spans="1:9" x14ac:dyDescent="0.25">
      <c r="A86">
        <v>1</v>
      </c>
      <c r="B86" s="1">
        <v>45289</v>
      </c>
      <c r="C86">
        <v>25</v>
      </c>
      <c r="D86" t="str">
        <f t="shared" si="17"/>
        <v>1428</v>
      </c>
      <c r="E86" t="str">
        <f t="shared" si="18"/>
        <v>Резервы (провизии) по займам и финансовому лизингу, предоставленным клиентам</v>
      </c>
      <c r="F86" t="str">
        <f t="shared" si="19"/>
        <v>1</v>
      </c>
      <c r="G86" t="str">
        <f t="shared" si="20"/>
        <v>9</v>
      </c>
      <c r="H86" t="str">
        <f>"2"</f>
        <v>2</v>
      </c>
      <c r="I86" s="2">
        <v>-242814024.09</v>
      </c>
    </row>
    <row r="87" spans="1:9" x14ac:dyDescent="0.25">
      <c r="A87">
        <v>401</v>
      </c>
      <c r="B87" s="1">
        <v>45289</v>
      </c>
      <c r="C87">
        <v>25</v>
      </c>
      <c r="D87" t="str">
        <f t="shared" si="17"/>
        <v>1428</v>
      </c>
      <c r="E87" t="str">
        <f t="shared" si="18"/>
        <v>Резервы (провизии) по займам и финансовому лизингу, предоставленным клиентам</v>
      </c>
      <c r="F87" t="str">
        <f t="shared" si="19"/>
        <v>1</v>
      </c>
      <c r="G87" t="str">
        <f t="shared" si="20"/>
        <v>9</v>
      </c>
      <c r="H87" t="str">
        <f>"3"</f>
        <v>3</v>
      </c>
      <c r="I87" s="2">
        <v>-691002.3</v>
      </c>
    </row>
    <row r="88" spans="1:9" x14ac:dyDescent="0.25">
      <c r="A88">
        <v>108</v>
      </c>
      <c r="B88" s="1">
        <v>45289</v>
      </c>
      <c r="C88">
        <v>25</v>
      </c>
      <c r="D88" t="str">
        <f t="shared" si="17"/>
        <v>1428</v>
      </c>
      <c r="E88" t="str">
        <f t="shared" si="18"/>
        <v>Резервы (провизии) по займам и финансовому лизингу, предоставленным клиентам</v>
      </c>
      <c r="F88" t="str">
        <f>"2"</f>
        <v>2</v>
      </c>
      <c r="G88" t="str">
        <f t="shared" si="20"/>
        <v>9</v>
      </c>
      <c r="H88" t="str">
        <f>"1"</f>
        <v>1</v>
      </c>
      <c r="I88" s="2">
        <v>-9861380.0899999999</v>
      </c>
    </row>
    <row r="89" spans="1:9" x14ac:dyDescent="0.25">
      <c r="A89">
        <v>619</v>
      </c>
      <c r="B89" s="1">
        <v>45289</v>
      </c>
      <c r="C89">
        <v>25</v>
      </c>
      <c r="D89" t="str">
        <f t="shared" si="17"/>
        <v>1428</v>
      </c>
      <c r="E89" t="str">
        <f t="shared" si="18"/>
        <v>Резервы (провизии) по займам и финансовому лизингу, предоставленным клиентам</v>
      </c>
      <c r="F89" t="str">
        <f>"2"</f>
        <v>2</v>
      </c>
      <c r="G89" t="str">
        <f t="shared" si="20"/>
        <v>9</v>
      </c>
      <c r="H89" t="str">
        <f>"2"</f>
        <v>2</v>
      </c>
      <c r="I89" s="2">
        <v>-21731882.890000001</v>
      </c>
    </row>
    <row r="90" spans="1:9" x14ac:dyDescent="0.25">
      <c r="A90">
        <v>399</v>
      </c>
      <c r="B90" s="1">
        <v>45289</v>
      </c>
      <c r="C90">
        <v>25</v>
      </c>
      <c r="D90" t="str">
        <f t="shared" si="17"/>
        <v>1428</v>
      </c>
      <c r="E90" t="str">
        <f t="shared" si="18"/>
        <v>Резервы (провизии) по займам и финансовому лизингу, предоставленным клиентам</v>
      </c>
      <c r="F90" t="str">
        <f>"2"</f>
        <v>2</v>
      </c>
      <c r="G90" t="str">
        <f t="shared" si="20"/>
        <v>9</v>
      </c>
      <c r="H90" t="str">
        <f>"3"</f>
        <v>3</v>
      </c>
      <c r="I90" s="2">
        <v>-215835.22</v>
      </c>
    </row>
    <row r="91" spans="1:9" x14ac:dyDescent="0.25">
      <c r="A91">
        <v>610</v>
      </c>
      <c r="B91" s="1">
        <v>45289</v>
      </c>
      <c r="C91">
        <v>25</v>
      </c>
      <c r="D91" t="str">
        <f>"1429"</f>
        <v>1429</v>
      </c>
      <c r="E91" t="str">
        <f>"Прочие займы, предоставленные клиентам"</f>
        <v>Прочие займы, предоставленные клиентам</v>
      </c>
      <c r="F91" t="str">
        <f t="shared" ref="F91:F99" si="21">"1"</f>
        <v>1</v>
      </c>
      <c r="G91" t="str">
        <f>"6"</f>
        <v>6</v>
      </c>
      <c r="H91" t="str">
        <f>"1"</f>
        <v>1</v>
      </c>
      <c r="I91" s="2">
        <v>5906600.9299999997</v>
      </c>
    </row>
    <row r="92" spans="1:9" x14ac:dyDescent="0.25">
      <c r="A92">
        <v>393</v>
      </c>
      <c r="B92" s="1">
        <v>45289</v>
      </c>
      <c r="C92">
        <v>25</v>
      </c>
      <c r="D92" t="str">
        <f>"1429"</f>
        <v>1429</v>
      </c>
      <c r="E92" t="str">
        <f>"Прочие займы, предоставленные клиентам"</f>
        <v>Прочие займы, предоставленные клиентам</v>
      </c>
      <c r="F92" t="str">
        <f t="shared" si="21"/>
        <v>1</v>
      </c>
      <c r="G92" t="str">
        <f>"7"</f>
        <v>7</v>
      </c>
      <c r="H92" t="str">
        <f>"1"</f>
        <v>1</v>
      </c>
      <c r="I92" s="2">
        <v>1811.3</v>
      </c>
    </row>
    <row r="93" spans="1:9" x14ac:dyDescent="0.25">
      <c r="A93">
        <v>106</v>
      </c>
      <c r="B93" s="1">
        <v>45289</v>
      </c>
      <c r="C93">
        <v>25</v>
      </c>
      <c r="D93" t="str">
        <f t="shared" ref="D93:D101" si="22">"1434"</f>
        <v>1434</v>
      </c>
      <c r="E93" t="str">
        <f t="shared" ref="E93:E101" si="23">"Дисконт по займам, предоставленным клиентам"</f>
        <v>Дисконт по займам, предоставленным клиентам</v>
      </c>
      <c r="F93" t="str">
        <f t="shared" si="21"/>
        <v>1</v>
      </c>
      <c r="G93" t="str">
        <f>"5"</f>
        <v>5</v>
      </c>
      <c r="H93" t="str">
        <f>"1"</f>
        <v>1</v>
      </c>
      <c r="I93" s="2">
        <v>-138450970.31</v>
      </c>
    </row>
    <row r="94" spans="1:9" x14ac:dyDescent="0.25">
      <c r="A94">
        <v>105</v>
      </c>
      <c r="B94" s="1">
        <v>45289</v>
      </c>
      <c r="C94">
        <v>25</v>
      </c>
      <c r="D94" t="str">
        <f t="shared" si="22"/>
        <v>1434</v>
      </c>
      <c r="E94" t="str">
        <f t="shared" si="23"/>
        <v>Дисконт по займам, предоставленным клиентам</v>
      </c>
      <c r="F94" t="str">
        <f t="shared" si="21"/>
        <v>1</v>
      </c>
      <c r="G94" t="str">
        <f>"6"</f>
        <v>6</v>
      </c>
      <c r="H94" t="str">
        <f>"1"</f>
        <v>1</v>
      </c>
      <c r="I94" s="2">
        <v>-98593110.859999999</v>
      </c>
    </row>
    <row r="95" spans="1:9" x14ac:dyDescent="0.25">
      <c r="A95">
        <v>19</v>
      </c>
      <c r="B95" s="1">
        <v>45289</v>
      </c>
      <c r="C95">
        <v>25</v>
      </c>
      <c r="D95" t="str">
        <f t="shared" si="22"/>
        <v>1434</v>
      </c>
      <c r="E95" t="str">
        <f t="shared" si="23"/>
        <v>Дисконт по займам, предоставленным клиентам</v>
      </c>
      <c r="F95" t="str">
        <f t="shared" si="21"/>
        <v>1</v>
      </c>
      <c r="G95" t="str">
        <f>"6"</f>
        <v>6</v>
      </c>
      <c r="H95" t="str">
        <f>"2"</f>
        <v>2</v>
      </c>
      <c r="I95" s="2">
        <v>-17080092</v>
      </c>
    </row>
    <row r="96" spans="1:9" x14ac:dyDescent="0.25">
      <c r="A96">
        <v>475</v>
      </c>
      <c r="B96" s="1">
        <v>45289</v>
      </c>
      <c r="C96">
        <v>25</v>
      </c>
      <c r="D96" t="str">
        <f t="shared" si="22"/>
        <v>1434</v>
      </c>
      <c r="E96" t="str">
        <f t="shared" si="23"/>
        <v>Дисконт по займам, предоставленным клиентам</v>
      </c>
      <c r="F96" t="str">
        <f t="shared" si="21"/>
        <v>1</v>
      </c>
      <c r="G96" t="str">
        <f>"7"</f>
        <v>7</v>
      </c>
      <c r="H96" t="str">
        <f>"1"</f>
        <v>1</v>
      </c>
      <c r="I96" s="2">
        <v>-2721346921.48</v>
      </c>
    </row>
    <row r="97" spans="1:9" x14ac:dyDescent="0.25">
      <c r="A97">
        <v>218</v>
      </c>
      <c r="B97" s="1">
        <v>45289</v>
      </c>
      <c r="C97">
        <v>25</v>
      </c>
      <c r="D97" t="str">
        <f t="shared" si="22"/>
        <v>1434</v>
      </c>
      <c r="E97" t="str">
        <f t="shared" si="23"/>
        <v>Дисконт по займам, предоставленным клиентам</v>
      </c>
      <c r="F97" t="str">
        <f t="shared" si="21"/>
        <v>1</v>
      </c>
      <c r="G97" t="str">
        <f>"7"</f>
        <v>7</v>
      </c>
      <c r="H97" t="str">
        <f>"2"</f>
        <v>2</v>
      </c>
      <c r="I97" s="2">
        <v>-272491246.47000003</v>
      </c>
    </row>
    <row r="98" spans="1:9" x14ac:dyDescent="0.25">
      <c r="A98">
        <v>609</v>
      </c>
      <c r="B98" s="1">
        <v>45289</v>
      </c>
      <c r="C98">
        <v>25</v>
      </c>
      <c r="D98" t="str">
        <f t="shared" si="22"/>
        <v>1434</v>
      </c>
      <c r="E98" t="str">
        <f t="shared" si="23"/>
        <v>Дисконт по займам, предоставленным клиентам</v>
      </c>
      <c r="F98" t="str">
        <f t="shared" si="21"/>
        <v>1</v>
      </c>
      <c r="G98" t="str">
        <f>"8"</f>
        <v>8</v>
      </c>
      <c r="H98" t="str">
        <f t="shared" ref="H98:H104" si="24">"1"</f>
        <v>1</v>
      </c>
      <c r="I98" s="2">
        <v>-315880</v>
      </c>
    </row>
    <row r="99" spans="1:9" x14ac:dyDescent="0.25">
      <c r="A99">
        <v>476</v>
      </c>
      <c r="B99" s="1">
        <v>45289</v>
      </c>
      <c r="C99">
        <v>25</v>
      </c>
      <c r="D99" t="str">
        <f t="shared" si="22"/>
        <v>1434</v>
      </c>
      <c r="E99" t="str">
        <f t="shared" si="23"/>
        <v>Дисконт по займам, предоставленным клиентам</v>
      </c>
      <c r="F99" t="str">
        <f t="shared" si="21"/>
        <v>1</v>
      </c>
      <c r="G99" t="str">
        <f>"9"</f>
        <v>9</v>
      </c>
      <c r="H99" t="str">
        <f t="shared" si="24"/>
        <v>1</v>
      </c>
      <c r="I99" s="2">
        <v>-25048200865.029999</v>
      </c>
    </row>
    <row r="100" spans="1:9" x14ac:dyDescent="0.25">
      <c r="A100">
        <v>392</v>
      </c>
      <c r="B100" s="1">
        <v>45289</v>
      </c>
      <c r="C100">
        <v>25</v>
      </c>
      <c r="D100" t="str">
        <f t="shared" si="22"/>
        <v>1434</v>
      </c>
      <c r="E100" t="str">
        <f t="shared" si="23"/>
        <v>Дисконт по займам, предоставленным клиентам</v>
      </c>
      <c r="F100" t="str">
        <f>"2"</f>
        <v>2</v>
      </c>
      <c r="G100" t="str">
        <f>"7"</f>
        <v>7</v>
      </c>
      <c r="H100" t="str">
        <f t="shared" si="24"/>
        <v>1</v>
      </c>
      <c r="I100" s="2">
        <v>-581784</v>
      </c>
    </row>
    <row r="101" spans="1:9" x14ac:dyDescent="0.25">
      <c r="A101">
        <v>474</v>
      </c>
      <c r="B101" s="1">
        <v>45289</v>
      </c>
      <c r="C101">
        <v>25</v>
      </c>
      <c r="D101" t="str">
        <f t="shared" si="22"/>
        <v>1434</v>
      </c>
      <c r="E101" t="str">
        <f t="shared" si="23"/>
        <v>Дисконт по займам, предоставленным клиентам</v>
      </c>
      <c r="F101" t="str">
        <f>"2"</f>
        <v>2</v>
      </c>
      <c r="G101" t="str">
        <f>"9"</f>
        <v>9</v>
      </c>
      <c r="H101" t="str">
        <f t="shared" si="24"/>
        <v>1</v>
      </c>
      <c r="I101" s="2">
        <v>-163263.1</v>
      </c>
    </row>
    <row r="102" spans="1:9" x14ac:dyDescent="0.25">
      <c r="A102">
        <v>395</v>
      </c>
      <c r="B102" s="1">
        <v>45289</v>
      </c>
      <c r="C102">
        <v>25</v>
      </c>
      <c r="D102" t="str">
        <f t="shared" ref="D102:D111" si="25">"1435"</f>
        <v>1435</v>
      </c>
      <c r="E102" t="str">
        <f t="shared" ref="E102:E111" si="26">"Премия по займам, предоставленным клиентам"</f>
        <v>Премия по займам, предоставленным клиентам</v>
      </c>
      <c r="F102" t="str">
        <f t="shared" ref="F102:F108" si="27">"1"</f>
        <v>1</v>
      </c>
      <c r="G102" t="str">
        <f>"5"</f>
        <v>5</v>
      </c>
      <c r="H102" t="str">
        <f t="shared" si="24"/>
        <v>1</v>
      </c>
      <c r="I102" s="2">
        <v>5014733.24</v>
      </c>
    </row>
    <row r="103" spans="1:9" x14ac:dyDescent="0.25">
      <c r="A103">
        <v>617</v>
      </c>
      <c r="B103" s="1">
        <v>45289</v>
      </c>
      <c r="C103">
        <v>25</v>
      </c>
      <c r="D103" t="str">
        <f t="shared" si="25"/>
        <v>1435</v>
      </c>
      <c r="E103" t="str">
        <f t="shared" si="26"/>
        <v>Премия по займам, предоставленным клиентам</v>
      </c>
      <c r="F103" t="str">
        <f t="shared" si="27"/>
        <v>1</v>
      </c>
      <c r="G103" t="str">
        <f>"6"</f>
        <v>6</v>
      </c>
      <c r="H103" t="str">
        <f t="shared" si="24"/>
        <v>1</v>
      </c>
      <c r="I103" s="2">
        <v>71705.66</v>
      </c>
    </row>
    <row r="104" spans="1:9" x14ac:dyDescent="0.25">
      <c r="A104">
        <v>396</v>
      </c>
      <c r="B104" s="1">
        <v>45289</v>
      </c>
      <c r="C104">
        <v>25</v>
      </c>
      <c r="D104" t="str">
        <f t="shared" si="25"/>
        <v>1435</v>
      </c>
      <c r="E104" t="str">
        <f t="shared" si="26"/>
        <v>Премия по займам, предоставленным клиентам</v>
      </c>
      <c r="F104" t="str">
        <f t="shared" si="27"/>
        <v>1</v>
      </c>
      <c r="G104" t="str">
        <f>"7"</f>
        <v>7</v>
      </c>
      <c r="H104" t="str">
        <f t="shared" si="24"/>
        <v>1</v>
      </c>
      <c r="I104" s="2">
        <v>1029916516.21</v>
      </c>
    </row>
    <row r="105" spans="1:9" x14ac:dyDescent="0.25">
      <c r="A105">
        <v>616</v>
      </c>
      <c r="B105" s="1">
        <v>45289</v>
      </c>
      <c r="C105">
        <v>25</v>
      </c>
      <c r="D105" t="str">
        <f t="shared" si="25"/>
        <v>1435</v>
      </c>
      <c r="E105" t="str">
        <f t="shared" si="26"/>
        <v>Премия по займам, предоставленным клиентам</v>
      </c>
      <c r="F105" t="str">
        <f t="shared" si="27"/>
        <v>1</v>
      </c>
      <c r="G105" t="str">
        <f>"7"</f>
        <v>7</v>
      </c>
      <c r="H105" t="str">
        <f>"2"</f>
        <v>2</v>
      </c>
      <c r="I105" s="2">
        <v>466710390.49000001</v>
      </c>
    </row>
    <row r="106" spans="1:9" x14ac:dyDescent="0.25">
      <c r="A106">
        <v>221</v>
      </c>
      <c r="B106" s="1">
        <v>45289</v>
      </c>
      <c r="C106">
        <v>25</v>
      </c>
      <c r="D106" t="str">
        <f t="shared" si="25"/>
        <v>1435</v>
      </c>
      <c r="E106" t="str">
        <f t="shared" si="26"/>
        <v>Премия по займам, предоставленным клиентам</v>
      </c>
      <c r="F106" t="str">
        <f t="shared" si="27"/>
        <v>1</v>
      </c>
      <c r="G106" t="str">
        <f t="shared" ref="G106:G111" si="28">"9"</f>
        <v>9</v>
      </c>
      <c r="H106" t="str">
        <f>"1"</f>
        <v>1</v>
      </c>
      <c r="I106" s="2">
        <v>7679356198.21</v>
      </c>
    </row>
    <row r="107" spans="1:9" x14ac:dyDescent="0.25">
      <c r="A107">
        <v>612</v>
      </c>
      <c r="B107" s="1">
        <v>45289</v>
      </c>
      <c r="C107">
        <v>25</v>
      </c>
      <c r="D107" t="str">
        <f t="shared" si="25"/>
        <v>1435</v>
      </c>
      <c r="E107" t="str">
        <f t="shared" si="26"/>
        <v>Премия по займам, предоставленным клиентам</v>
      </c>
      <c r="F107" t="str">
        <f t="shared" si="27"/>
        <v>1</v>
      </c>
      <c r="G107" t="str">
        <f t="shared" si="28"/>
        <v>9</v>
      </c>
      <c r="H107" t="str">
        <f>"2"</f>
        <v>2</v>
      </c>
      <c r="I107" s="2">
        <v>420509119.54000002</v>
      </c>
    </row>
    <row r="108" spans="1:9" x14ac:dyDescent="0.25">
      <c r="A108">
        <v>615</v>
      </c>
      <c r="B108" s="1">
        <v>45289</v>
      </c>
      <c r="C108">
        <v>25</v>
      </c>
      <c r="D108" t="str">
        <f t="shared" si="25"/>
        <v>1435</v>
      </c>
      <c r="E108" t="str">
        <f t="shared" si="26"/>
        <v>Премия по займам, предоставленным клиентам</v>
      </c>
      <c r="F108" t="str">
        <f t="shared" si="27"/>
        <v>1</v>
      </c>
      <c r="G108" t="str">
        <f t="shared" si="28"/>
        <v>9</v>
      </c>
      <c r="H108" t="str">
        <f>"3"</f>
        <v>3</v>
      </c>
      <c r="I108" s="2">
        <v>82.23</v>
      </c>
    </row>
    <row r="109" spans="1:9" x14ac:dyDescent="0.25">
      <c r="A109">
        <v>613</v>
      </c>
      <c r="B109" s="1">
        <v>45289</v>
      </c>
      <c r="C109">
        <v>25</v>
      </c>
      <c r="D109" t="str">
        <f t="shared" si="25"/>
        <v>1435</v>
      </c>
      <c r="E109" t="str">
        <f t="shared" si="26"/>
        <v>Премия по займам, предоставленным клиентам</v>
      </c>
      <c r="F109" t="str">
        <f>"2"</f>
        <v>2</v>
      </c>
      <c r="G109" t="str">
        <f t="shared" si="28"/>
        <v>9</v>
      </c>
      <c r="H109" t="str">
        <f>"1"</f>
        <v>1</v>
      </c>
      <c r="I109" s="2">
        <v>3098018.35</v>
      </c>
    </row>
    <row r="110" spans="1:9" x14ac:dyDescent="0.25">
      <c r="A110">
        <v>220</v>
      </c>
      <c r="B110" s="1">
        <v>45289</v>
      </c>
      <c r="C110">
        <v>25</v>
      </c>
      <c r="D110" t="str">
        <f t="shared" si="25"/>
        <v>1435</v>
      </c>
      <c r="E110" t="str">
        <f t="shared" si="26"/>
        <v>Премия по займам, предоставленным клиентам</v>
      </c>
      <c r="F110" t="str">
        <f>"2"</f>
        <v>2</v>
      </c>
      <c r="G110" t="str">
        <f t="shared" si="28"/>
        <v>9</v>
      </c>
      <c r="H110" t="str">
        <f>"2"</f>
        <v>2</v>
      </c>
      <c r="I110" s="2">
        <v>980175.5</v>
      </c>
    </row>
    <row r="111" spans="1:9" x14ac:dyDescent="0.25">
      <c r="A111">
        <v>614</v>
      </c>
      <c r="B111" s="1">
        <v>45289</v>
      </c>
      <c r="C111">
        <v>25</v>
      </c>
      <c r="D111" t="str">
        <f t="shared" si="25"/>
        <v>1435</v>
      </c>
      <c r="E111" t="str">
        <f t="shared" si="26"/>
        <v>Премия по займам, предоставленным клиентам</v>
      </c>
      <c r="F111" t="str">
        <f>"2"</f>
        <v>2</v>
      </c>
      <c r="G111" t="str">
        <f t="shared" si="28"/>
        <v>9</v>
      </c>
      <c r="H111" t="str">
        <f>"3"</f>
        <v>3</v>
      </c>
      <c r="I111" s="2">
        <v>4478.96</v>
      </c>
    </row>
    <row r="112" spans="1:9" x14ac:dyDescent="0.25">
      <c r="A112">
        <v>219</v>
      </c>
      <c r="B112" s="1">
        <v>45289</v>
      </c>
      <c r="C112">
        <v>25</v>
      </c>
      <c r="D112" t="str">
        <f t="shared" ref="D112:D121" si="29">"1452"</f>
        <v>1452</v>
      </c>
      <c r="E112" t="str">
        <f t="shared" ref="E112:E121" si="30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12" t="str">
        <f>"1"</f>
        <v>1</v>
      </c>
      <c r="G112" t="str">
        <f>"1"</f>
        <v>1</v>
      </c>
      <c r="H112" t="str">
        <f>"1"</f>
        <v>1</v>
      </c>
      <c r="I112" s="2">
        <v>449039222000</v>
      </c>
    </row>
    <row r="113" spans="1:9" x14ac:dyDescent="0.25">
      <c r="A113">
        <v>107</v>
      </c>
      <c r="B113" s="1">
        <v>45289</v>
      </c>
      <c r="C113">
        <v>25</v>
      </c>
      <c r="D113" t="str">
        <f t="shared" si="29"/>
        <v>1452</v>
      </c>
      <c r="E113" t="str">
        <f t="shared" si="30"/>
        <v>Ценные бумаги, учитываемые по справедливой стоимости через прочий совокупный доход</v>
      </c>
      <c r="F113" t="str">
        <f>"1"</f>
        <v>1</v>
      </c>
      <c r="G113" t="str">
        <f>"1"</f>
        <v>1</v>
      </c>
      <c r="H113" t="str">
        <f>"2"</f>
        <v>2</v>
      </c>
      <c r="I113" s="2">
        <v>83831316160</v>
      </c>
    </row>
    <row r="114" spans="1:9" x14ac:dyDescent="0.25">
      <c r="A114">
        <v>394</v>
      </c>
      <c r="B114" s="1">
        <v>45289</v>
      </c>
      <c r="C114">
        <v>25</v>
      </c>
      <c r="D114" t="str">
        <f t="shared" si="29"/>
        <v>1452</v>
      </c>
      <c r="E114" t="str">
        <f t="shared" si="30"/>
        <v>Ценные бумаги, учитываемые по справедливой стоимости через прочий совокупный доход</v>
      </c>
      <c r="F114" t="str">
        <f>"1"</f>
        <v>1</v>
      </c>
      <c r="G114" t="str">
        <f>"4"</f>
        <v>4</v>
      </c>
      <c r="H114" t="str">
        <f>"1"</f>
        <v>1</v>
      </c>
      <c r="I114" s="2">
        <v>3000000000</v>
      </c>
    </row>
    <row r="115" spans="1:9" x14ac:dyDescent="0.25">
      <c r="A115">
        <v>21</v>
      </c>
      <c r="B115" s="1">
        <v>45289</v>
      </c>
      <c r="C115">
        <v>25</v>
      </c>
      <c r="D115" t="str">
        <f t="shared" si="29"/>
        <v>1452</v>
      </c>
      <c r="E115" t="str">
        <f t="shared" si="30"/>
        <v>Ценные бумаги, учитываемые по справедливой стоимости через прочий совокупный доход</v>
      </c>
      <c r="F115" t="str">
        <f>"1"</f>
        <v>1</v>
      </c>
      <c r="G115" t="str">
        <f>"4"</f>
        <v>4</v>
      </c>
      <c r="H115" t="str">
        <f>"2"</f>
        <v>2</v>
      </c>
      <c r="I115" s="2">
        <v>12273120000</v>
      </c>
    </row>
    <row r="116" spans="1:9" x14ac:dyDescent="0.25">
      <c r="A116">
        <v>20</v>
      </c>
      <c r="B116" s="1">
        <v>45289</v>
      </c>
      <c r="C116">
        <v>25</v>
      </c>
      <c r="D116" t="str">
        <f t="shared" si="29"/>
        <v>1452</v>
      </c>
      <c r="E116" t="str">
        <f t="shared" si="30"/>
        <v>Ценные бумаги, учитываемые по справедливой стоимости через прочий совокупный доход</v>
      </c>
      <c r="F116" t="str">
        <f>"1"</f>
        <v>1</v>
      </c>
      <c r="G116" t="str">
        <f>"5"</f>
        <v>5</v>
      </c>
      <c r="H116" t="str">
        <f>"1"</f>
        <v>1</v>
      </c>
      <c r="I116" s="2">
        <v>63575604000</v>
      </c>
    </row>
    <row r="117" spans="1:9" x14ac:dyDescent="0.25">
      <c r="A117">
        <v>479</v>
      </c>
      <c r="B117" s="1">
        <v>45289</v>
      </c>
      <c r="C117">
        <v>25</v>
      </c>
      <c r="D117" t="str">
        <f t="shared" si="29"/>
        <v>1452</v>
      </c>
      <c r="E117" t="str">
        <f t="shared" si="30"/>
        <v>Ценные бумаги, учитываемые по справедливой стоимости через прочий совокупный доход</v>
      </c>
      <c r="F117" t="str">
        <f>"1"</f>
        <v>1</v>
      </c>
      <c r="G117" t="str">
        <f>"6"</f>
        <v>6</v>
      </c>
      <c r="H117" t="str">
        <f>"1"</f>
        <v>1</v>
      </c>
      <c r="I117" s="2">
        <v>341175732.19999999</v>
      </c>
    </row>
    <row r="118" spans="1:9" x14ac:dyDescent="0.25">
      <c r="A118">
        <v>22</v>
      </c>
      <c r="B118" s="1">
        <v>45289</v>
      </c>
      <c r="C118">
        <v>25</v>
      </c>
      <c r="D118" t="str">
        <f t="shared" si="29"/>
        <v>1452</v>
      </c>
      <c r="E118" t="str">
        <f t="shared" si="30"/>
        <v>Ценные бумаги, учитываемые по справедливой стоимости через прочий совокупный доход</v>
      </c>
      <c r="F118" t="str">
        <f>"1"</f>
        <v>1</v>
      </c>
      <c r="G118" t="str">
        <f>"6"</f>
        <v>6</v>
      </c>
      <c r="H118" t="str">
        <f>"2"</f>
        <v>2</v>
      </c>
      <c r="I118" s="2">
        <v>7727520000</v>
      </c>
    </row>
    <row r="119" spans="1:9" x14ac:dyDescent="0.25">
      <c r="A119">
        <v>477</v>
      </c>
      <c r="B119" s="1">
        <v>45289</v>
      </c>
      <c r="C119">
        <v>25</v>
      </c>
      <c r="D119" t="str">
        <f t="shared" si="29"/>
        <v>1452</v>
      </c>
      <c r="E119" t="str">
        <f t="shared" si="30"/>
        <v>Ценные бумаги, учитываемые по справедливой стоимости через прочий совокупный доход</v>
      </c>
      <c r="F119" t="str">
        <f>"2"</f>
        <v>2</v>
      </c>
      <c r="G119" t="str">
        <f>"1"</f>
        <v>1</v>
      </c>
      <c r="H119" t="str">
        <f>"2"</f>
        <v>2</v>
      </c>
      <c r="I119" s="2">
        <v>13636800000</v>
      </c>
    </row>
    <row r="120" spans="1:9" x14ac:dyDescent="0.25">
      <c r="A120">
        <v>611</v>
      </c>
      <c r="B120" s="1">
        <v>45289</v>
      </c>
      <c r="C120">
        <v>25</v>
      </c>
      <c r="D120" t="str">
        <f t="shared" si="29"/>
        <v>1452</v>
      </c>
      <c r="E120" t="str">
        <f t="shared" si="30"/>
        <v>Ценные бумаги, учитываемые по справедливой стоимости через прочий совокупный доход</v>
      </c>
      <c r="F120" t="str">
        <f>"2"</f>
        <v>2</v>
      </c>
      <c r="G120" t="str">
        <f>"5"</f>
        <v>5</v>
      </c>
      <c r="H120" t="str">
        <f>"2"</f>
        <v>2</v>
      </c>
      <c r="I120" s="2">
        <v>17566016640</v>
      </c>
    </row>
    <row r="121" spans="1:9" x14ac:dyDescent="0.25">
      <c r="A121">
        <v>478</v>
      </c>
      <c r="B121" s="1">
        <v>45289</v>
      </c>
      <c r="C121">
        <v>25</v>
      </c>
      <c r="D121" t="str">
        <f t="shared" si="29"/>
        <v>1452</v>
      </c>
      <c r="E121" t="str">
        <f t="shared" si="30"/>
        <v>Ценные бумаги, учитываемые по справедливой стоимости через прочий совокупный доход</v>
      </c>
      <c r="F121" t="str">
        <f>"2"</f>
        <v>2</v>
      </c>
      <c r="G121" t="str">
        <f>"7"</f>
        <v>7</v>
      </c>
      <c r="H121" t="str">
        <f>"2"</f>
        <v>2</v>
      </c>
      <c r="I121" s="2">
        <v>2045520000</v>
      </c>
    </row>
    <row r="122" spans="1:9" x14ac:dyDescent="0.25">
      <c r="A122">
        <v>622</v>
      </c>
      <c r="B122" s="1">
        <v>45289</v>
      </c>
      <c r="C122">
        <v>25</v>
      </c>
      <c r="D122" t="str">
        <f t="shared" ref="D122:D130" si="31">"1453"</f>
        <v>1453</v>
      </c>
      <c r="E122" t="str">
        <f t="shared" ref="E122:E130" si="32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22" t="str">
        <f>"1"</f>
        <v>1</v>
      </c>
      <c r="G122" t="str">
        <f>"1"</f>
        <v>1</v>
      </c>
      <c r="H122" t="str">
        <f>"1"</f>
        <v>1</v>
      </c>
      <c r="I122" s="2">
        <v>-15481534855.58</v>
      </c>
    </row>
    <row r="123" spans="1:9" x14ac:dyDescent="0.25">
      <c r="A123">
        <v>621</v>
      </c>
      <c r="B123" s="1">
        <v>45289</v>
      </c>
      <c r="C123">
        <v>25</v>
      </c>
      <c r="D123" t="str">
        <f t="shared" si="31"/>
        <v>1453</v>
      </c>
      <c r="E123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23" t="str">
        <f>"1"</f>
        <v>1</v>
      </c>
      <c r="G123" t="str">
        <f>"1"</f>
        <v>1</v>
      </c>
      <c r="H123" t="str">
        <f>"2"</f>
        <v>2</v>
      </c>
      <c r="I123" s="2">
        <v>-1266508957.27</v>
      </c>
    </row>
    <row r="124" spans="1:9" x14ac:dyDescent="0.25">
      <c r="A124">
        <v>623</v>
      </c>
      <c r="B124" s="1">
        <v>45289</v>
      </c>
      <c r="C124">
        <v>25</v>
      </c>
      <c r="D124" t="str">
        <f t="shared" si="31"/>
        <v>1453</v>
      </c>
      <c r="E124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24" t="str">
        <f>"1"</f>
        <v>1</v>
      </c>
      <c r="G124" t="str">
        <f>"4"</f>
        <v>4</v>
      </c>
      <c r="H124" t="str">
        <f>"1"</f>
        <v>1</v>
      </c>
      <c r="I124" s="2">
        <v>-91328394.939999998</v>
      </c>
    </row>
    <row r="125" spans="1:9" x14ac:dyDescent="0.25">
      <c r="A125">
        <v>112</v>
      </c>
      <c r="B125" s="1">
        <v>45289</v>
      </c>
      <c r="C125">
        <v>25</v>
      </c>
      <c r="D125" t="str">
        <f t="shared" si="31"/>
        <v>1453</v>
      </c>
      <c r="E125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25" t="str">
        <f>"1"</f>
        <v>1</v>
      </c>
      <c r="G125" t="str">
        <f>"4"</f>
        <v>4</v>
      </c>
      <c r="H125" t="str">
        <f>"2"</f>
        <v>2</v>
      </c>
      <c r="I125" s="2">
        <v>-227862695.91999999</v>
      </c>
    </row>
    <row r="126" spans="1:9" x14ac:dyDescent="0.25">
      <c r="A126">
        <v>403</v>
      </c>
      <c r="B126" s="1">
        <v>45289</v>
      </c>
      <c r="C126">
        <v>25</v>
      </c>
      <c r="D126" t="str">
        <f t="shared" si="31"/>
        <v>1453</v>
      </c>
      <c r="E126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26" t="str">
        <f>"1"</f>
        <v>1</v>
      </c>
      <c r="G126" t="str">
        <f>"5"</f>
        <v>5</v>
      </c>
      <c r="H126" t="str">
        <f>"1"</f>
        <v>1</v>
      </c>
      <c r="I126" s="2">
        <v>-1436380308.1300001</v>
      </c>
    </row>
    <row r="127" spans="1:9" x14ac:dyDescent="0.25">
      <c r="A127">
        <v>27</v>
      </c>
      <c r="B127" s="1">
        <v>45289</v>
      </c>
      <c r="C127">
        <v>25</v>
      </c>
      <c r="D127" t="str">
        <f t="shared" si="31"/>
        <v>1453</v>
      </c>
      <c r="E127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27" t="str">
        <f>"1"</f>
        <v>1</v>
      </c>
      <c r="G127" t="str">
        <f>"6"</f>
        <v>6</v>
      </c>
      <c r="H127" t="str">
        <f>"2"</f>
        <v>2</v>
      </c>
      <c r="I127" s="2">
        <v>-559528367.97000003</v>
      </c>
    </row>
    <row r="128" spans="1:9" x14ac:dyDescent="0.25">
      <c r="A128">
        <v>485</v>
      </c>
      <c r="B128" s="1">
        <v>45289</v>
      </c>
      <c r="C128">
        <v>25</v>
      </c>
      <c r="D128" t="str">
        <f t="shared" si="31"/>
        <v>1453</v>
      </c>
      <c r="E128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28" t="str">
        <f>"2"</f>
        <v>2</v>
      </c>
      <c r="G128" t="str">
        <f>"1"</f>
        <v>1</v>
      </c>
      <c r="H128" t="str">
        <f>"2"</f>
        <v>2</v>
      </c>
      <c r="I128" s="2">
        <v>-445923328.18000001</v>
      </c>
    </row>
    <row r="129" spans="1:9" x14ac:dyDescent="0.25">
      <c r="A129">
        <v>224</v>
      </c>
      <c r="B129" s="1">
        <v>45289</v>
      </c>
      <c r="C129">
        <v>25</v>
      </c>
      <c r="D129" t="str">
        <f t="shared" si="31"/>
        <v>1453</v>
      </c>
      <c r="E129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29" t="str">
        <f>"2"</f>
        <v>2</v>
      </c>
      <c r="G129" t="str">
        <f>"5"</f>
        <v>5</v>
      </c>
      <c r="H129" t="str">
        <f>"2"</f>
        <v>2</v>
      </c>
      <c r="I129" s="2">
        <v>-392496082.19999999</v>
      </c>
    </row>
    <row r="130" spans="1:9" x14ac:dyDescent="0.25">
      <c r="A130">
        <v>484</v>
      </c>
      <c r="B130" s="1">
        <v>45289</v>
      </c>
      <c r="C130">
        <v>25</v>
      </c>
      <c r="D130" t="str">
        <f t="shared" si="31"/>
        <v>1453</v>
      </c>
      <c r="E130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30" t="str">
        <f>"2"</f>
        <v>2</v>
      </c>
      <c r="G130" t="str">
        <f>"7"</f>
        <v>7</v>
      </c>
      <c r="H130" t="str">
        <f>"2"</f>
        <v>2</v>
      </c>
      <c r="I130" s="2">
        <v>-654639.13</v>
      </c>
    </row>
    <row r="131" spans="1:9" x14ac:dyDescent="0.25">
      <c r="A131">
        <v>471</v>
      </c>
      <c r="B131" s="1">
        <v>45289</v>
      </c>
      <c r="C131">
        <v>25</v>
      </c>
      <c r="D131" t="str">
        <f t="shared" ref="D131:D137" si="33">"1454"</f>
        <v>1454</v>
      </c>
      <c r="E131" t="str">
        <f t="shared" ref="E131:E137" si="34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31" t="str">
        <f>"1"</f>
        <v>1</v>
      </c>
      <c r="G131" t="str">
        <f>"1"</f>
        <v>1</v>
      </c>
      <c r="H131" t="str">
        <f>"1"</f>
        <v>1</v>
      </c>
      <c r="I131" s="2">
        <v>522379714.56999999</v>
      </c>
    </row>
    <row r="132" spans="1:9" x14ac:dyDescent="0.25">
      <c r="A132">
        <v>470</v>
      </c>
      <c r="B132" s="1">
        <v>45289</v>
      </c>
      <c r="C132">
        <v>25</v>
      </c>
      <c r="D132" t="str">
        <f t="shared" si="33"/>
        <v>1454</v>
      </c>
      <c r="E132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32" t="str">
        <f>"1"</f>
        <v>1</v>
      </c>
      <c r="G132" t="str">
        <f>"1"</f>
        <v>1</v>
      </c>
      <c r="H132" t="str">
        <f>"2"</f>
        <v>2</v>
      </c>
      <c r="I132" s="2">
        <v>929482987.96000004</v>
      </c>
    </row>
    <row r="133" spans="1:9" x14ac:dyDescent="0.25">
      <c r="A133">
        <v>387</v>
      </c>
      <c r="B133" s="1">
        <v>45289</v>
      </c>
      <c r="C133">
        <v>25</v>
      </c>
      <c r="D133" t="str">
        <f t="shared" si="33"/>
        <v>1454</v>
      </c>
      <c r="E133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33" t="str">
        <f>"1"</f>
        <v>1</v>
      </c>
      <c r="G133" t="str">
        <f>"4"</f>
        <v>4</v>
      </c>
      <c r="H133" t="str">
        <f>"2"</f>
        <v>2</v>
      </c>
      <c r="I133" s="2">
        <v>5733224.3700000001</v>
      </c>
    </row>
    <row r="134" spans="1:9" x14ac:dyDescent="0.25">
      <c r="A134">
        <v>16</v>
      </c>
      <c r="B134" s="1">
        <v>45289</v>
      </c>
      <c r="C134">
        <v>25</v>
      </c>
      <c r="D134" t="str">
        <f t="shared" si="33"/>
        <v>1454</v>
      </c>
      <c r="E134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34" t="str">
        <f>"1"</f>
        <v>1</v>
      </c>
      <c r="G134" t="str">
        <f>"5"</f>
        <v>5</v>
      </c>
      <c r="H134" t="str">
        <f>"1"</f>
        <v>1</v>
      </c>
      <c r="I134" s="2">
        <v>509995.21</v>
      </c>
    </row>
    <row r="135" spans="1:9" x14ac:dyDescent="0.25">
      <c r="A135">
        <v>208</v>
      </c>
      <c r="B135" s="1">
        <v>45289</v>
      </c>
      <c r="C135">
        <v>25</v>
      </c>
      <c r="D135" t="str">
        <f t="shared" si="33"/>
        <v>1454</v>
      </c>
      <c r="E135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35" t="str">
        <f>"1"</f>
        <v>1</v>
      </c>
      <c r="G135" t="str">
        <f>"6"</f>
        <v>6</v>
      </c>
      <c r="H135" t="str">
        <f>"2"</f>
        <v>2</v>
      </c>
      <c r="I135" s="2">
        <v>254352720.84</v>
      </c>
    </row>
    <row r="136" spans="1:9" x14ac:dyDescent="0.25">
      <c r="A136">
        <v>386</v>
      </c>
      <c r="B136" s="1">
        <v>45289</v>
      </c>
      <c r="C136">
        <v>25</v>
      </c>
      <c r="D136" t="str">
        <f t="shared" si="33"/>
        <v>1454</v>
      </c>
      <c r="E136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36" t="str">
        <f>"2"</f>
        <v>2</v>
      </c>
      <c r="G136" t="str">
        <f>"5"</f>
        <v>5</v>
      </c>
      <c r="H136" t="str">
        <f>"2"</f>
        <v>2</v>
      </c>
      <c r="I136" s="2">
        <v>131197029.98999999</v>
      </c>
    </row>
    <row r="137" spans="1:9" x14ac:dyDescent="0.25">
      <c r="A137">
        <v>599</v>
      </c>
      <c r="B137" s="1">
        <v>45289</v>
      </c>
      <c r="C137">
        <v>25</v>
      </c>
      <c r="D137" t="str">
        <f t="shared" si="33"/>
        <v>1454</v>
      </c>
      <c r="E137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37" t="str">
        <f>"2"</f>
        <v>2</v>
      </c>
      <c r="G137" t="str">
        <f>"7"</f>
        <v>7</v>
      </c>
      <c r="H137" t="str">
        <f>"2"</f>
        <v>2</v>
      </c>
      <c r="I137" s="2">
        <v>13380096.33</v>
      </c>
    </row>
    <row r="138" spans="1:9" x14ac:dyDescent="0.25">
      <c r="A138">
        <v>222</v>
      </c>
      <c r="B138" s="1">
        <v>45289</v>
      </c>
      <c r="C138">
        <v>25</v>
      </c>
      <c r="D138" t="str">
        <f t="shared" ref="D138:D145" si="35">"1456"</f>
        <v>1456</v>
      </c>
      <c r="E138" t="str">
        <f t="shared" ref="E138:E145" si="36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8" t="str">
        <f>"1"</f>
        <v>1</v>
      </c>
      <c r="G138" t="str">
        <f>"1"</f>
        <v>1</v>
      </c>
      <c r="H138" t="str">
        <f>"1"</f>
        <v>1</v>
      </c>
      <c r="I138" s="2">
        <v>4059638275.1100001</v>
      </c>
    </row>
    <row r="139" spans="1:9" x14ac:dyDescent="0.25">
      <c r="A139">
        <v>223</v>
      </c>
      <c r="B139" s="1">
        <v>45289</v>
      </c>
      <c r="C139">
        <v>25</v>
      </c>
      <c r="D139" t="str">
        <f t="shared" si="35"/>
        <v>1456</v>
      </c>
      <c r="E139" t="str">
        <f t="shared" si="3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9" t="str">
        <f>"1"</f>
        <v>1</v>
      </c>
      <c r="G139" t="str">
        <f>"1"</f>
        <v>1</v>
      </c>
      <c r="H139" t="str">
        <f>"2"</f>
        <v>2</v>
      </c>
      <c r="I139" s="2">
        <v>1595295661.47</v>
      </c>
    </row>
    <row r="140" spans="1:9" x14ac:dyDescent="0.25">
      <c r="A140">
        <v>23</v>
      </c>
      <c r="B140" s="1">
        <v>45289</v>
      </c>
      <c r="C140">
        <v>25</v>
      </c>
      <c r="D140" t="str">
        <f t="shared" si="35"/>
        <v>1456</v>
      </c>
      <c r="E140" t="str">
        <f t="shared" si="3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0" t="str">
        <f>"1"</f>
        <v>1</v>
      </c>
      <c r="G140" t="str">
        <f>"4"</f>
        <v>4</v>
      </c>
      <c r="H140" t="str">
        <f>"1"</f>
        <v>1</v>
      </c>
      <c r="I140" s="2">
        <v>4722620.88</v>
      </c>
    </row>
    <row r="141" spans="1:9" x14ac:dyDescent="0.25">
      <c r="A141">
        <v>24</v>
      </c>
      <c r="B141" s="1">
        <v>45289</v>
      </c>
      <c r="C141">
        <v>25</v>
      </c>
      <c r="D141" t="str">
        <f t="shared" si="35"/>
        <v>1456</v>
      </c>
      <c r="E141" t="str">
        <f t="shared" si="3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1" t="str">
        <f>"1"</f>
        <v>1</v>
      </c>
      <c r="G141" t="str">
        <f>"4"</f>
        <v>4</v>
      </c>
      <c r="H141" t="str">
        <f>"2"</f>
        <v>2</v>
      </c>
      <c r="I141" s="2">
        <v>2806430.71</v>
      </c>
    </row>
    <row r="142" spans="1:9" x14ac:dyDescent="0.25">
      <c r="A142">
        <v>480</v>
      </c>
      <c r="B142" s="1">
        <v>45289</v>
      </c>
      <c r="C142">
        <v>25</v>
      </c>
      <c r="D142" t="str">
        <f t="shared" si="35"/>
        <v>1456</v>
      </c>
      <c r="E142" t="str">
        <f t="shared" si="3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2" t="str">
        <f>"1"</f>
        <v>1</v>
      </c>
      <c r="G142" t="str">
        <f>"5"</f>
        <v>5</v>
      </c>
      <c r="H142" t="str">
        <f>"1"</f>
        <v>1</v>
      </c>
      <c r="I142" s="2">
        <v>695603472.51999998</v>
      </c>
    </row>
    <row r="143" spans="1:9" x14ac:dyDescent="0.25">
      <c r="A143">
        <v>397</v>
      </c>
      <c r="B143" s="1">
        <v>45289</v>
      </c>
      <c r="C143">
        <v>25</v>
      </c>
      <c r="D143" t="str">
        <f t="shared" si="35"/>
        <v>1456</v>
      </c>
      <c r="E143" t="str">
        <f t="shared" si="3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3" t="str">
        <f>"1"</f>
        <v>1</v>
      </c>
      <c r="G143" t="str">
        <f>"6"</f>
        <v>6</v>
      </c>
      <c r="H143" t="str">
        <f>"2"</f>
        <v>2</v>
      </c>
      <c r="I143" s="2">
        <v>393284002.86000001</v>
      </c>
    </row>
    <row r="144" spans="1:9" x14ac:dyDescent="0.25">
      <c r="A144">
        <v>618</v>
      </c>
      <c r="B144" s="1">
        <v>45289</v>
      </c>
      <c r="C144">
        <v>25</v>
      </c>
      <c r="D144" t="str">
        <f t="shared" si="35"/>
        <v>1456</v>
      </c>
      <c r="E144" t="str">
        <f t="shared" si="3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4" t="str">
        <f>"2"</f>
        <v>2</v>
      </c>
      <c r="G144" t="str">
        <f>"1"</f>
        <v>1</v>
      </c>
      <c r="H144" t="str">
        <f>"2"</f>
        <v>2</v>
      </c>
      <c r="I144" s="2">
        <v>148696553.59999999</v>
      </c>
    </row>
    <row r="145" spans="1:9" x14ac:dyDescent="0.25">
      <c r="A145">
        <v>398</v>
      </c>
      <c r="B145" s="1">
        <v>45289</v>
      </c>
      <c r="C145">
        <v>25</v>
      </c>
      <c r="D145" t="str">
        <f t="shared" si="35"/>
        <v>1456</v>
      </c>
      <c r="E145" t="str">
        <f t="shared" si="3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5" t="str">
        <f>"2"</f>
        <v>2</v>
      </c>
      <c r="G145" t="str">
        <f>"5"</f>
        <v>5</v>
      </c>
      <c r="H145" t="str">
        <f>"2"</f>
        <v>2</v>
      </c>
      <c r="I145" s="2">
        <v>171691.86</v>
      </c>
    </row>
    <row r="146" spans="1:9" x14ac:dyDescent="0.25">
      <c r="A146">
        <v>469</v>
      </c>
      <c r="B146" s="1">
        <v>45289</v>
      </c>
      <c r="C146">
        <v>25</v>
      </c>
      <c r="D146" t="str">
        <f t="shared" ref="D146:D154" si="37">"1457"</f>
        <v>1457</v>
      </c>
      <c r="E146" t="str">
        <f t="shared" ref="E146:E154" si="38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6" t="str">
        <f>"1"</f>
        <v>1</v>
      </c>
      <c r="G146" t="str">
        <f>"1"</f>
        <v>1</v>
      </c>
      <c r="H146" t="str">
        <f>"1"</f>
        <v>1</v>
      </c>
      <c r="I146" s="2">
        <v>-8968383534.2299995</v>
      </c>
    </row>
    <row r="147" spans="1:9" x14ac:dyDescent="0.25">
      <c r="A147">
        <v>468</v>
      </c>
      <c r="B147" s="1">
        <v>45289</v>
      </c>
      <c r="C147">
        <v>25</v>
      </c>
      <c r="D147" t="str">
        <f t="shared" si="37"/>
        <v>1457</v>
      </c>
      <c r="E147" t="str">
        <f t="shared" si="3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7" t="str">
        <f>"1"</f>
        <v>1</v>
      </c>
      <c r="G147" t="str">
        <f>"1"</f>
        <v>1</v>
      </c>
      <c r="H147" t="str">
        <f>"2"</f>
        <v>2</v>
      </c>
      <c r="I147" s="2">
        <v>-1486309851.71</v>
      </c>
    </row>
    <row r="148" spans="1:9" x14ac:dyDescent="0.25">
      <c r="A148">
        <v>385</v>
      </c>
      <c r="B148" s="1">
        <v>45289</v>
      </c>
      <c r="C148">
        <v>25</v>
      </c>
      <c r="D148" t="str">
        <f t="shared" si="37"/>
        <v>1457</v>
      </c>
      <c r="E148" t="str">
        <f t="shared" si="3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8" t="str">
        <f>"1"</f>
        <v>1</v>
      </c>
      <c r="G148" t="str">
        <f>"4"</f>
        <v>4</v>
      </c>
      <c r="H148" t="str">
        <f>"2"</f>
        <v>2</v>
      </c>
      <c r="I148" s="2">
        <v>-12594448.460000001</v>
      </c>
    </row>
    <row r="149" spans="1:9" x14ac:dyDescent="0.25">
      <c r="A149">
        <v>596</v>
      </c>
      <c r="B149" s="1">
        <v>45289</v>
      </c>
      <c r="C149">
        <v>25</v>
      </c>
      <c r="D149" t="str">
        <f t="shared" si="37"/>
        <v>1457</v>
      </c>
      <c r="E149" t="str">
        <f t="shared" si="3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9" t="str">
        <f>"1"</f>
        <v>1</v>
      </c>
      <c r="G149" t="str">
        <f>"5"</f>
        <v>5</v>
      </c>
      <c r="H149" t="str">
        <f>"1"</f>
        <v>1</v>
      </c>
      <c r="I149" s="2">
        <v>-1705145896.5899999</v>
      </c>
    </row>
    <row r="150" spans="1:9" x14ac:dyDescent="0.25">
      <c r="A150">
        <v>597</v>
      </c>
      <c r="B150" s="1">
        <v>45289</v>
      </c>
      <c r="C150">
        <v>25</v>
      </c>
      <c r="D150" t="str">
        <f t="shared" si="37"/>
        <v>1457</v>
      </c>
      <c r="E150" t="str">
        <f t="shared" si="3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0" t="str">
        <f>"1"</f>
        <v>1</v>
      </c>
      <c r="G150" t="str">
        <f>"6"</f>
        <v>6</v>
      </c>
      <c r="H150" t="str">
        <f>"1"</f>
        <v>1</v>
      </c>
      <c r="I150" s="2">
        <v>-1692432.19</v>
      </c>
    </row>
    <row r="151" spans="1:9" x14ac:dyDescent="0.25">
      <c r="A151">
        <v>14</v>
      </c>
      <c r="B151" s="1">
        <v>45289</v>
      </c>
      <c r="C151">
        <v>25</v>
      </c>
      <c r="D151" t="str">
        <f t="shared" si="37"/>
        <v>1457</v>
      </c>
      <c r="E151" t="str">
        <f t="shared" si="3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1" t="str">
        <f>"1"</f>
        <v>1</v>
      </c>
      <c r="G151" t="str">
        <f>"6"</f>
        <v>6</v>
      </c>
      <c r="H151" t="str">
        <f>"2"</f>
        <v>2</v>
      </c>
      <c r="I151" s="2">
        <v>-354028637.63999999</v>
      </c>
    </row>
    <row r="152" spans="1:9" x14ac:dyDescent="0.25">
      <c r="A152">
        <v>15</v>
      </c>
      <c r="B152" s="1">
        <v>45289</v>
      </c>
      <c r="C152">
        <v>25</v>
      </c>
      <c r="D152" t="str">
        <f t="shared" si="37"/>
        <v>1457</v>
      </c>
      <c r="E152" t="str">
        <f t="shared" si="3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2" t="str">
        <f>"2"</f>
        <v>2</v>
      </c>
      <c r="G152" t="str">
        <f>"1"</f>
        <v>1</v>
      </c>
      <c r="H152" t="str">
        <f>"2"</f>
        <v>2</v>
      </c>
      <c r="I152" s="2">
        <v>-21675475.41</v>
      </c>
    </row>
    <row r="153" spans="1:9" x14ac:dyDescent="0.25">
      <c r="A153">
        <v>207</v>
      </c>
      <c r="B153" s="1">
        <v>45289</v>
      </c>
      <c r="C153">
        <v>25</v>
      </c>
      <c r="D153" t="str">
        <f t="shared" si="37"/>
        <v>1457</v>
      </c>
      <c r="E153" t="str">
        <f t="shared" si="3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3" t="str">
        <f>"2"</f>
        <v>2</v>
      </c>
      <c r="G153" t="str">
        <f>"5"</f>
        <v>5</v>
      </c>
      <c r="H153" t="str">
        <f>"2"</f>
        <v>2</v>
      </c>
      <c r="I153" s="2">
        <v>-752080479.44000006</v>
      </c>
    </row>
    <row r="154" spans="1:9" x14ac:dyDescent="0.25">
      <c r="A154">
        <v>598</v>
      </c>
      <c r="B154" s="1">
        <v>45289</v>
      </c>
      <c r="C154">
        <v>25</v>
      </c>
      <c r="D154" t="str">
        <f t="shared" si="37"/>
        <v>1457</v>
      </c>
      <c r="E154" t="str">
        <f t="shared" si="3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4" t="str">
        <f>"2"</f>
        <v>2</v>
      </c>
      <c r="G154" t="str">
        <f>"7"</f>
        <v>7</v>
      </c>
      <c r="H154" t="str">
        <f>"2"</f>
        <v>2</v>
      </c>
      <c r="I154" s="2">
        <v>-34489790</v>
      </c>
    </row>
    <row r="155" spans="1:9" x14ac:dyDescent="0.25">
      <c r="A155">
        <v>632</v>
      </c>
      <c r="B155" s="1">
        <v>45289</v>
      </c>
      <c r="C155">
        <v>25</v>
      </c>
      <c r="D155" t="str">
        <f>"1461"</f>
        <v>1461</v>
      </c>
      <c r="E155" t="str">
        <f>"Операции «обратное РЕПО» с ценными бумагами"</f>
        <v>Операции «обратное РЕПО» с ценными бумагами</v>
      </c>
      <c r="F155" t="str">
        <f t="shared" ref="F155:F165" si="39">"1"</f>
        <v>1</v>
      </c>
      <c r="G155" t="str">
        <f>"5"</f>
        <v>5</v>
      </c>
      <c r="H155" t="str">
        <f t="shared" ref="H155:H162" si="40">"1"</f>
        <v>1</v>
      </c>
      <c r="I155" s="2">
        <v>165732540506.48001</v>
      </c>
    </row>
    <row r="156" spans="1:9" x14ac:dyDescent="0.25">
      <c r="A156">
        <v>626</v>
      </c>
      <c r="B156" s="1">
        <v>45289</v>
      </c>
      <c r="C156">
        <v>25</v>
      </c>
      <c r="D156" t="str">
        <f>"1463"</f>
        <v>1463</v>
      </c>
      <c r="E156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156" t="str">
        <f t="shared" si="39"/>
        <v>1</v>
      </c>
      <c r="G156" t="str">
        <f>"5"</f>
        <v>5</v>
      </c>
      <c r="H156" t="str">
        <f t="shared" si="40"/>
        <v>1</v>
      </c>
      <c r="I156" s="2">
        <v>-952166.29</v>
      </c>
    </row>
    <row r="157" spans="1:9" x14ac:dyDescent="0.25">
      <c r="A157">
        <v>29</v>
      </c>
      <c r="B157" s="1">
        <v>45289</v>
      </c>
      <c r="C157">
        <v>25</v>
      </c>
      <c r="D157" t="str">
        <f>"1471"</f>
        <v>1471</v>
      </c>
      <c r="E157" t="str">
        <f>"Инвестиции в дочерние организации"</f>
        <v>Инвестиции в дочерние организации</v>
      </c>
      <c r="F157" t="str">
        <f t="shared" si="39"/>
        <v>1</v>
      </c>
      <c r="G157" t="str">
        <f>"5"</f>
        <v>5</v>
      </c>
      <c r="H157" t="str">
        <f t="shared" si="40"/>
        <v>1</v>
      </c>
      <c r="I157" s="2">
        <v>6322109431.8000002</v>
      </c>
    </row>
    <row r="158" spans="1:9" x14ac:dyDescent="0.25">
      <c r="A158">
        <v>631</v>
      </c>
      <c r="B158" s="1">
        <v>45289</v>
      </c>
      <c r="C158">
        <v>25</v>
      </c>
      <c r="D158" t="str">
        <f>"1471"</f>
        <v>1471</v>
      </c>
      <c r="E158" t="str">
        <f>"Инвестиции в дочерние организации"</f>
        <v>Инвестиции в дочерние организации</v>
      </c>
      <c r="F158" t="str">
        <f t="shared" si="39"/>
        <v>1</v>
      </c>
      <c r="G158" t="str">
        <f>"7"</f>
        <v>7</v>
      </c>
      <c r="H158" t="str">
        <f t="shared" si="40"/>
        <v>1</v>
      </c>
      <c r="I158" s="2">
        <v>10513533665</v>
      </c>
    </row>
    <row r="159" spans="1:9" x14ac:dyDescent="0.25">
      <c r="A159">
        <v>381</v>
      </c>
      <c r="B159" s="1">
        <v>45289</v>
      </c>
      <c r="C159">
        <v>25</v>
      </c>
      <c r="D159" t="str">
        <f>"1474"</f>
        <v>1474</v>
      </c>
      <c r="E159" t="str">
        <f>"Обесценение инвестиций в дочерние организации"</f>
        <v>Обесценение инвестиций в дочерние организации</v>
      </c>
      <c r="F159" t="str">
        <f t="shared" si="39"/>
        <v>1</v>
      </c>
      <c r="G159" t="str">
        <f>"7"</f>
        <v>7</v>
      </c>
      <c r="H159" t="str">
        <f t="shared" si="40"/>
        <v>1</v>
      </c>
      <c r="I159" s="2">
        <v>-2238250232</v>
      </c>
    </row>
    <row r="160" spans="1:9" x14ac:dyDescent="0.25">
      <c r="A160">
        <v>225</v>
      </c>
      <c r="B160" s="1">
        <v>45289</v>
      </c>
      <c r="C160">
        <v>25</v>
      </c>
      <c r="D160" t="str">
        <f>"1476"</f>
        <v>1476</v>
      </c>
      <c r="E160" t="str">
        <f>"Прочие инвестиции"</f>
        <v>Прочие инвестиции</v>
      </c>
      <c r="F160" t="str">
        <f t="shared" si="39"/>
        <v>1</v>
      </c>
      <c r="G160" t="str">
        <f>"5"</f>
        <v>5</v>
      </c>
      <c r="H160" t="str">
        <f t="shared" si="40"/>
        <v>1</v>
      </c>
      <c r="I160" s="2">
        <v>45734861.420000002</v>
      </c>
    </row>
    <row r="161" spans="1:9" x14ac:dyDescent="0.25">
      <c r="A161">
        <v>486</v>
      </c>
      <c r="B161" s="1">
        <v>45289</v>
      </c>
      <c r="C161">
        <v>25</v>
      </c>
      <c r="D161" t="str">
        <f>"1476"</f>
        <v>1476</v>
      </c>
      <c r="E161" t="str">
        <f>"Прочие инвестиции"</f>
        <v>Прочие инвестиции</v>
      </c>
      <c r="F161" t="str">
        <f t="shared" si="39"/>
        <v>1</v>
      </c>
      <c r="G161" t="str">
        <f>"7"</f>
        <v>7</v>
      </c>
      <c r="H161" t="str">
        <f t="shared" si="40"/>
        <v>1</v>
      </c>
      <c r="I161" s="2">
        <v>1360112591</v>
      </c>
    </row>
    <row r="162" spans="1:9" x14ac:dyDescent="0.25">
      <c r="A162">
        <v>226</v>
      </c>
      <c r="B162" s="1">
        <v>45289</v>
      </c>
      <c r="C162">
        <v>25</v>
      </c>
      <c r="D162" t="str">
        <f>"1476"</f>
        <v>1476</v>
      </c>
      <c r="E162" t="str">
        <f>"Прочие инвестиции"</f>
        <v>Прочие инвестиции</v>
      </c>
      <c r="F162" t="str">
        <f t="shared" si="39"/>
        <v>1</v>
      </c>
      <c r="G162" t="str">
        <f>"8"</f>
        <v>8</v>
      </c>
      <c r="H162" t="str">
        <f t="shared" si="40"/>
        <v>1</v>
      </c>
      <c r="I162" s="2">
        <v>675000</v>
      </c>
    </row>
    <row r="163" spans="1:9" x14ac:dyDescent="0.25">
      <c r="A163">
        <v>237</v>
      </c>
      <c r="B163" s="1">
        <v>45289</v>
      </c>
      <c r="C163">
        <v>25</v>
      </c>
      <c r="D163" t="str">
        <f>"1481"</f>
        <v>1481</v>
      </c>
      <c r="E16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63" t="str">
        <f t="shared" si="39"/>
        <v>1</v>
      </c>
      <c r="G163" t="str">
        <f>"1"</f>
        <v>1</v>
      </c>
      <c r="H163" t="str">
        <f>"2"</f>
        <v>2</v>
      </c>
      <c r="I163" s="2">
        <v>28173628800</v>
      </c>
    </row>
    <row r="164" spans="1:9" x14ac:dyDescent="0.25">
      <c r="A164">
        <v>634</v>
      </c>
      <c r="B164" s="1">
        <v>45289</v>
      </c>
      <c r="C164">
        <v>25</v>
      </c>
      <c r="D164" t="str">
        <f>"1481"</f>
        <v>1481</v>
      </c>
      <c r="E16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64" t="str">
        <f t="shared" si="39"/>
        <v>1</v>
      </c>
      <c r="G164" t="str">
        <f>"6"</f>
        <v>6</v>
      </c>
      <c r="H164" t="str">
        <f>"1"</f>
        <v>1</v>
      </c>
      <c r="I164" s="2">
        <v>231900000000</v>
      </c>
    </row>
    <row r="165" spans="1:9" x14ac:dyDescent="0.25">
      <c r="A165">
        <v>116</v>
      </c>
      <c r="B165" s="1">
        <v>45289</v>
      </c>
      <c r="C165">
        <v>25</v>
      </c>
      <c r="D165" t="str">
        <f>"1481"</f>
        <v>1481</v>
      </c>
      <c r="E165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65" t="str">
        <f t="shared" si="39"/>
        <v>1</v>
      </c>
      <c r="G165" t="str">
        <f>"6"</f>
        <v>6</v>
      </c>
      <c r="H165" t="str">
        <f>"2"</f>
        <v>2</v>
      </c>
      <c r="I165" s="2">
        <v>20909760000</v>
      </c>
    </row>
    <row r="166" spans="1:9" x14ac:dyDescent="0.25">
      <c r="A166">
        <v>635</v>
      </c>
      <c r="B166" s="1">
        <v>45289</v>
      </c>
      <c r="C166">
        <v>25</v>
      </c>
      <c r="D166" t="str">
        <f>"1481"</f>
        <v>1481</v>
      </c>
      <c r="E166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66" t="str">
        <f>"2"</f>
        <v>2</v>
      </c>
      <c r="G166" t="str">
        <f>"1"</f>
        <v>1</v>
      </c>
      <c r="H166" t="str">
        <f>"2"</f>
        <v>2</v>
      </c>
      <c r="I166" s="2">
        <v>909120000</v>
      </c>
    </row>
    <row r="167" spans="1:9" x14ac:dyDescent="0.25">
      <c r="A167">
        <v>30</v>
      </c>
      <c r="B167" s="1">
        <v>45289</v>
      </c>
      <c r="C167">
        <v>25</v>
      </c>
      <c r="D167" t="str">
        <f>"1482"</f>
        <v>1482</v>
      </c>
      <c r="E16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67" t="str">
        <f>"1"</f>
        <v>1</v>
      </c>
      <c r="G167" t="str">
        <f>"1"</f>
        <v>1</v>
      </c>
      <c r="H167" t="str">
        <f>"2"</f>
        <v>2</v>
      </c>
      <c r="I167" s="2">
        <v>-40694879.469999999</v>
      </c>
    </row>
    <row r="168" spans="1:9" x14ac:dyDescent="0.25">
      <c r="A168">
        <v>31</v>
      </c>
      <c r="B168" s="1">
        <v>45289</v>
      </c>
      <c r="C168">
        <v>25</v>
      </c>
      <c r="D168" t="str">
        <f>"1482"</f>
        <v>1482</v>
      </c>
      <c r="E16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68" t="str">
        <f>"1"</f>
        <v>1</v>
      </c>
      <c r="G168" t="str">
        <f>"6"</f>
        <v>6</v>
      </c>
      <c r="H168" t="str">
        <f>"2"</f>
        <v>2</v>
      </c>
      <c r="I168" s="2">
        <v>-94212564.709999993</v>
      </c>
    </row>
    <row r="169" spans="1:9" x14ac:dyDescent="0.25">
      <c r="A169">
        <v>236</v>
      </c>
      <c r="B169" s="1">
        <v>45289</v>
      </c>
      <c r="C169">
        <v>25</v>
      </c>
      <c r="D169" t="str">
        <f>"1483"</f>
        <v>1483</v>
      </c>
      <c r="E16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69" t="str">
        <f>"1"</f>
        <v>1</v>
      </c>
      <c r="G169" t="str">
        <f>"1"</f>
        <v>1</v>
      </c>
      <c r="H169" t="str">
        <f>"2"</f>
        <v>2</v>
      </c>
      <c r="I169" s="2">
        <v>567360041.29999995</v>
      </c>
    </row>
    <row r="170" spans="1:9" x14ac:dyDescent="0.25">
      <c r="A170">
        <v>491</v>
      </c>
      <c r="B170" s="1">
        <v>45289</v>
      </c>
      <c r="C170">
        <v>25</v>
      </c>
      <c r="D170" t="str">
        <f>"1483"</f>
        <v>1483</v>
      </c>
      <c r="E170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70" t="str">
        <f>"1"</f>
        <v>1</v>
      </c>
      <c r="G170" t="str">
        <f>"6"</f>
        <v>6</v>
      </c>
      <c r="H170" t="str">
        <f>"1"</f>
        <v>1</v>
      </c>
      <c r="I170" s="2">
        <v>1490855052.8</v>
      </c>
    </row>
    <row r="171" spans="1:9" x14ac:dyDescent="0.25">
      <c r="A171">
        <v>32</v>
      </c>
      <c r="B171" s="1">
        <v>45289</v>
      </c>
      <c r="C171">
        <v>25</v>
      </c>
      <c r="D171" t="str">
        <f>"1483"</f>
        <v>1483</v>
      </c>
      <c r="E17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71" t="str">
        <f>"1"</f>
        <v>1</v>
      </c>
      <c r="G171" t="str">
        <f>"6"</f>
        <v>6</v>
      </c>
      <c r="H171" t="str">
        <f>"2"</f>
        <v>2</v>
      </c>
      <c r="I171" s="2">
        <v>6455924.7599999998</v>
      </c>
    </row>
    <row r="172" spans="1:9" x14ac:dyDescent="0.25">
      <c r="A172">
        <v>33</v>
      </c>
      <c r="B172" s="1">
        <v>45289</v>
      </c>
      <c r="C172">
        <v>25</v>
      </c>
      <c r="D172" t="str">
        <f>"1483"</f>
        <v>1483</v>
      </c>
      <c r="E172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72" t="str">
        <f>"2"</f>
        <v>2</v>
      </c>
      <c r="G172" t="str">
        <f>"1"</f>
        <v>1</v>
      </c>
      <c r="H172" t="str">
        <f>"2"</f>
        <v>2</v>
      </c>
      <c r="I172" s="2">
        <v>2565186.63</v>
      </c>
    </row>
    <row r="173" spans="1:9" x14ac:dyDescent="0.25">
      <c r="A173">
        <v>111</v>
      </c>
      <c r="B173" s="1">
        <v>45289</v>
      </c>
      <c r="C173">
        <v>25</v>
      </c>
      <c r="D173" t="str">
        <f>"1486"</f>
        <v>1486</v>
      </c>
      <c r="E17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73" t="str">
        <f>"1"</f>
        <v>1</v>
      </c>
      <c r="G173" t="str">
        <f>"1"</f>
        <v>1</v>
      </c>
      <c r="H173" t="str">
        <f>"2"</f>
        <v>2</v>
      </c>
      <c r="I173" s="2">
        <v>-53213243.68</v>
      </c>
    </row>
    <row r="174" spans="1:9" x14ac:dyDescent="0.25">
      <c r="A174">
        <v>26</v>
      </c>
      <c r="B174" s="1">
        <v>45289</v>
      </c>
      <c r="C174">
        <v>25</v>
      </c>
      <c r="D174" t="str">
        <f>"1486"</f>
        <v>1486</v>
      </c>
      <c r="E17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74" t="str">
        <f>"1"</f>
        <v>1</v>
      </c>
      <c r="G174" t="str">
        <f>"6"</f>
        <v>6</v>
      </c>
      <c r="H174" t="str">
        <f>"1"</f>
        <v>1</v>
      </c>
      <c r="I174" s="2">
        <v>-40488012.399999999</v>
      </c>
    </row>
    <row r="175" spans="1:9" x14ac:dyDescent="0.25">
      <c r="A175">
        <v>483</v>
      </c>
      <c r="B175" s="1">
        <v>45289</v>
      </c>
      <c r="C175">
        <v>25</v>
      </c>
      <c r="D175" t="str">
        <f>"1486"</f>
        <v>1486</v>
      </c>
      <c r="E175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75" t="str">
        <f>"1"</f>
        <v>1</v>
      </c>
      <c r="G175" t="str">
        <f>"6"</f>
        <v>6</v>
      </c>
      <c r="H175" t="str">
        <f>"2"</f>
        <v>2</v>
      </c>
      <c r="I175" s="2">
        <v>-59274105.810000002</v>
      </c>
    </row>
    <row r="176" spans="1:9" x14ac:dyDescent="0.25">
      <c r="A176">
        <v>110</v>
      </c>
      <c r="B176" s="1">
        <v>45289</v>
      </c>
      <c r="C176">
        <v>25</v>
      </c>
      <c r="D176" t="str">
        <f>"1486"</f>
        <v>1486</v>
      </c>
      <c r="E176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76" t="str">
        <f>"2"</f>
        <v>2</v>
      </c>
      <c r="G176" t="str">
        <f>"1"</f>
        <v>1</v>
      </c>
      <c r="H176" t="str">
        <f>"2"</f>
        <v>2</v>
      </c>
      <c r="I176" s="2">
        <v>-8273451.1100000003</v>
      </c>
    </row>
    <row r="177" spans="1:9" x14ac:dyDescent="0.25">
      <c r="A177">
        <v>38</v>
      </c>
      <c r="B177" s="1">
        <v>45289</v>
      </c>
      <c r="C177">
        <v>25</v>
      </c>
      <c r="D177" t="str">
        <f>"1602"</f>
        <v>1602</v>
      </c>
      <c r="E177" t="str">
        <f>"Прочие запасы"</f>
        <v>Прочие запасы</v>
      </c>
      <c r="F177" t="str">
        <f>""</f>
        <v/>
      </c>
      <c r="G177" t="str">
        <f>""</f>
        <v/>
      </c>
      <c r="H177" t="str">
        <f>""</f>
        <v/>
      </c>
      <c r="I177" s="2">
        <v>13542821928.610001</v>
      </c>
    </row>
    <row r="178" spans="1:9" x14ac:dyDescent="0.25">
      <c r="A178">
        <v>113</v>
      </c>
      <c r="B178" s="1">
        <v>45289</v>
      </c>
      <c r="C178">
        <v>25</v>
      </c>
      <c r="D178" t="str">
        <f>"1610"</f>
        <v>1610</v>
      </c>
      <c r="E178" t="str">
        <f>"Долгосрочные активы, предназначенные для продажи"</f>
        <v>Долгосрочные активы, предназначенные для продажи</v>
      </c>
      <c r="F178" t="str">
        <f>""</f>
        <v/>
      </c>
      <c r="G178" t="str">
        <f>""</f>
        <v/>
      </c>
      <c r="H178" t="str">
        <f>""</f>
        <v/>
      </c>
      <c r="I178" s="2">
        <v>17038118776.969999</v>
      </c>
    </row>
    <row r="179" spans="1:9" x14ac:dyDescent="0.25">
      <c r="A179">
        <v>227</v>
      </c>
      <c r="B179" s="1">
        <v>45289</v>
      </c>
      <c r="C179">
        <v>25</v>
      </c>
      <c r="D179" t="str">
        <f>"1651"</f>
        <v>1651</v>
      </c>
      <c r="E179" t="str">
        <f>"Строящиеся (устанавливаемые) основные средства"</f>
        <v>Строящиеся (устанавливаемые) основные средства</v>
      </c>
      <c r="F179" t="str">
        <f>""</f>
        <v/>
      </c>
      <c r="G179" t="str">
        <f>""</f>
        <v/>
      </c>
      <c r="H179" t="str">
        <f>""</f>
        <v/>
      </c>
      <c r="I179" s="2">
        <v>3434490</v>
      </c>
    </row>
    <row r="180" spans="1:9" x14ac:dyDescent="0.25">
      <c r="A180">
        <v>28</v>
      </c>
      <c r="B180" s="1">
        <v>45289</v>
      </c>
      <c r="C180">
        <v>25</v>
      </c>
      <c r="D180" t="str">
        <f>"1652"</f>
        <v>1652</v>
      </c>
      <c r="E180" t="str">
        <f>"Земля, здания и сооружения"</f>
        <v>Земля, здания и сооружения</v>
      </c>
      <c r="F180" t="str">
        <f>""</f>
        <v/>
      </c>
      <c r="G180" t="str">
        <f>""</f>
        <v/>
      </c>
      <c r="H180" t="str">
        <f>""</f>
        <v/>
      </c>
      <c r="I180" s="2">
        <v>47027339370.809998</v>
      </c>
    </row>
    <row r="181" spans="1:9" x14ac:dyDescent="0.25">
      <c r="A181">
        <v>625</v>
      </c>
      <c r="B181" s="1">
        <v>45289</v>
      </c>
      <c r="C181">
        <v>25</v>
      </c>
      <c r="D181" t="str">
        <f>"1653"</f>
        <v>1653</v>
      </c>
      <c r="E181" t="str">
        <f>"Компьютерное оборудование"</f>
        <v>Компьютерное оборудование</v>
      </c>
      <c r="F181" t="str">
        <f>""</f>
        <v/>
      </c>
      <c r="G181" t="str">
        <f>""</f>
        <v/>
      </c>
      <c r="H181" t="str">
        <f>""</f>
        <v/>
      </c>
      <c r="I181" s="2">
        <v>7254202286.6800003</v>
      </c>
    </row>
    <row r="182" spans="1:9" x14ac:dyDescent="0.25">
      <c r="A182">
        <v>114</v>
      </c>
      <c r="B182" s="1">
        <v>45289</v>
      </c>
      <c r="C182">
        <v>25</v>
      </c>
      <c r="D182" t="str">
        <f>"1654"</f>
        <v>1654</v>
      </c>
      <c r="E182" t="str">
        <f>"Прочие основные средства"</f>
        <v>Прочие основные средства</v>
      </c>
      <c r="F182" t="str">
        <f>""</f>
        <v/>
      </c>
      <c r="G182" t="str">
        <f>""</f>
        <v/>
      </c>
      <c r="H182" t="str">
        <f>""</f>
        <v/>
      </c>
      <c r="I182" s="2">
        <v>29687322626.48</v>
      </c>
    </row>
    <row r="183" spans="1:9" x14ac:dyDescent="0.25">
      <c r="A183">
        <v>231</v>
      </c>
      <c r="B183" s="1">
        <v>45289</v>
      </c>
      <c r="C183">
        <v>25</v>
      </c>
      <c r="D183" t="str">
        <f>"1655"</f>
        <v>1655</v>
      </c>
      <c r="E183" t="str">
        <f>"Активы в форме права пользования"</f>
        <v>Активы в форме права пользования</v>
      </c>
      <c r="F183" t="str">
        <f>""</f>
        <v/>
      </c>
      <c r="G183" t="str">
        <f>""</f>
        <v/>
      </c>
      <c r="H183" t="str">
        <f>""</f>
        <v/>
      </c>
      <c r="I183" s="2">
        <v>2522528224.29</v>
      </c>
    </row>
    <row r="184" spans="1:9" x14ac:dyDescent="0.25">
      <c r="A184">
        <v>624</v>
      </c>
      <c r="B184" s="1">
        <v>45289</v>
      </c>
      <c r="C184">
        <v>25</v>
      </c>
      <c r="D184" t="str">
        <f>"1657"</f>
        <v>1657</v>
      </c>
      <c r="E184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84" t="str">
        <f>""</f>
        <v/>
      </c>
      <c r="G184" t="str">
        <f>""</f>
        <v/>
      </c>
      <c r="H184" t="str">
        <f>""</f>
        <v/>
      </c>
      <c r="I184" s="2">
        <v>1799260238.75</v>
      </c>
    </row>
    <row r="185" spans="1:9" x14ac:dyDescent="0.25">
      <c r="A185">
        <v>404</v>
      </c>
      <c r="B185" s="1">
        <v>45289</v>
      </c>
      <c r="C185">
        <v>25</v>
      </c>
      <c r="D185" t="str">
        <f>"1658"</f>
        <v>1658</v>
      </c>
      <c r="E185" t="str">
        <f>"Транспортные средства"</f>
        <v>Транспортные средства</v>
      </c>
      <c r="F185" t="str">
        <f>""</f>
        <v/>
      </c>
      <c r="G185" t="str">
        <f>""</f>
        <v/>
      </c>
      <c r="H185" t="str">
        <f>""</f>
        <v/>
      </c>
      <c r="I185" s="2">
        <v>1075889036.6400001</v>
      </c>
    </row>
    <row r="186" spans="1:9" x14ac:dyDescent="0.25">
      <c r="A186">
        <v>233</v>
      </c>
      <c r="B186" s="1">
        <v>45289</v>
      </c>
      <c r="C186">
        <v>25</v>
      </c>
      <c r="D186" t="str">
        <f>"1659"</f>
        <v>1659</v>
      </c>
      <c r="E186" t="str">
        <f>"Нематериальные активы"</f>
        <v>Нематериальные активы</v>
      </c>
      <c r="F186" t="str">
        <f>""</f>
        <v/>
      </c>
      <c r="G186" t="str">
        <f>""</f>
        <v/>
      </c>
      <c r="H186" t="str">
        <f>""</f>
        <v/>
      </c>
      <c r="I186" s="2">
        <v>29572380111.689999</v>
      </c>
    </row>
    <row r="187" spans="1:9" x14ac:dyDescent="0.25">
      <c r="A187">
        <v>488</v>
      </c>
      <c r="B187" s="1">
        <v>45289</v>
      </c>
      <c r="C187">
        <v>25</v>
      </c>
      <c r="D187" t="str">
        <f>"1660"</f>
        <v>1660</v>
      </c>
      <c r="E187" t="str">
        <f>"Создаваемые (разрабатываемые) нематериальные активы"</f>
        <v>Создаваемые (разрабатываемые) нематериальные активы</v>
      </c>
      <c r="F187" t="str">
        <f>""</f>
        <v/>
      </c>
      <c r="G187" t="str">
        <f>""</f>
        <v/>
      </c>
      <c r="H187" t="str">
        <f>""</f>
        <v/>
      </c>
      <c r="I187" s="2">
        <v>391225793</v>
      </c>
    </row>
    <row r="188" spans="1:9" x14ac:dyDescent="0.25">
      <c r="A188">
        <v>254</v>
      </c>
      <c r="B188" s="1">
        <v>45289</v>
      </c>
      <c r="C188">
        <v>25</v>
      </c>
      <c r="D188" t="str">
        <f>"1692"</f>
        <v>1692</v>
      </c>
      <c r="E188" t="str">
        <f>"Начисленная амортизация по зданиям и сооружениям"</f>
        <v>Начисленная амортизация по зданиям и сооружениям</v>
      </c>
      <c r="F188" t="str">
        <f>""</f>
        <v/>
      </c>
      <c r="G188" t="str">
        <f>""</f>
        <v/>
      </c>
      <c r="H188" t="str">
        <f>""</f>
        <v/>
      </c>
      <c r="I188" s="2">
        <v>-7245006307.1000004</v>
      </c>
    </row>
    <row r="189" spans="1:9" x14ac:dyDescent="0.25">
      <c r="A189">
        <v>232</v>
      </c>
      <c r="B189" s="1">
        <v>45289</v>
      </c>
      <c r="C189">
        <v>25</v>
      </c>
      <c r="D189" t="str">
        <f>"1693"</f>
        <v>1693</v>
      </c>
      <c r="E189" t="str">
        <f>"Начисленная амортизация по компьютерному оборудованию"</f>
        <v>Начисленная амортизация по компьютерному оборудованию</v>
      </c>
      <c r="F189" t="str">
        <f>""</f>
        <v/>
      </c>
      <c r="G189" t="str">
        <f>""</f>
        <v/>
      </c>
      <c r="H189" t="str">
        <f>""</f>
        <v/>
      </c>
      <c r="I189" s="2">
        <v>-4091415323.6199999</v>
      </c>
    </row>
    <row r="190" spans="1:9" x14ac:dyDescent="0.25">
      <c r="A190">
        <v>636</v>
      </c>
      <c r="B190" s="1">
        <v>45289</v>
      </c>
      <c r="C190">
        <v>25</v>
      </c>
      <c r="D190" t="str">
        <f>"1694"</f>
        <v>1694</v>
      </c>
      <c r="E190" t="str">
        <f>"Начисленная амортизация по прочим основным средствам"</f>
        <v>Начисленная амортизация по прочим основным средствам</v>
      </c>
      <c r="F190" t="str">
        <f>""</f>
        <v/>
      </c>
      <c r="G190" t="str">
        <f>""</f>
        <v/>
      </c>
      <c r="H190" t="str">
        <f>""</f>
        <v/>
      </c>
      <c r="I190" s="2">
        <v>-18880624722.689999</v>
      </c>
    </row>
    <row r="191" spans="1:9" x14ac:dyDescent="0.25">
      <c r="A191">
        <v>117</v>
      </c>
      <c r="B191" s="1">
        <v>45289</v>
      </c>
      <c r="C191">
        <v>25</v>
      </c>
      <c r="D191" t="str">
        <f>"1695"</f>
        <v>1695</v>
      </c>
      <c r="E19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91" t="str">
        <f>""</f>
        <v/>
      </c>
      <c r="G191" t="str">
        <f>""</f>
        <v/>
      </c>
      <c r="H191" t="str">
        <f>""</f>
        <v/>
      </c>
      <c r="I191" s="2">
        <v>-1262179871.6900001</v>
      </c>
    </row>
    <row r="192" spans="1:9" x14ac:dyDescent="0.25">
      <c r="A192">
        <v>235</v>
      </c>
      <c r="B192" s="1">
        <v>45289</v>
      </c>
      <c r="C192">
        <v>25</v>
      </c>
      <c r="D192" t="str">
        <f>"1697"</f>
        <v>1697</v>
      </c>
      <c r="E192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92" t="str">
        <f>""</f>
        <v/>
      </c>
      <c r="G192" t="str">
        <f>""</f>
        <v/>
      </c>
      <c r="H192" t="str">
        <f>""</f>
        <v/>
      </c>
      <c r="I192" s="2">
        <v>-1271069533.54</v>
      </c>
    </row>
    <row r="193" spans="1:9" x14ac:dyDescent="0.25">
      <c r="A193">
        <v>494</v>
      </c>
      <c r="B193" s="1">
        <v>45289</v>
      </c>
      <c r="C193">
        <v>25</v>
      </c>
      <c r="D193" t="str">
        <f>"1698"</f>
        <v>1698</v>
      </c>
      <c r="E193" t="str">
        <f>"Начисленная амортизация по транспортным средствам"</f>
        <v>Начисленная амортизация по транспортным средствам</v>
      </c>
      <c r="F193" t="str">
        <f>""</f>
        <v/>
      </c>
      <c r="G193" t="str">
        <f>""</f>
        <v/>
      </c>
      <c r="H193" t="str">
        <f>""</f>
        <v/>
      </c>
      <c r="I193" s="2">
        <v>-487639168.25999999</v>
      </c>
    </row>
    <row r="194" spans="1:9" x14ac:dyDescent="0.25">
      <c r="A194">
        <v>234</v>
      </c>
      <c r="B194" s="1">
        <v>45289</v>
      </c>
      <c r="C194">
        <v>25</v>
      </c>
      <c r="D194" t="str">
        <f>"1699"</f>
        <v>1699</v>
      </c>
      <c r="E194" t="str">
        <f>"Начисленная амортизация по нематериальным активам"</f>
        <v>Начисленная амортизация по нематериальным активам</v>
      </c>
      <c r="F194" t="str">
        <f>""</f>
        <v/>
      </c>
      <c r="G194" t="str">
        <f>""</f>
        <v/>
      </c>
      <c r="H194" t="str">
        <f>""</f>
        <v/>
      </c>
      <c r="I194" s="2">
        <v>-14497859760.49</v>
      </c>
    </row>
    <row r="195" spans="1:9" x14ac:dyDescent="0.25">
      <c r="A195">
        <v>500</v>
      </c>
      <c r="B195" s="1">
        <v>45289</v>
      </c>
      <c r="C195">
        <v>25</v>
      </c>
      <c r="D195" t="str">
        <f>"1710"</f>
        <v>1710</v>
      </c>
      <c r="E195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95" t="str">
        <f>"1"</f>
        <v>1</v>
      </c>
      <c r="G195" t="str">
        <f>"3"</f>
        <v>3</v>
      </c>
      <c r="H195" t="str">
        <f>"1"</f>
        <v>1</v>
      </c>
      <c r="I195" s="2">
        <v>798437500</v>
      </c>
    </row>
    <row r="196" spans="1:9" x14ac:dyDescent="0.25">
      <c r="A196">
        <v>37</v>
      </c>
      <c r="B196" s="1">
        <v>45289</v>
      </c>
      <c r="C196">
        <v>25</v>
      </c>
      <c r="D196" t="str">
        <f>"1710"</f>
        <v>1710</v>
      </c>
      <c r="E196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96" t="str">
        <f>"1"</f>
        <v>1</v>
      </c>
      <c r="G196" t="str">
        <f>"3"</f>
        <v>3</v>
      </c>
      <c r="H196" t="str">
        <f>"2"</f>
        <v>2</v>
      </c>
      <c r="I196" s="2">
        <v>2661953866.1700001</v>
      </c>
    </row>
    <row r="197" spans="1:9" x14ac:dyDescent="0.25">
      <c r="A197">
        <v>503</v>
      </c>
      <c r="B197" s="1">
        <v>45289</v>
      </c>
      <c r="C197">
        <v>25</v>
      </c>
      <c r="D197" t="str">
        <f>"1725"</f>
        <v>1725</v>
      </c>
      <c r="E197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97" t="str">
        <f>"2"</f>
        <v>2</v>
      </c>
      <c r="G197" t="str">
        <f>"4"</f>
        <v>4</v>
      </c>
      <c r="H197" t="str">
        <f>"2"</f>
        <v>2</v>
      </c>
      <c r="I197" s="2">
        <v>4520160</v>
      </c>
    </row>
    <row r="198" spans="1:9" x14ac:dyDescent="0.25">
      <c r="A198">
        <v>640</v>
      </c>
      <c r="B198" s="1">
        <v>45289</v>
      </c>
      <c r="C198">
        <v>25</v>
      </c>
      <c r="D198" t="str">
        <f t="shared" ref="D198:D206" si="41">"1740"</f>
        <v>1740</v>
      </c>
      <c r="E198" t="str">
        <f t="shared" ref="E198:E206" si="42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98" t="str">
        <f t="shared" ref="F198:F205" si="43">"1"</f>
        <v>1</v>
      </c>
      <c r="G198" t="str">
        <f>"5"</f>
        <v>5</v>
      </c>
      <c r="H198" t="str">
        <f>"1"</f>
        <v>1</v>
      </c>
      <c r="I198" s="2">
        <v>528813896.81999999</v>
      </c>
    </row>
    <row r="199" spans="1:9" x14ac:dyDescent="0.25">
      <c r="A199">
        <v>241</v>
      </c>
      <c r="B199" s="1">
        <v>45289</v>
      </c>
      <c r="C199">
        <v>25</v>
      </c>
      <c r="D199" t="str">
        <f t="shared" si="41"/>
        <v>1740</v>
      </c>
      <c r="E199" t="str">
        <f t="shared" si="42"/>
        <v>Начисленные доходы по займам и финансовому лизингу, предоставленным клиентам</v>
      </c>
      <c r="F199" t="str">
        <f t="shared" si="43"/>
        <v>1</v>
      </c>
      <c r="G199" t="str">
        <f>"5"</f>
        <v>5</v>
      </c>
      <c r="H199" t="str">
        <f>"2"</f>
        <v>2</v>
      </c>
      <c r="I199" s="2">
        <v>3799767.05</v>
      </c>
    </row>
    <row r="200" spans="1:9" x14ac:dyDescent="0.25">
      <c r="A200">
        <v>638</v>
      </c>
      <c r="B200" s="1">
        <v>45289</v>
      </c>
      <c r="C200">
        <v>25</v>
      </c>
      <c r="D200" t="str">
        <f t="shared" si="41"/>
        <v>1740</v>
      </c>
      <c r="E200" t="str">
        <f t="shared" si="42"/>
        <v>Начисленные доходы по займам и финансовому лизингу, предоставленным клиентам</v>
      </c>
      <c r="F200" t="str">
        <f t="shared" si="43"/>
        <v>1</v>
      </c>
      <c r="G200" t="str">
        <f>"6"</f>
        <v>6</v>
      </c>
      <c r="H200" t="str">
        <f>"1"</f>
        <v>1</v>
      </c>
      <c r="I200" s="2">
        <v>3922836.22</v>
      </c>
    </row>
    <row r="201" spans="1:9" x14ac:dyDescent="0.25">
      <c r="A201">
        <v>493</v>
      </c>
      <c r="B201" s="1">
        <v>45289</v>
      </c>
      <c r="C201">
        <v>25</v>
      </c>
      <c r="D201" t="str">
        <f t="shared" si="41"/>
        <v>1740</v>
      </c>
      <c r="E201" t="str">
        <f t="shared" si="42"/>
        <v>Начисленные доходы по займам и финансовому лизингу, предоставленным клиентам</v>
      </c>
      <c r="F201" t="str">
        <f t="shared" si="43"/>
        <v>1</v>
      </c>
      <c r="G201" t="str">
        <f>"7"</f>
        <v>7</v>
      </c>
      <c r="H201" t="str">
        <f>"1"</f>
        <v>1</v>
      </c>
      <c r="I201" s="2">
        <v>3705929145.5</v>
      </c>
    </row>
    <row r="202" spans="1:9" x14ac:dyDescent="0.25">
      <c r="A202">
        <v>639</v>
      </c>
      <c r="B202" s="1">
        <v>45289</v>
      </c>
      <c r="C202">
        <v>25</v>
      </c>
      <c r="D202" t="str">
        <f t="shared" si="41"/>
        <v>1740</v>
      </c>
      <c r="E202" t="str">
        <f t="shared" si="42"/>
        <v>Начисленные доходы по займам и финансовому лизингу, предоставленным клиентам</v>
      </c>
      <c r="F202" t="str">
        <f t="shared" si="43"/>
        <v>1</v>
      </c>
      <c r="G202" t="str">
        <f>"7"</f>
        <v>7</v>
      </c>
      <c r="H202" t="str">
        <f>"2"</f>
        <v>2</v>
      </c>
      <c r="I202" s="2">
        <v>1485686238.71</v>
      </c>
    </row>
    <row r="203" spans="1:9" x14ac:dyDescent="0.25">
      <c r="A203">
        <v>405</v>
      </c>
      <c r="B203" s="1">
        <v>45289</v>
      </c>
      <c r="C203">
        <v>25</v>
      </c>
      <c r="D203" t="str">
        <f t="shared" si="41"/>
        <v>1740</v>
      </c>
      <c r="E203" t="str">
        <f t="shared" si="42"/>
        <v>Начисленные доходы по займам и финансовому лизингу, предоставленным клиентам</v>
      </c>
      <c r="F203" t="str">
        <f t="shared" si="43"/>
        <v>1</v>
      </c>
      <c r="G203" t="str">
        <f>"8"</f>
        <v>8</v>
      </c>
      <c r="H203" t="str">
        <f>"1"</f>
        <v>1</v>
      </c>
      <c r="I203" s="2">
        <v>1705736.89</v>
      </c>
    </row>
    <row r="204" spans="1:9" x14ac:dyDescent="0.25">
      <c r="A204">
        <v>240</v>
      </c>
      <c r="B204" s="1">
        <v>45289</v>
      </c>
      <c r="C204">
        <v>25</v>
      </c>
      <c r="D204" t="str">
        <f t="shared" si="41"/>
        <v>1740</v>
      </c>
      <c r="E204" t="str">
        <f t="shared" si="42"/>
        <v>Начисленные доходы по займам и финансовому лизингу, предоставленным клиентам</v>
      </c>
      <c r="F204" t="str">
        <f t="shared" si="43"/>
        <v>1</v>
      </c>
      <c r="G204" t="str">
        <f>"9"</f>
        <v>9</v>
      </c>
      <c r="H204" t="str">
        <f>"1"</f>
        <v>1</v>
      </c>
      <c r="I204" s="2">
        <v>8820976159.5699997</v>
      </c>
    </row>
    <row r="205" spans="1:9" x14ac:dyDescent="0.25">
      <c r="A205">
        <v>118</v>
      </c>
      <c r="B205" s="1">
        <v>45289</v>
      </c>
      <c r="C205">
        <v>25</v>
      </c>
      <c r="D205" t="str">
        <f t="shared" si="41"/>
        <v>1740</v>
      </c>
      <c r="E205" t="str">
        <f t="shared" si="42"/>
        <v>Начисленные доходы по займам и финансовому лизингу, предоставленным клиентам</v>
      </c>
      <c r="F205" t="str">
        <f t="shared" si="43"/>
        <v>1</v>
      </c>
      <c r="G205" t="str">
        <f>"9"</f>
        <v>9</v>
      </c>
      <c r="H205" t="str">
        <f>"2"</f>
        <v>2</v>
      </c>
      <c r="I205" s="2">
        <v>1295223.74</v>
      </c>
    </row>
    <row r="206" spans="1:9" x14ac:dyDescent="0.25">
      <c r="A206">
        <v>239</v>
      </c>
      <c r="B206" s="1">
        <v>45289</v>
      </c>
      <c r="C206">
        <v>25</v>
      </c>
      <c r="D206" t="str">
        <f t="shared" si="41"/>
        <v>1740</v>
      </c>
      <c r="E206" t="str">
        <f t="shared" si="42"/>
        <v>Начисленные доходы по займам и финансовому лизингу, предоставленным клиентам</v>
      </c>
      <c r="F206" t="str">
        <f>"2"</f>
        <v>2</v>
      </c>
      <c r="G206" t="str">
        <f>"9"</f>
        <v>9</v>
      </c>
      <c r="H206" t="str">
        <f>"1"</f>
        <v>1</v>
      </c>
      <c r="I206" s="2">
        <v>649291.38</v>
      </c>
    </row>
    <row r="207" spans="1:9" x14ac:dyDescent="0.25">
      <c r="A207">
        <v>35</v>
      </c>
      <c r="B207" s="1">
        <v>45289</v>
      </c>
      <c r="C207">
        <v>25</v>
      </c>
      <c r="D207" t="str">
        <f>"1741"</f>
        <v>1741</v>
      </c>
      <c r="E20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07" t="str">
        <f>"1"</f>
        <v>1</v>
      </c>
      <c r="G207" t="str">
        <f>"7"</f>
        <v>7</v>
      </c>
      <c r="H207" t="str">
        <f>"1"</f>
        <v>1</v>
      </c>
      <c r="I207" s="2">
        <v>423432627.85000002</v>
      </c>
    </row>
    <row r="208" spans="1:9" x14ac:dyDescent="0.25">
      <c r="A208">
        <v>238</v>
      </c>
      <c r="B208" s="1">
        <v>45289</v>
      </c>
      <c r="C208">
        <v>25</v>
      </c>
      <c r="D208" t="str">
        <f>"1741"</f>
        <v>1741</v>
      </c>
      <c r="E20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08" t="str">
        <f>"1"</f>
        <v>1</v>
      </c>
      <c r="G208" t="str">
        <f>"9"</f>
        <v>9</v>
      </c>
      <c r="H208" t="str">
        <f>"1"</f>
        <v>1</v>
      </c>
      <c r="I208" s="2">
        <v>4198932061.5700002</v>
      </c>
    </row>
    <row r="209" spans="1:9" x14ac:dyDescent="0.25">
      <c r="A209">
        <v>492</v>
      </c>
      <c r="B209" s="1">
        <v>45289</v>
      </c>
      <c r="C209">
        <v>25</v>
      </c>
      <c r="D209" t="str">
        <f>"1741"</f>
        <v>1741</v>
      </c>
      <c r="E20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09" t="str">
        <f>"1"</f>
        <v>1</v>
      </c>
      <c r="G209" t="str">
        <f>"9"</f>
        <v>9</v>
      </c>
      <c r="H209" t="str">
        <f>"2"</f>
        <v>2</v>
      </c>
      <c r="I209" s="2">
        <v>54058111.409999996</v>
      </c>
    </row>
    <row r="210" spans="1:9" x14ac:dyDescent="0.25">
      <c r="A210">
        <v>637</v>
      </c>
      <c r="B210" s="1">
        <v>45289</v>
      </c>
      <c r="C210">
        <v>25</v>
      </c>
      <c r="D210" t="str">
        <f>"1741"</f>
        <v>1741</v>
      </c>
      <c r="E21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10" t="str">
        <f>"2"</f>
        <v>2</v>
      </c>
      <c r="G210" t="str">
        <f>"9"</f>
        <v>9</v>
      </c>
      <c r="H210" t="str">
        <f>"1"</f>
        <v>1</v>
      </c>
      <c r="I210" s="2">
        <v>72248.53</v>
      </c>
    </row>
    <row r="211" spans="1:9" x14ac:dyDescent="0.25">
      <c r="A211">
        <v>489</v>
      </c>
      <c r="B211" s="1">
        <v>45289</v>
      </c>
      <c r="C211">
        <v>25</v>
      </c>
      <c r="D211" t="str">
        <f>"1745"</f>
        <v>1745</v>
      </c>
      <c r="E2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11" t="str">
        <f>"1"</f>
        <v>1</v>
      </c>
      <c r="G211" t="str">
        <f>"1"</f>
        <v>1</v>
      </c>
      <c r="H211" t="str">
        <f>"2"</f>
        <v>2</v>
      </c>
      <c r="I211" s="2">
        <v>464903790.07999998</v>
      </c>
    </row>
    <row r="212" spans="1:9" x14ac:dyDescent="0.25">
      <c r="A212">
        <v>633</v>
      </c>
      <c r="B212" s="1">
        <v>45289</v>
      </c>
      <c r="C212">
        <v>25</v>
      </c>
      <c r="D212" t="str">
        <f>"1745"</f>
        <v>1745</v>
      </c>
      <c r="E21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12" t="str">
        <f>"1"</f>
        <v>1</v>
      </c>
      <c r="G212" t="str">
        <f>"6"</f>
        <v>6</v>
      </c>
      <c r="H212" t="str">
        <f>"1"</f>
        <v>1</v>
      </c>
      <c r="I212" s="2">
        <v>4449945833.3400002</v>
      </c>
    </row>
    <row r="213" spans="1:9" x14ac:dyDescent="0.25">
      <c r="A213">
        <v>490</v>
      </c>
      <c r="B213" s="1">
        <v>45289</v>
      </c>
      <c r="C213">
        <v>25</v>
      </c>
      <c r="D213" t="str">
        <f>"1745"</f>
        <v>1745</v>
      </c>
      <c r="E21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13" t="str">
        <f>"1"</f>
        <v>1</v>
      </c>
      <c r="G213" t="str">
        <f>"6"</f>
        <v>6</v>
      </c>
      <c r="H213" t="str">
        <f>"2"</f>
        <v>2</v>
      </c>
      <c r="I213" s="2">
        <v>115104696.86</v>
      </c>
    </row>
    <row r="214" spans="1:9" x14ac:dyDescent="0.25">
      <c r="A214">
        <v>115</v>
      </c>
      <c r="B214" s="1">
        <v>45289</v>
      </c>
      <c r="C214">
        <v>25</v>
      </c>
      <c r="D214" t="str">
        <f>"1745"</f>
        <v>1745</v>
      </c>
      <c r="E21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14" t="str">
        <f>"2"</f>
        <v>2</v>
      </c>
      <c r="G214" t="str">
        <f>"1"</f>
        <v>1</v>
      </c>
      <c r="H214" t="str">
        <f>"2"</f>
        <v>2</v>
      </c>
      <c r="I214" s="2">
        <v>1799298.48</v>
      </c>
    </row>
    <row r="215" spans="1:9" x14ac:dyDescent="0.25">
      <c r="A215">
        <v>406</v>
      </c>
      <c r="B215" s="1">
        <v>45289</v>
      </c>
      <c r="C215">
        <v>25</v>
      </c>
      <c r="D215" t="str">
        <f t="shared" ref="D215:D223" si="44">"1746"</f>
        <v>1746</v>
      </c>
      <c r="E215" t="str">
        <f t="shared" ref="E215:E223" si="45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15" t="str">
        <f t="shared" ref="F215:F220" si="46">"1"</f>
        <v>1</v>
      </c>
      <c r="G215" t="str">
        <f>"1"</f>
        <v>1</v>
      </c>
      <c r="H215" t="str">
        <f>"1"</f>
        <v>1</v>
      </c>
      <c r="I215" s="2">
        <v>26812655730.43</v>
      </c>
    </row>
    <row r="216" spans="1:9" x14ac:dyDescent="0.25">
      <c r="A216">
        <v>119</v>
      </c>
      <c r="B216" s="1">
        <v>45289</v>
      </c>
      <c r="C216">
        <v>25</v>
      </c>
      <c r="D216" t="str">
        <f t="shared" si="44"/>
        <v>1746</v>
      </c>
      <c r="E216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16" t="str">
        <f t="shared" si="46"/>
        <v>1</v>
      </c>
      <c r="G216" t="str">
        <f>"1"</f>
        <v>1</v>
      </c>
      <c r="H216" t="str">
        <f>"2"</f>
        <v>2</v>
      </c>
      <c r="I216" s="2">
        <v>1134727321.45</v>
      </c>
    </row>
    <row r="217" spans="1:9" x14ac:dyDescent="0.25">
      <c r="A217">
        <v>496</v>
      </c>
      <c r="B217" s="1">
        <v>45289</v>
      </c>
      <c r="C217">
        <v>25</v>
      </c>
      <c r="D217" t="str">
        <f t="shared" si="44"/>
        <v>1746</v>
      </c>
      <c r="E217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17" t="str">
        <f t="shared" si="46"/>
        <v>1</v>
      </c>
      <c r="G217" t="str">
        <f>"4"</f>
        <v>4</v>
      </c>
      <c r="H217" t="str">
        <f>"1"</f>
        <v>1</v>
      </c>
      <c r="I217" s="2">
        <v>206250000</v>
      </c>
    </row>
    <row r="218" spans="1:9" x14ac:dyDescent="0.25">
      <c r="A218">
        <v>243</v>
      </c>
      <c r="B218" s="1">
        <v>45289</v>
      </c>
      <c r="C218">
        <v>25</v>
      </c>
      <c r="D218" t="str">
        <f t="shared" si="44"/>
        <v>1746</v>
      </c>
      <c r="E218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18" t="str">
        <f t="shared" si="46"/>
        <v>1</v>
      </c>
      <c r="G218" t="str">
        <f>"4"</f>
        <v>4</v>
      </c>
      <c r="H218" t="str">
        <f>"2"</f>
        <v>2</v>
      </c>
      <c r="I218" s="2">
        <v>89785063.930000007</v>
      </c>
    </row>
    <row r="219" spans="1:9" x14ac:dyDescent="0.25">
      <c r="A219">
        <v>407</v>
      </c>
      <c r="B219" s="1">
        <v>45289</v>
      </c>
      <c r="C219">
        <v>25</v>
      </c>
      <c r="D219" t="str">
        <f t="shared" si="44"/>
        <v>1746</v>
      </c>
      <c r="E219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19" t="str">
        <f t="shared" si="46"/>
        <v>1</v>
      </c>
      <c r="G219" t="str">
        <f>"5"</f>
        <v>5</v>
      </c>
      <c r="H219" t="str">
        <f>"1"</f>
        <v>1</v>
      </c>
      <c r="I219" s="2">
        <v>3803358181.6300001</v>
      </c>
    </row>
    <row r="220" spans="1:9" x14ac:dyDescent="0.25">
      <c r="A220">
        <v>242</v>
      </c>
      <c r="B220" s="1">
        <v>45289</v>
      </c>
      <c r="C220">
        <v>25</v>
      </c>
      <c r="D220" t="str">
        <f t="shared" si="44"/>
        <v>1746</v>
      </c>
      <c r="E220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20" t="str">
        <f t="shared" si="46"/>
        <v>1</v>
      </c>
      <c r="G220" t="str">
        <f>"6"</f>
        <v>6</v>
      </c>
      <c r="H220" t="str">
        <f>"2"</f>
        <v>2</v>
      </c>
      <c r="I220" s="2">
        <v>62726138.990000002</v>
      </c>
    </row>
    <row r="221" spans="1:9" x14ac:dyDescent="0.25">
      <c r="A221">
        <v>409</v>
      </c>
      <c r="B221" s="1">
        <v>45289</v>
      </c>
      <c r="C221">
        <v>25</v>
      </c>
      <c r="D221" t="str">
        <f t="shared" si="44"/>
        <v>1746</v>
      </c>
      <c r="E221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21" t="str">
        <f>"2"</f>
        <v>2</v>
      </c>
      <c r="G221" t="str">
        <f>"1"</f>
        <v>1</v>
      </c>
      <c r="H221" t="str">
        <f>"2"</f>
        <v>2</v>
      </c>
      <c r="I221" s="2">
        <v>104406750</v>
      </c>
    </row>
    <row r="222" spans="1:9" x14ac:dyDescent="0.25">
      <c r="A222">
        <v>642</v>
      </c>
      <c r="B222" s="1">
        <v>45289</v>
      </c>
      <c r="C222">
        <v>25</v>
      </c>
      <c r="D222" t="str">
        <f t="shared" si="44"/>
        <v>1746</v>
      </c>
      <c r="E222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22" t="str">
        <f>"2"</f>
        <v>2</v>
      </c>
      <c r="G222" t="str">
        <f>"5"</f>
        <v>5</v>
      </c>
      <c r="H222" t="str">
        <f>"2"</f>
        <v>2</v>
      </c>
      <c r="I222" s="2">
        <v>263490249.59999999</v>
      </c>
    </row>
    <row r="223" spans="1:9" x14ac:dyDescent="0.25">
      <c r="A223">
        <v>408</v>
      </c>
      <c r="B223" s="1">
        <v>45289</v>
      </c>
      <c r="C223">
        <v>25</v>
      </c>
      <c r="D223" t="str">
        <f t="shared" si="44"/>
        <v>1746</v>
      </c>
      <c r="E223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23" t="str">
        <f>"2"</f>
        <v>2</v>
      </c>
      <c r="G223" t="str">
        <f>"7"</f>
        <v>7</v>
      </c>
      <c r="H223" t="str">
        <f>"2"</f>
        <v>2</v>
      </c>
      <c r="I223" s="2">
        <v>3046970.23</v>
      </c>
    </row>
    <row r="224" spans="1:9" x14ac:dyDescent="0.25">
      <c r="A224">
        <v>34</v>
      </c>
      <c r="B224" s="1">
        <v>45289</v>
      </c>
      <c r="C224">
        <v>25</v>
      </c>
      <c r="D224" t="str">
        <f>"1748"</f>
        <v>1748</v>
      </c>
      <c r="E224" t="s">
        <v>8</v>
      </c>
      <c r="F224" t="str">
        <f t="shared" ref="F224:F230" si="47">"1"</f>
        <v>1</v>
      </c>
      <c r="G224" t="str">
        <f>"5"</f>
        <v>5</v>
      </c>
      <c r="H224" t="str">
        <f t="shared" ref="H224:H233" si="48">"1"</f>
        <v>1</v>
      </c>
      <c r="I224" s="2">
        <v>167258654.86000001</v>
      </c>
    </row>
    <row r="225" spans="1:9" x14ac:dyDescent="0.25">
      <c r="A225">
        <v>248</v>
      </c>
      <c r="B225" s="1">
        <v>45289</v>
      </c>
      <c r="C225">
        <v>25</v>
      </c>
      <c r="D225" t="str">
        <f t="shared" ref="D225:D231" si="49">"1793"</f>
        <v>1793</v>
      </c>
      <c r="E225" t="str">
        <f t="shared" ref="E225:E231" si="50">"Расходы будущих периодов"</f>
        <v>Расходы будущих периодов</v>
      </c>
      <c r="F225" t="str">
        <f t="shared" si="47"/>
        <v>1</v>
      </c>
      <c r="G225" t="str">
        <f>"4"</f>
        <v>4</v>
      </c>
      <c r="H225" t="str">
        <f t="shared" si="48"/>
        <v>1</v>
      </c>
      <c r="I225" s="2">
        <v>102285873.56</v>
      </c>
    </row>
    <row r="226" spans="1:9" x14ac:dyDescent="0.25">
      <c r="A226">
        <v>249</v>
      </c>
      <c r="B226" s="1">
        <v>45289</v>
      </c>
      <c r="C226">
        <v>25</v>
      </c>
      <c r="D226" t="str">
        <f t="shared" si="49"/>
        <v>1793</v>
      </c>
      <c r="E226" t="str">
        <f t="shared" si="50"/>
        <v>Расходы будущих периодов</v>
      </c>
      <c r="F226" t="str">
        <f t="shared" si="47"/>
        <v>1</v>
      </c>
      <c r="G226" t="str">
        <f>"5"</f>
        <v>5</v>
      </c>
      <c r="H226" t="str">
        <f t="shared" si="48"/>
        <v>1</v>
      </c>
      <c r="I226" s="2">
        <v>71244364.950000003</v>
      </c>
    </row>
    <row r="227" spans="1:9" x14ac:dyDescent="0.25">
      <c r="A227">
        <v>246</v>
      </c>
      <c r="B227" s="1">
        <v>45289</v>
      </c>
      <c r="C227">
        <v>25</v>
      </c>
      <c r="D227" t="str">
        <f t="shared" si="49"/>
        <v>1793</v>
      </c>
      <c r="E227" t="str">
        <f t="shared" si="50"/>
        <v>Расходы будущих периодов</v>
      </c>
      <c r="F227" t="str">
        <f t="shared" si="47"/>
        <v>1</v>
      </c>
      <c r="G227" t="str">
        <f>"6"</f>
        <v>6</v>
      </c>
      <c r="H227" t="str">
        <f t="shared" si="48"/>
        <v>1</v>
      </c>
      <c r="I227" s="2">
        <v>9514849</v>
      </c>
    </row>
    <row r="228" spans="1:9" x14ac:dyDescent="0.25">
      <c r="A228">
        <v>245</v>
      </c>
      <c r="B228" s="1">
        <v>45289</v>
      </c>
      <c r="C228">
        <v>25</v>
      </c>
      <c r="D228" t="str">
        <f t="shared" si="49"/>
        <v>1793</v>
      </c>
      <c r="E228" t="str">
        <f t="shared" si="50"/>
        <v>Расходы будущих периодов</v>
      </c>
      <c r="F228" t="str">
        <f t="shared" si="47"/>
        <v>1</v>
      </c>
      <c r="G228" t="str">
        <f>"7"</f>
        <v>7</v>
      </c>
      <c r="H228" t="str">
        <f t="shared" si="48"/>
        <v>1</v>
      </c>
      <c r="I228" s="2">
        <v>1235618259.9000001</v>
      </c>
    </row>
    <row r="229" spans="1:9" x14ac:dyDescent="0.25">
      <c r="A229">
        <v>247</v>
      </c>
      <c r="B229" s="1">
        <v>45289</v>
      </c>
      <c r="C229">
        <v>25</v>
      </c>
      <c r="D229" t="str">
        <f t="shared" si="49"/>
        <v>1793</v>
      </c>
      <c r="E229" t="str">
        <f t="shared" si="50"/>
        <v>Расходы будущих периодов</v>
      </c>
      <c r="F229" t="str">
        <f t="shared" si="47"/>
        <v>1</v>
      </c>
      <c r="G229" t="str">
        <f>"8"</f>
        <v>8</v>
      </c>
      <c r="H229" t="str">
        <f t="shared" si="48"/>
        <v>1</v>
      </c>
      <c r="I229" s="2">
        <v>6990000</v>
      </c>
    </row>
    <row r="230" spans="1:9" x14ac:dyDescent="0.25">
      <c r="A230">
        <v>244</v>
      </c>
      <c r="B230" s="1">
        <v>45289</v>
      </c>
      <c r="C230">
        <v>25</v>
      </c>
      <c r="D230" t="str">
        <f t="shared" si="49"/>
        <v>1793</v>
      </c>
      <c r="E230" t="str">
        <f t="shared" si="50"/>
        <v>Расходы будущих периодов</v>
      </c>
      <c r="F230" t="str">
        <f t="shared" si="47"/>
        <v>1</v>
      </c>
      <c r="G230" t="str">
        <f>"9"</f>
        <v>9</v>
      </c>
      <c r="H230" t="str">
        <f t="shared" si="48"/>
        <v>1</v>
      </c>
      <c r="I230" s="2">
        <v>8314745.0499999998</v>
      </c>
    </row>
    <row r="231" spans="1:9" x14ac:dyDescent="0.25">
      <c r="A231">
        <v>644</v>
      </c>
      <c r="B231" s="1">
        <v>45289</v>
      </c>
      <c r="C231">
        <v>25</v>
      </c>
      <c r="D231" t="str">
        <f t="shared" si="49"/>
        <v>1793</v>
      </c>
      <c r="E231" t="str">
        <f t="shared" si="50"/>
        <v>Расходы будущих периодов</v>
      </c>
      <c r="F231" t="str">
        <f>"2"</f>
        <v>2</v>
      </c>
      <c r="G231" t="str">
        <f>"7"</f>
        <v>7</v>
      </c>
      <c r="H231" t="str">
        <f t="shared" si="48"/>
        <v>1</v>
      </c>
      <c r="I231" s="2">
        <v>48567234.109999999</v>
      </c>
    </row>
    <row r="232" spans="1:9" x14ac:dyDescent="0.25">
      <c r="A232">
        <v>36</v>
      </c>
      <c r="B232" s="1">
        <v>45289</v>
      </c>
      <c r="C232">
        <v>25</v>
      </c>
      <c r="D232" t="str">
        <f>"1799"</f>
        <v>1799</v>
      </c>
      <c r="E232" t="str">
        <f>"Прочие предоплаты"</f>
        <v>Прочие предоплаты</v>
      </c>
      <c r="F232" t="str">
        <f t="shared" ref="F232:F237" si="51">"1"</f>
        <v>1</v>
      </c>
      <c r="G232" t="str">
        <f>"6"</f>
        <v>6</v>
      </c>
      <c r="H232" t="str">
        <f t="shared" si="48"/>
        <v>1</v>
      </c>
      <c r="I232" s="2">
        <v>252000</v>
      </c>
    </row>
    <row r="233" spans="1:9" x14ac:dyDescent="0.25">
      <c r="A233">
        <v>252</v>
      </c>
      <c r="B233" s="1">
        <v>45289</v>
      </c>
      <c r="C233">
        <v>25</v>
      </c>
      <c r="D233" t="str">
        <f>"1799"</f>
        <v>1799</v>
      </c>
      <c r="E233" t="str">
        <f>"Прочие предоплаты"</f>
        <v>Прочие предоплаты</v>
      </c>
      <c r="F233" t="str">
        <f t="shared" si="51"/>
        <v>1</v>
      </c>
      <c r="G233" t="str">
        <f>"7"</f>
        <v>7</v>
      </c>
      <c r="H233" t="str">
        <f t="shared" si="48"/>
        <v>1</v>
      </c>
      <c r="I233" s="2">
        <v>112068351.23</v>
      </c>
    </row>
    <row r="234" spans="1:9" x14ac:dyDescent="0.25">
      <c r="A234">
        <v>120</v>
      </c>
      <c r="B234" s="1">
        <v>45289</v>
      </c>
      <c r="C234">
        <v>25</v>
      </c>
      <c r="D234" t="str">
        <f>"1799"</f>
        <v>1799</v>
      </c>
      <c r="E234" t="str">
        <f>"Прочие предоплаты"</f>
        <v>Прочие предоплаты</v>
      </c>
      <c r="F234" t="str">
        <f t="shared" si="51"/>
        <v>1</v>
      </c>
      <c r="G234" t="str">
        <f>"7"</f>
        <v>7</v>
      </c>
      <c r="H234" t="str">
        <f>"2"</f>
        <v>2</v>
      </c>
      <c r="I234" s="2">
        <v>19733356.149999999</v>
      </c>
    </row>
    <row r="235" spans="1:9" x14ac:dyDescent="0.25">
      <c r="A235">
        <v>651</v>
      </c>
      <c r="B235" s="1">
        <v>45289</v>
      </c>
      <c r="C235">
        <v>25</v>
      </c>
      <c r="D235" t="str">
        <f t="shared" ref="D235:D240" si="52">"1811"</f>
        <v>1811</v>
      </c>
      <c r="E235" t="str">
        <f t="shared" ref="E235:E240" si="53"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35" t="str">
        <f t="shared" si="51"/>
        <v>1</v>
      </c>
      <c r="G235" t="str">
        <f>""</f>
        <v/>
      </c>
      <c r="H235" t="str">
        <f>"1"</f>
        <v>1</v>
      </c>
      <c r="I235" s="2">
        <v>100824314.87</v>
      </c>
    </row>
    <row r="236" spans="1:9" x14ac:dyDescent="0.25">
      <c r="A236">
        <v>652</v>
      </c>
      <c r="B236" s="1">
        <v>45289</v>
      </c>
      <c r="C236">
        <v>25</v>
      </c>
      <c r="D236" t="str">
        <f t="shared" si="52"/>
        <v>1811</v>
      </c>
      <c r="E236" t="str">
        <f t="shared" si="53"/>
        <v>Начисленные комиссионные доходы за услуги по переводным операциям</v>
      </c>
      <c r="F236" t="str">
        <f t="shared" si="51"/>
        <v>1</v>
      </c>
      <c r="G236" t="str">
        <f>""</f>
        <v/>
      </c>
      <c r="H236" t="str">
        <f>"2"</f>
        <v>2</v>
      </c>
      <c r="I236" s="2">
        <v>18507990.379999999</v>
      </c>
    </row>
    <row r="237" spans="1:9" x14ac:dyDescent="0.25">
      <c r="A237">
        <v>123</v>
      </c>
      <c r="B237" s="1">
        <v>45289</v>
      </c>
      <c r="C237">
        <v>25</v>
      </c>
      <c r="D237" t="str">
        <f t="shared" si="52"/>
        <v>1811</v>
      </c>
      <c r="E237" t="str">
        <f t="shared" si="53"/>
        <v>Начисленные комиссионные доходы за услуги по переводным операциям</v>
      </c>
      <c r="F237" t="str">
        <f t="shared" si="51"/>
        <v>1</v>
      </c>
      <c r="G237" t="str">
        <f>""</f>
        <v/>
      </c>
      <c r="H237" t="str">
        <f>"3"</f>
        <v>3</v>
      </c>
      <c r="I237" s="2">
        <v>930584.16</v>
      </c>
    </row>
    <row r="238" spans="1:9" x14ac:dyDescent="0.25">
      <c r="A238">
        <v>257</v>
      </c>
      <c r="B238" s="1">
        <v>45289</v>
      </c>
      <c r="C238">
        <v>25</v>
      </c>
      <c r="D238" t="str">
        <f t="shared" si="52"/>
        <v>1811</v>
      </c>
      <c r="E238" t="str">
        <f t="shared" si="53"/>
        <v>Начисленные комиссионные доходы за услуги по переводным операциям</v>
      </c>
      <c r="F238" t="str">
        <f>"2"</f>
        <v>2</v>
      </c>
      <c r="G238" t="str">
        <f>""</f>
        <v/>
      </c>
      <c r="H238" t="str">
        <f>"1"</f>
        <v>1</v>
      </c>
      <c r="I238" s="2">
        <v>1294393.3799999999</v>
      </c>
    </row>
    <row r="239" spans="1:9" x14ac:dyDescent="0.25">
      <c r="A239">
        <v>258</v>
      </c>
      <c r="B239" s="1">
        <v>45289</v>
      </c>
      <c r="C239">
        <v>25</v>
      </c>
      <c r="D239" t="str">
        <f t="shared" si="52"/>
        <v>1811</v>
      </c>
      <c r="E239" t="str">
        <f t="shared" si="53"/>
        <v>Начисленные комиссионные доходы за услуги по переводным операциям</v>
      </c>
      <c r="F239" t="str">
        <f>"2"</f>
        <v>2</v>
      </c>
      <c r="G239" t="str">
        <f>""</f>
        <v/>
      </c>
      <c r="H239" t="str">
        <f>"2"</f>
        <v>2</v>
      </c>
      <c r="I239" s="2">
        <v>1963375.65</v>
      </c>
    </row>
    <row r="240" spans="1:9" x14ac:dyDescent="0.25">
      <c r="A240">
        <v>124</v>
      </c>
      <c r="B240" s="1">
        <v>45289</v>
      </c>
      <c r="C240">
        <v>25</v>
      </c>
      <c r="D240" t="str">
        <f t="shared" si="52"/>
        <v>1811</v>
      </c>
      <c r="E240" t="str">
        <f t="shared" si="53"/>
        <v>Начисленные комиссионные доходы за услуги по переводным операциям</v>
      </c>
      <c r="F240" t="str">
        <f>"2"</f>
        <v>2</v>
      </c>
      <c r="G240" t="str">
        <f>""</f>
        <v/>
      </c>
      <c r="H240" t="str">
        <f>"3"</f>
        <v>3</v>
      </c>
      <c r="I240" s="2">
        <v>5819</v>
      </c>
    </row>
    <row r="241" spans="1:9" x14ac:dyDescent="0.25">
      <c r="A241">
        <v>641</v>
      </c>
      <c r="B241" s="1">
        <v>45289</v>
      </c>
      <c r="C241">
        <v>25</v>
      </c>
      <c r="D241" t="str">
        <f>"1812"</f>
        <v>1812</v>
      </c>
      <c r="E241" t="str">
        <f>"Начисленные комиссионные доходы за агентские услуги"</f>
        <v>Начисленные комиссионные доходы за агентские услуги</v>
      </c>
      <c r="F241" t="str">
        <f>"1"</f>
        <v>1</v>
      </c>
      <c r="G241" t="str">
        <f>""</f>
        <v/>
      </c>
      <c r="H241" t="str">
        <f>"1"</f>
        <v>1</v>
      </c>
      <c r="I241" s="2">
        <v>537456.15</v>
      </c>
    </row>
    <row r="242" spans="1:9" x14ac:dyDescent="0.25">
      <c r="A242">
        <v>495</v>
      </c>
      <c r="B242" s="1">
        <v>45289</v>
      </c>
      <c r="C242">
        <v>25</v>
      </c>
      <c r="D242" t="str">
        <f>"1812"</f>
        <v>1812</v>
      </c>
      <c r="E242" t="str">
        <f>"Начисленные комиссионные доходы за агентские услуги"</f>
        <v>Начисленные комиссионные доходы за агентские услуги</v>
      </c>
      <c r="F242" t="str">
        <f>"2"</f>
        <v>2</v>
      </c>
      <c r="G242" t="str">
        <f>""</f>
        <v/>
      </c>
      <c r="H242" t="str">
        <f>"1"</f>
        <v>1</v>
      </c>
      <c r="I242" s="2">
        <v>3033.71</v>
      </c>
    </row>
    <row r="243" spans="1:9" x14ac:dyDescent="0.25">
      <c r="A243">
        <v>506</v>
      </c>
      <c r="B243" s="1">
        <v>45289</v>
      </c>
      <c r="C243">
        <v>25</v>
      </c>
      <c r="D243" t="str">
        <f>"1814"</f>
        <v>1814</v>
      </c>
      <c r="E243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43" t="str">
        <f t="shared" ref="F243:F252" si="54">"1"</f>
        <v>1</v>
      </c>
      <c r="G243" t="str">
        <f>""</f>
        <v/>
      </c>
      <c r="H243" t="str">
        <f>"1"</f>
        <v>1</v>
      </c>
      <c r="I243" s="2">
        <v>268253.09999999998</v>
      </c>
    </row>
    <row r="244" spans="1:9" x14ac:dyDescent="0.25">
      <c r="A244">
        <v>667</v>
      </c>
      <c r="B244" s="1">
        <v>45289</v>
      </c>
      <c r="C244">
        <v>25</v>
      </c>
      <c r="D244" t="str">
        <f>"1814"</f>
        <v>1814</v>
      </c>
      <c r="E244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44" t="str">
        <f t="shared" si="54"/>
        <v>1</v>
      </c>
      <c r="G244" t="str">
        <f>""</f>
        <v/>
      </c>
      <c r="H244" t="str">
        <f>"2"</f>
        <v>2</v>
      </c>
      <c r="I244" s="2">
        <v>1104911.44</v>
      </c>
    </row>
    <row r="245" spans="1:9" x14ac:dyDescent="0.25">
      <c r="A245">
        <v>265</v>
      </c>
      <c r="B245" s="1">
        <v>45289</v>
      </c>
      <c r="C245">
        <v>25</v>
      </c>
      <c r="D245" t="str">
        <f>"1814"</f>
        <v>1814</v>
      </c>
      <c r="E245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45" t="str">
        <f t="shared" si="54"/>
        <v>1</v>
      </c>
      <c r="G245" t="str">
        <f>""</f>
        <v/>
      </c>
      <c r="H245" t="str">
        <f>"3"</f>
        <v>3</v>
      </c>
      <c r="I245" s="2">
        <v>4762.7299999999996</v>
      </c>
    </row>
    <row r="246" spans="1:9" x14ac:dyDescent="0.25">
      <c r="A246">
        <v>42</v>
      </c>
      <c r="B246" s="1">
        <v>45289</v>
      </c>
      <c r="C246">
        <v>25</v>
      </c>
      <c r="D246" t="str">
        <f>"1815"</f>
        <v>1815</v>
      </c>
      <c r="E246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246" t="str">
        <f t="shared" si="54"/>
        <v>1</v>
      </c>
      <c r="G246" t="str">
        <f>""</f>
        <v/>
      </c>
      <c r="H246" t="str">
        <f>"1"</f>
        <v>1</v>
      </c>
      <c r="I246" s="2">
        <v>140333.29</v>
      </c>
    </row>
    <row r="247" spans="1:9" x14ac:dyDescent="0.25">
      <c r="A247">
        <v>497</v>
      </c>
      <c r="B247" s="1">
        <v>45289</v>
      </c>
      <c r="C247">
        <v>25</v>
      </c>
      <c r="D247" t="str">
        <f>"1816"</f>
        <v>1816</v>
      </c>
      <c r="E24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47" t="str">
        <f t="shared" si="54"/>
        <v>1</v>
      </c>
      <c r="G247" t="str">
        <f>""</f>
        <v/>
      </c>
      <c r="H247" t="str">
        <f>"1"</f>
        <v>1</v>
      </c>
      <c r="I247" s="2">
        <v>58844887.619999997</v>
      </c>
    </row>
    <row r="248" spans="1:9" x14ac:dyDescent="0.25">
      <c r="A248">
        <v>643</v>
      </c>
      <c r="B248" s="1">
        <v>45289</v>
      </c>
      <c r="C248">
        <v>25</v>
      </c>
      <c r="D248" t="str">
        <f>"1816"</f>
        <v>1816</v>
      </c>
      <c r="E24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48" t="str">
        <f t="shared" si="54"/>
        <v>1</v>
      </c>
      <c r="G248" t="str">
        <f>""</f>
        <v/>
      </c>
      <c r="H248" t="str">
        <f>"2"</f>
        <v>2</v>
      </c>
      <c r="I248" s="2">
        <v>17784147.870000001</v>
      </c>
    </row>
    <row r="249" spans="1:9" x14ac:dyDescent="0.25">
      <c r="A249">
        <v>498</v>
      </c>
      <c r="B249" s="1">
        <v>45289</v>
      </c>
      <c r="C249">
        <v>25</v>
      </c>
      <c r="D249" t="str">
        <f>"1816"</f>
        <v>1816</v>
      </c>
      <c r="E24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49" t="str">
        <f t="shared" si="54"/>
        <v>1</v>
      </c>
      <c r="G249" t="str">
        <f>""</f>
        <v/>
      </c>
      <c r="H249" t="str">
        <f>"3"</f>
        <v>3</v>
      </c>
      <c r="I249" s="2">
        <v>102746.08</v>
      </c>
    </row>
    <row r="250" spans="1:9" x14ac:dyDescent="0.25">
      <c r="A250">
        <v>650</v>
      </c>
      <c r="B250" s="1">
        <v>45289</v>
      </c>
      <c r="C250">
        <v>25</v>
      </c>
      <c r="D250" t="str">
        <f t="shared" ref="D250:D255" si="55">"1817"</f>
        <v>1817</v>
      </c>
      <c r="E250" t="str">
        <f t="shared" ref="E250:E255" si="56"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50" t="str">
        <f t="shared" si="54"/>
        <v>1</v>
      </c>
      <c r="G250" t="str">
        <f>""</f>
        <v/>
      </c>
      <c r="H250" t="str">
        <f>"1"</f>
        <v>1</v>
      </c>
      <c r="I250" s="2">
        <v>142042516.47999999</v>
      </c>
    </row>
    <row r="251" spans="1:9" x14ac:dyDescent="0.25">
      <c r="A251">
        <v>649</v>
      </c>
      <c r="B251" s="1">
        <v>45289</v>
      </c>
      <c r="C251">
        <v>25</v>
      </c>
      <c r="D251" t="str">
        <f t="shared" si="55"/>
        <v>1817</v>
      </c>
      <c r="E251" t="str">
        <f t="shared" si="56"/>
        <v>Начисленные комиссионные доходы за услуги по приему вкладов, открытию и ведению банковских счетов клиентов</v>
      </c>
      <c r="F251" t="str">
        <f t="shared" si="54"/>
        <v>1</v>
      </c>
      <c r="G251" t="str">
        <f>""</f>
        <v/>
      </c>
      <c r="H251" t="str">
        <f>"2"</f>
        <v>2</v>
      </c>
      <c r="I251" s="2">
        <v>5810623.3300000001</v>
      </c>
    </row>
    <row r="252" spans="1:9" x14ac:dyDescent="0.25">
      <c r="A252">
        <v>122</v>
      </c>
      <c r="B252" s="1">
        <v>45289</v>
      </c>
      <c r="C252">
        <v>25</v>
      </c>
      <c r="D252" t="str">
        <f t="shared" si="55"/>
        <v>1817</v>
      </c>
      <c r="E252" t="str">
        <f t="shared" si="56"/>
        <v>Начисленные комиссионные доходы за услуги по приему вкладов, открытию и ведению банковских счетов клиентов</v>
      </c>
      <c r="F252" t="str">
        <f t="shared" si="54"/>
        <v>1</v>
      </c>
      <c r="G252" t="str">
        <f>""</f>
        <v/>
      </c>
      <c r="H252" t="str">
        <f>"3"</f>
        <v>3</v>
      </c>
      <c r="I252" s="2">
        <v>107549.75</v>
      </c>
    </row>
    <row r="253" spans="1:9" x14ac:dyDescent="0.25">
      <c r="A253">
        <v>255</v>
      </c>
      <c r="B253" s="1">
        <v>45289</v>
      </c>
      <c r="C253">
        <v>25</v>
      </c>
      <c r="D253" t="str">
        <f t="shared" si="55"/>
        <v>1817</v>
      </c>
      <c r="E253" t="str">
        <f t="shared" si="56"/>
        <v>Начисленные комиссионные доходы за услуги по приему вкладов, открытию и ведению банковских счетов клиентов</v>
      </c>
      <c r="F253" t="str">
        <f>"2"</f>
        <v>2</v>
      </c>
      <c r="G253" t="str">
        <f>""</f>
        <v/>
      </c>
      <c r="H253" t="str">
        <f>"1"</f>
        <v>1</v>
      </c>
      <c r="I253" s="2">
        <v>1896970.72</v>
      </c>
    </row>
    <row r="254" spans="1:9" x14ac:dyDescent="0.25">
      <c r="A254">
        <v>502</v>
      </c>
      <c r="B254" s="1">
        <v>45289</v>
      </c>
      <c r="C254">
        <v>25</v>
      </c>
      <c r="D254" t="str">
        <f t="shared" si="55"/>
        <v>1817</v>
      </c>
      <c r="E254" t="str">
        <f t="shared" si="56"/>
        <v>Начисленные комиссионные доходы за услуги по приему вкладов, открытию и ведению банковских счетов клиентов</v>
      </c>
      <c r="F254" t="str">
        <f>"2"</f>
        <v>2</v>
      </c>
      <c r="G254" t="str">
        <f>""</f>
        <v/>
      </c>
      <c r="H254" t="str">
        <f>"2"</f>
        <v>2</v>
      </c>
      <c r="I254" s="2">
        <v>225415.97</v>
      </c>
    </row>
    <row r="255" spans="1:9" x14ac:dyDescent="0.25">
      <c r="A255">
        <v>256</v>
      </c>
      <c r="B255" s="1">
        <v>45289</v>
      </c>
      <c r="C255">
        <v>25</v>
      </c>
      <c r="D255" t="str">
        <f t="shared" si="55"/>
        <v>1817</v>
      </c>
      <c r="E255" t="str">
        <f t="shared" si="56"/>
        <v>Начисленные комиссионные доходы за услуги по приему вкладов, открытию и ведению банковских счетов клиентов</v>
      </c>
      <c r="F255" t="str">
        <f>"2"</f>
        <v>2</v>
      </c>
      <c r="G255" t="str">
        <f>""</f>
        <v/>
      </c>
      <c r="H255" t="str">
        <f>"3"</f>
        <v>3</v>
      </c>
      <c r="I255" s="2">
        <v>1.06</v>
      </c>
    </row>
    <row r="256" spans="1:9" x14ac:dyDescent="0.25">
      <c r="A256">
        <v>499</v>
      </c>
      <c r="B256" s="1">
        <v>45289</v>
      </c>
      <c r="C256">
        <v>25</v>
      </c>
      <c r="D256" t="str">
        <f>"1818"</f>
        <v>1818</v>
      </c>
      <c r="E256" t="str">
        <f>"Начисленные прочие комиссионные доходы"</f>
        <v>Начисленные прочие комиссионные доходы</v>
      </c>
      <c r="F256" t="str">
        <f>"1"</f>
        <v>1</v>
      </c>
      <c r="G256" t="str">
        <f>""</f>
        <v/>
      </c>
      <c r="H256" t="str">
        <f>"1"</f>
        <v>1</v>
      </c>
      <c r="I256" s="2">
        <v>50369489.710000001</v>
      </c>
    </row>
    <row r="257" spans="1:9" x14ac:dyDescent="0.25">
      <c r="A257">
        <v>646</v>
      </c>
      <c r="B257" s="1">
        <v>45289</v>
      </c>
      <c r="C257">
        <v>25</v>
      </c>
      <c r="D257" t="str">
        <f>"1818"</f>
        <v>1818</v>
      </c>
      <c r="E257" t="str">
        <f>"Начисленные прочие комиссионные доходы"</f>
        <v>Начисленные прочие комиссионные доходы</v>
      </c>
      <c r="F257" t="str">
        <f>"1"</f>
        <v>1</v>
      </c>
      <c r="G257" t="str">
        <f>""</f>
        <v/>
      </c>
      <c r="H257" t="str">
        <f>"3"</f>
        <v>3</v>
      </c>
      <c r="I257" s="2">
        <v>2530</v>
      </c>
    </row>
    <row r="258" spans="1:9" x14ac:dyDescent="0.25">
      <c r="A258">
        <v>251</v>
      </c>
      <c r="B258" s="1">
        <v>45289</v>
      </c>
      <c r="C258">
        <v>25</v>
      </c>
      <c r="D258" t="str">
        <f>"1818"</f>
        <v>1818</v>
      </c>
      <c r="E258" t="str">
        <f>"Начисленные прочие комиссионные доходы"</f>
        <v>Начисленные прочие комиссионные доходы</v>
      </c>
      <c r="F258" t="str">
        <f>"2"</f>
        <v>2</v>
      </c>
      <c r="G258" t="str">
        <f>""</f>
        <v/>
      </c>
      <c r="H258" t="str">
        <f>"1"</f>
        <v>1</v>
      </c>
      <c r="I258" s="2">
        <v>139947.25</v>
      </c>
    </row>
    <row r="259" spans="1:9" x14ac:dyDescent="0.25">
      <c r="A259">
        <v>645</v>
      </c>
      <c r="B259" s="1">
        <v>45289</v>
      </c>
      <c r="C259">
        <v>25</v>
      </c>
      <c r="D259" t="str">
        <f>"1820"</f>
        <v>1820</v>
      </c>
      <c r="E259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59" t="str">
        <f>"1"</f>
        <v>1</v>
      </c>
      <c r="G259" t="str">
        <f>""</f>
        <v/>
      </c>
      <c r="H259" t="str">
        <f>"1"</f>
        <v>1</v>
      </c>
      <c r="I259" s="2">
        <v>4500</v>
      </c>
    </row>
    <row r="260" spans="1:9" x14ac:dyDescent="0.25">
      <c r="A260">
        <v>250</v>
      </c>
      <c r="B260" s="1">
        <v>45289</v>
      </c>
      <c r="C260">
        <v>25</v>
      </c>
      <c r="D260" t="str">
        <f>"1820"</f>
        <v>1820</v>
      </c>
      <c r="E260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60" t="str">
        <f>"2"</f>
        <v>2</v>
      </c>
      <c r="G260" t="str">
        <f>""</f>
        <v/>
      </c>
      <c r="H260" t="str">
        <f>"1"</f>
        <v>1</v>
      </c>
      <c r="I260" s="2">
        <v>98630.63</v>
      </c>
    </row>
    <row r="261" spans="1:9" x14ac:dyDescent="0.25">
      <c r="A261">
        <v>253</v>
      </c>
      <c r="B261" s="1">
        <v>45289</v>
      </c>
      <c r="C261">
        <v>25</v>
      </c>
      <c r="D261" t="str">
        <f>"1821"</f>
        <v>1821</v>
      </c>
      <c r="E26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61" t="str">
        <f>"1"</f>
        <v>1</v>
      </c>
      <c r="G261" t="str">
        <f>""</f>
        <v/>
      </c>
      <c r="H261" t="str">
        <f>"1"</f>
        <v>1</v>
      </c>
      <c r="I261" s="2">
        <v>23983317.109999999</v>
      </c>
    </row>
    <row r="262" spans="1:9" x14ac:dyDescent="0.25">
      <c r="A262">
        <v>501</v>
      </c>
      <c r="B262" s="1">
        <v>45289</v>
      </c>
      <c r="C262">
        <v>25</v>
      </c>
      <c r="D262" t="str">
        <f>"1821"</f>
        <v>1821</v>
      </c>
      <c r="E26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62" t="str">
        <f>"1"</f>
        <v>1</v>
      </c>
      <c r="G262" t="str">
        <f>""</f>
        <v/>
      </c>
      <c r="H262" t="str">
        <f>"2"</f>
        <v>2</v>
      </c>
      <c r="I262" s="2">
        <v>7627576.9000000004</v>
      </c>
    </row>
    <row r="263" spans="1:9" x14ac:dyDescent="0.25">
      <c r="A263">
        <v>121</v>
      </c>
      <c r="B263" s="1">
        <v>45289</v>
      </c>
      <c r="C263">
        <v>25</v>
      </c>
      <c r="D263" t="str">
        <f>"1821"</f>
        <v>1821</v>
      </c>
      <c r="E263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63" t="str">
        <f>"1"</f>
        <v>1</v>
      </c>
      <c r="G263" t="str">
        <f>""</f>
        <v/>
      </c>
      <c r="H263" t="str">
        <f>"3"</f>
        <v>3</v>
      </c>
      <c r="I263" s="2">
        <v>47043.48</v>
      </c>
    </row>
    <row r="264" spans="1:9" x14ac:dyDescent="0.25">
      <c r="A264">
        <v>647</v>
      </c>
      <c r="B264" s="1">
        <v>45289</v>
      </c>
      <c r="C264">
        <v>25</v>
      </c>
      <c r="D264" t="str">
        <f>"1821"</f>
        <v>1821</v>
      </c>
      <c r="E264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64" t="str">
        <f>"2"</f>
        <v>2</v>
      </c>
      <c r="G264" t="str">
        <f>""</f>
        <v/>
      </c>
      <c r="H264" t="str">
        <f>"1"</f>
        <v>1</v>
      </c>
      <c r="I264" s="2">
        <v>170492.28</v>
      </c>
    </row>
    <row r="265" spans="1:9" x14ac:dyDescent="0.25">
      <c r="A265">
        <v>648</v>
      </c>
      <c r="B265" s="1">
        <v>45289</v>
      </c>
      <c r="C265">
        <v>25</v>
      </c>
      <c r="D265" t="str">
        <f>"1821"</f>
        <v>1821</v>
      </c>
      <c r="E265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65" t="str">
        <f>"2"</f>
        <v>2</v>
      </c>
      <c r="G265" t="str">
        <f>""</f>
        <v/>
      </c>
      <c r="H265" t="str">
        <f>"2"</f>
        <v>2</v>
      </c>
      <c r="I265" s="2">
        <v>35273.86</v>
      </c>
    </row>
    <row r="266" spans="1:9" x14ac:dyDescent="0.25">
      <c r="A266">
        <v>653</v>
      </c>
      <c r="B266" s="1">
        <v>45289</v>
      </c>
      <c r="C266">
        <v>25</v>
      </c>
      <c r="D266" t="str">
        <f>"1827"</f>
        <v>1827</v>
      </c>
      <c r="E266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66" t="str">
        <f>"1"</f>
        <v>1</v>
      </c>
      <c r="G266" t="str">
        <f>""</f>
        <v/>
      </c>
      <c r="H266" t="str">
        <f>"1"</f>
        <v>1</v>
      </c>
      <c r="I266" s="2">
        <v>880914.32</v>
      </c>
    </row>
    <row r="267" spans="1:9" x14ac:dyDescent="0.25">
      <c r="A267">
        <v>654</v>
      </c>
      <c r="B267" s="1">
        <v>45289</v>
      </c>
      <c r="C267">
        <v>25</v>
      </c>
      <c r="D267" t="str">
        <f>"1827"</f>
        <v>1827</v>
      </c>
      <c r="E267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67" t="str">
        <f>"1"</f>
        <v>1</v>
      </c>
      <c r="G267" t="str">
        <f>""</f>
        <v/>
      </c>
      <c r="H267" t="str">
        <f>"2"</f>
        <v>2</v>
      </c>
      <c r="I267" s="2">
        <v>1107166.68</v>
      </c>
    </row>
    <row r="268" spans="1:9" x14ac:dyDescent="0.25">
      <c r="A268">
        <v>259</v>
      </c>
      <c r="B268" s="1">
        <v>45289</v>
      </c>
      <c r="C268">
        <v>25</v>
      </c>
      <c r="D268" t="str">
        <f>"1827"</f>
        <v>1827</v>
      </c>
      <c r="E268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68" t="str">
        <f>"1"</f>
        <v>1</v>
      </c>
      <c r="G268" t="str">
        <f>""</f>
        <v/>
      </c>
      <c r="H268" t="str">
        <f>"3"</f>
        <v>3</v>
      </c>
      <c r="I268" s="2">
        <v>3278.88</v>
      </c>
    </row>
    <row r="269" spans="1:9" x14ac:dyDescent="0.25">
      <c r="A269">
        <v>505</v>
      </c>
      <c r="B269" s="1">
        <v>45289</v>
      </c>
      <c r="C269">
        <v>25</v>
      </c>
      <c r="D269" t="str">
        <f>"1831"</f>
        <v>1831</v>
      </c>
      <c r="E26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69" t="str">
        <f>"1"</f>
        <v>1</v>
      </c>
      <c r="G269" t="str">
        <f>""</f>
        <v/>
      </c>
      <c r="H269" t="str">
        <f>"1"</f>
        <v>1</v>
      </c>
      <c r="I269" s="2">
        <v>20595347.109999999</v>
      </c>
    </row>
    <row r="270" spans="1:9" x14ac:dyDescent="0.25">
      <c r="A270">
        <v>40</v>
      </c>
      <c r="B270" s="1">
        <v>45289</v>
      </c>
      <c r="C270">
        <v>25</v>
      </c>
      <c r="D270" t="str">
        <f>"1831"</f>
        <v>1831</v>
      </c>
      <c r="E270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70" t="str">
        <f>"1"</f>
        <v>1</v>
      </c>
      <c r="G270" t="str">
        <f>""</f>
        <v/>
      </c>
      <c r="H270" t="str">
        <f>"3"</f>
        <v>3</v>
      </c>
      <c r="I270" s="2">
        <v>1334934.22</v>
      </c>
    </row>
    <row r="271" spans="1:9" x14ac:dyDescent="0.25">
      <c r="A271">
        <v>504</v>
      </c>
      <c r="B271" s="1">
        <v>45289</v>
      </c>
      <c r="C271">
        <v>25</v>
      </c>
      <c r="D271" t="str">
        <f>"1831"</f>
        <v>1831</v>
      </c>
      <c r="E27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71" t="str">
        <f>"2"</f>
        <v>2</v>
      </c>
      <c r="G271" t="str">
        <f>""</f>
        <v/>
      </c>
      <c r="H271" t="str">
        <f>"1"</f>
        <v>1</v>
      </c>
      <c r="I271" s="2">
        <v>311984.3</v>
      </c>
    </row>
    <row r="272" spans="1:9" x14ac:dyDescent="0.25">
      <c r="A272">
        <v>41</v>
      </c>
      <c r="B272" s="1">
        <v>45289</v>
      </c>
      <c r="C272">
        <v>25</v>
      </c>
      <c r="D272" t="str">
        <f>"1831"</f>
        <v>1831</v>
      </c>
      <c r="E27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72" t="str">
        <f>"2"</f>
        <v>2</v>
      </c>
      <c r="G272" t="str">
        <f>""</f>
        <v/>
      </c>
      <c r="H272" t="str">
        <f>"3"</f>
        <v>3</v>
      </c>
      <c r="I272" s="2">
        <v>196286.21</v>
      </c>
    </row>
    <row r="273" spans="1:9" x14ac:dyDescent="0.25">
      <c r="A273">
        <v>412</v>
      </c>
      <c r="B273" s="1">
        <v>45289</v>
      </c>
      <c r="C273">
        <v>25</v>
      </c>
      <c r="D273" t="str">
        <f>"1834"</f>
        <v>1834</v>
      </c>
      <c r="E273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73" t="str">
        <f t="shared" ref="F273:F279" si="57">"1"</f>
        <v>1</v>
      </c>
      <c r="G273" t="str">
        <f>""</f>
        <v/>
      </c>
      <c r="H273" t="str">
        <f>"1"</f>
        <v>1</v>
      </c>
      <c r="I273" s="2">
        <v>0.12</v>
      </c>
    </row>
    <row r="274" spans="1:9" x14ac:dyDescent="0.25">
      <c r="A274">
        <v>263</v>
      </c>
      <c r="B274" s="1">
        <v>45289</v>
      </c>
      <c r="C274">
        <v>25</v>
      </c>
      <c r="D274" t="str">
        <f>"1834"</f>
        <v>1834</v>
      </c>
      <c r="E274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74" t="str">
        <f t="shared" si="57"/>
        <v>1</v>
      </c>
      <c r="G274" t="str">
        <f>""</f>
        <v/>
      </c>
      <c r="H274" t="str">
        <f>"3"</f>
        <v>3</v>
      </c>
      <c r="I274" s="2">
        <v>238789.2</v>
      </c>
    </row>
    <row r="275" spans="1:9" x14ac:dyDescent="0.25">
      <c r="A275">
        <v>655</v>
      </c>
      <c r="B275" s="1">
        <v>45289</v>
      </c>
      <c r="C275">
        <v>25</v>
      </c>
      <c r="D275" t="str">
        <f>"1836"</f>
        <v>1836</v>
      </c>
      <c r="E275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75" t="str">
        <f t="shared" si="57"/>
        <v>1</v>
      </c>
      <c r="G275" t="str">
        <f>""</f>
        <v/>
      </c>
      <c r="H275" t="str">
        <f>"1"</f>
        <v>1</v>
      </c>
      <c r="I275" s="2">
        <v>47465839.759999998</v>
      </c>
    </row>
    <row r="276" spans="1:9" x14ac:dyDescent="0.25">
      <c r="A276">
        <v>656</v>
      </c>
      <c r="B276" s="1">
        <v>45289</v>
      </c>
      <c r="C276">
        <v>25</v>
      </c>
      <c r="D276" t="str">
        <f>"1836"</f>
        <v>1836</v>
      </c>
      <c r="E276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76" t="str">
        <f t="shared" si="57"/>
        <v>1</v>
      </c>
      <c r="G276" t="str">
        <f>""</f>
        <v/>
      </c>
      <c r="H276" t="str">
        <f>"2"</f>
        <v>2</v>
      </c>
      <c r="I276" s="2">
        <v>2041313.06</v>
      </c>
    </row>
    <row r="277" spans="1:9" x14ac:dyDescent="0.25">
      <c r="A277">
        <v>39</v>
      </c>
      <c r="B277" s="1">
        <v>45289</v>
      </c>
      <c r="C277">
        <v>25</v>
      </c>
      <c r="D277" t="str">
        <f t="shared" ref="D277:D282" si="58">"1837"</f>
        <v>1837</v>
      </c>
      <c r="E277" t="str">
        <f t="shared" ref="E277:E282" si="59"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77" t="str">
        <f t="shared" si="57"/>
        <v>1</v>
      </c>
      <c r="G277" t="str">
        <f>""</f>
        <v/>
      </c>
      <c r="H277" t="str">
        <f>"1"</f>
        <v>1</v>
      </c>
      <c r="I277" s="2">
        <v>654162594.33000004</v>
      </c>
    </row>
    <row r="278" spans="1:9" x14ac:dyDescent="0.25">
      <c r="A278">
        <v>410</v>
      </c>
      <c r="B278" s="1">
        <v>45289</v>
      </c>
      <c r="C278">
        <v>25</v>
      </c>
      <c r="D278" t="str">
        <f t="shared" si="58"/>
        <v>1837</v>
      </c>
      <c r="E278" t="str">
        <f t="shared" si="59"/>
        <v>Просроченные комиссионные доходы за услуги по приему вкладов, открытию и ведению банковских счетов клиентов</v>
      </c>
      <c r="F278" t="str">
        <f t="shared" si="57"/>
        <v>1</v>
      </c>
      <c r="G278" t="str">
        <f>""</f>
        <v/>
      </c>
      <c r="H278" t="str">
        <f>"2"</f>
        <v>2</v>
      </c>
      <c r="I278" s="2">
        <v>11536006.49</v>
      </c>
    </row>
    <row r="279" spans="1:9" x14ac:dyDescent="0.25">
      <c r="A279">
        <v>658</v>
      </c>
      <c r="B279" s="1">
        <v>45289</v>
      </c>
      <c r="C279">
        <v>25</v>
      </c>
      <c r="D279" t="str">
        <f t="shared" si="58"/>
        <v>1837</v>
      </c>
      <c r="E279" t="str">
        <f t="shared" si="59"/>
        <v>Просроченные комиссионные доходы за услуги по приему вкладов, открытию и ведению банковских счетов клиентов</v>
      </c>
      <c r="F279" t="str">
        <f t="shared" si="57"/>
        <v>1</v>
      </c>
      <c r="G279" t="str">
        <f>""</f>
        <v/>
      </c>
      <c r="H279" t="str">
        <f>"3"</f>
        <v>3</v>
      </c>
      <c r="I279" s="2">
        <v>169595.63</v>
      </c>
    </row>
    <row r="280" spans="1:9" x14ac:dyDescent="0.25">
      <c r="A280">
        <v>659</v>
      </c>
      <c r="B280" s="1">
        <v>45289</v>
      </c>
      <c r="C280">
        <v>25</v>
      </c>
      <c r="D280" t="str">
        <f t="shared" si="58"/>
        <v>1837</v>
      </c>
      <c r="E280" t="str">
        <f t="shared" si="59"/>
        <v>Просроченные комиссионные доходы за услуги по приему вкладов, открытию и ведению банковских счетов клиентов</v>
      </c>
      <c r="F280" t="str">
        <f>"2"</f>
        <v>2</v>
      </c>
      <c r="G280" t="str">
        <f>""</f>
        <v/>
      </c>
      <c r="H280" t="str">
        <f>"1"</f>
        <v>1</v>
      </c>
      <c r="I280" s="2">
        <v>10598161.58</v>
      </c>
    </row>
    <row r="281" spans="1:9" x14ac:dyDescent="0.25">
      <c r="A281">
        <v>260</v>
      </c>
      <c r="B281" s="1">
        <v>45289</v>
      </c>
      <c r="C281">
        <v>25</v>
      </c>
      <c r="D281" t="str">
        <f t="shared" si="58"/>
        <v>1837</v>
      </c>
      <c r="E281" t="str">
        <f t="shared" si="59"/>
        <v>Просроченные комиссионные доходы за услуги по приему вкладов, открытию и ведению банковских счетов клиентов</v>
      </c>
      <c r="F281" t="str">
        <f>"2"</f>
        <v>2</v>
      </c>
      <c r="G281" t="str">
        <f>""</f>
        <v/>
      </c>
      <c r="H281" t="str">
        <f>"2"</f>
        <v>2</v>
      </c>
      <c r="I281" s="2">
        <v>946675.18</v>
      </c>
    </row>
    <row r="282" spans="1:9" x14ac:dyDescent="0.25">
      <c r="A282">
        <v>657</v>
      </c>
      <c r="B282" s="1">
        <v>45289</v>
      </c>
      <c r="C282">
        <v>25</v>
      </c>
      <c r="D282" t="str">
        <f t="shared" si="58"/>
        <v>1837</v>
      </c>
      <c r="E282" t="str">
        <f t="shared" si="59"/>
        <v>Просроченные комиссионные доходы за услуги по приему вкладов, открытию и ведению банковских счетов клиентов</v>
      </c>
      <c r="F282" t="str">
        <f>"2"</f>
        <v>2</v>
      </c>
      <c r="G282" t="str">
        <f>""</f>
        <v/>
      </c>
      <c r="H282" t="str">
        <f>"3"</f>
        <v>3</v>
      </c>
      <c r="I282" s="2">
        <v>1.42</v>
      </c>
    </row>
    <row r="283" spans="1:9" x14ac:dyDescent="0.25">
      <c r="A283">
        <v>662</v>
      </c>
      <c r="B283" s="1">
        <v>45289</v>
      </c>
      <c r="C283">
        <v>25</v>
      </c>
      <c r="D283" t="str">
        <f>"1838"</f>
        <v>1838</v>
      </c>
      <c r="E283" t="str">
        <f>"Просроченные прочие комиссионные доходы"</f>
        <v>Просроченные прочие комиссионные доходы</v>
      </c>
      <c r="F283" t="str">
        <f>"1"</f>
        <v>1</v>
      </c>
      <c r="G283" t="str">
        <f>""</f>
        <v/>
      </c>
      <c r="H283" t="str">
        <f>"1"</f>
        <v>1</v>
      </c>
      <c r="I283" s="2">
        <v>38931932.859999999</v>
      </c>
    </row>
    <row r="284" spans="1:9" x14ac:dyDescent="0.25">
      <c r="A284">
        <v>262</v>
      </c>
      <c r="B284" s="1">
        <v>45289</v>
      </c>
      <c r="C284">
        <v>25</v>
      </c>
      <c r="D284" t="str">
        <f>"1838"</f>
        <v>1838</v>
      </c>
      <c r="E284" t="str">
        <f>"Просроченные прочие комиссионные доходы"</f>
        <v>Просроченные прочие комиссионные доходы</v>
      </c>
      <c r="F284" t="str">
        <f>"1"</f>
        <v>1</v>
      </c>
      <c r="G284" t="str">
        <f>""</f>
        <v/>
      </c>
      <c r="H284" t="str">
        <f>"2"</f>
        <v>2</v>
      </c>
      <c r="I284" s="2">
        <v>98290113.370000005</v>
      </c>
    </row>
    <row r="285" spans="1:9" x14ac:dyDescent="0.25">
      <c r="A285">
        <v>663</v>
      </c>
      <c r="B285" s="1">
        <v>45289</v>
      </c>
      <c r="C285">
        <v>25</v>
      </c>
      <c r="D285" t="str">
        <f>"1838"</f>
        <v>1838</v>
      </c>
      <c r="E285" t="str">
        <f>"Просроченные прочие комиссионные доходы"</f>
        <v>Просроченные прочие комиссионные доходы</v>
      </c>
      <c r="F285" t="str">
        <f>"1"</f>
        <v>1</v>
      </c>
      <c r="G285" t="str">
        <f>""</f>
        <v/>
      </c>
      <c r="H285" t="str">
        <f>"3"</f>
        <v>3</v>
      </c>
      <c r="I285" s="2">
        <v>67.2</v>
      </c>
    </row>
    <row r="286" spans="1:9" x14ac:dyDescent="0.25">
      <c r="A286">
        <v>127</v>
      </c>
      <c r="B286" s="1">
        <v>45289</v>
      </c>
      <c r="C286">
        <v>25</v>
      </c>
      <c r="D286" t="str">
        <f>"1838"</f>
        <v>1838</v>
      </c>
      <c r="E286" t="str">
        <f>"Просроченные прочие комиссионные доходы"</f>
        <v>Просроченные прочие комиссионные доходы</v>
      </c>
      <c r="F286" t="str">
        <f>"2"</f>
        <v>2</v>
      </c>
      <c r="G286" t="str">
        <f>""</f>
        <v/>
      </c>
      <c r="H286" t="str">
        <f>"1"</f>
        <v>1</v>
      </c>
      <c r="I286" s="2">
        <v>169705.36</v>
      </c>
    </row>
    <row r="287" spans="1:9" x14ac:dyDescent="0.25">
      <c r="A287">
        <v>665</v>
      </c>
      <c r="B287" s="1">
        <v>45289</v>
      </c>
      <c r="C287">
        <v>25</v>
      </c>
      <c r="D287" t="str">
        <f>"1840"</f>
        <v>1840</v>
      </c>
      <c r="E287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87" t="str">
        <f>"1"</f>
        <v>1</v>
      </c>
      <c r="G287" t="str">
        <f>""</f>
        <v/>
      </c>
      <c r="H287" t="str">
        <f>"1"</f>
        <v>1</v>
      </c>
      <c r="I287" s="2">
        <v>795334.68</v>
      </c>
    </row>
    <row r="288" spans="1:9" x14ac:dyDescent="0.25">
      <c r="A288">
        <v>664</v>
      </c>
      <c r="B288" s="1">
        <v>45289</v>
      </c>
      <c r="C288">
        <v>25</v>
      </c>
      <c r="D288" t="str">
        <f>"1840"</f>
        <v>1840</v>
      </c>
      <c r="E288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88" t="str">
        <f>"1"</f>
        <v>1</v>
      </c>
      <c r="G288" t="str">
        <f>""</f>
        <v/>
      </c>
      <c r="H288" t="str">
        <f>"3"</f>
        <v>3</v>
      </c>
      <c r="I288" s="2">
        <v>9229.75</v>
      </c>
    </row>
    <row r="289" spans="1:9" x14ac:dyDescent="0.25">
      <c r="A289">
        <v>666</v>
      </c>
      <c r="B289" s="1">
        <v>45289</v>
      </c>
      <c r="C289">
        <v>25</v>
      </c>
      <c r="D289" t="str">
        <f>"1841"</f>
        <v>1841</v>
      </c>
      <c r="E289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89" t="str">
        <f>"1"</f>
        <v>1</v>
      </c>
      <c r="G289" t="str">
        <f>""</f>
        <v/>
      </c>
      <c r="H289" t="str">
        <f>"1"</f>
        <v>1</v>
      </c>
      <c r="I289" s="2">
        <v>1667923.04</v>
      </c>
    </row>
    <row r="290" spans="1:9" x14ac:dyDescent="0.25">
      <c r="A290">
        <v>128</v>
      </c>
      <c r="B290" s="1">
        <v>45289</v>
      </c>
      <c r="C290">
        <v>25</v>
      </c>
      <c r="D290" t="str">
        <f>"1841"</f>
        <v>1841</v>
      </c>
      <c r="E290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90" t="str">
        <f>"1"</f>
        <v>1</v>
      </c>
      <c r="G290" t="str">
        <f>""</f>
        <v/>
      </c>
      <c r="H290" t="str">
        <f>"3"</f>
        <v>3</v>
      </c>
      <c r="I290" s="2">
        <v>1175601.83</v>
      </c>
    </row>
    <row r="291" spans="1:9" x14ac:dyDescent="0.25">
      <c r="A291">
        <v>264</v>
      </c>
      <c r="B291" s="1">
        <v>45289</v>
      </c>
      <c r="C291">
        <v>25</v>
      </c>
      <c r="D291" t="str">
        <f>"1841"</f>
        <v>1841</v>
      </c>
      <c r="E29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91" t="str">
        <f>"2"</f>
        <v>2</v>
      </c>
      <c r="G291" t="str">
        <f>""</f>
        <v/>
      </c>
      <c r="H291" t="str">
        <f>"1"</f>
        <v>1</v>
      </c>
      <c r="I291" s="2">
        <v>60435.839999999997</v>
      </c>
    </row>
    <row r="292" spans="1:9" x14ac:dyDescent="0.25">
      <c r="A292">
        <v>261</v>
      </c>
      <c r="B292" s="1">
        <v>45289</v>
      </c>
      <c r="C292">
        <v>25</v>
      </c>
      <c r="D292" t="str">
        <f>"1844"</f>
        <v>1844</v>
      </c>
      <c r="E292" t="str">
        <f>"Просроченные комиссионные доходы за услуги по факторинговым операциям"</f>
        <v>Просроченные комиссионные доходы за услуги по факторинговым операциям</v>
      </c>
      <c r="F292" t="str">
        <f>"1"</f>
        <v>1</v>
      </c>
      <c r="G292" t="str">
        <f>""</f>
        <v/>
      </c>
      <c r="H292" t="str">
        <f>"1"</f>
        <v>1</v>
      </c>
      <c r="I292" s="2">
        <v>7911.26</v>
      </c>
    </row>
    <row r="293" spans="1:9" x14ac:dyDescent="0.25">
      <c r="A293">
        <v>125</v>
      </c>
      <c r="B293" s="1">
        <v>45289</v>
      </c>
      <c r="C293">
        <v>25</v>
      </c>
      <c r="D293" t="str">
        <f>"1845"</f>
        <v>1845</v>
      </c>
      <c r="E29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3" t="str">
        <f>"1"</f>
        <v>1</v>
      </c>
      <c r="G293" t="str">
        <f>""</f>
        <v/>
      </c>
      <c r="H293" t="str">
        <f>"1"</f>
        <v>1</v>
      </c>
      <c r="I293" s="2">
        <v>-1061179259.92</v>
      </c>
    </row>
    <row r="294" spans="1:9" x14ac:dyDescent="0.25">
      <c r="A294">
        <v>411</v>
      </c>
      <c r="B294" s="1">
        <v>45289</v>
      </c>
      <c r="C294">
        <v>25</v>
      </c>
      <c r="D294" t="str">
        <f>"1845"</f>
        <v>1845</v>
      </c>
      <c r="E29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4" t="str">
        <f>"1"</f>
        <v>1</v>
      </c>
      <c r="G294" t="str">
        <f>""</f>
        <v/>
      </c>
      <c r="H294" t="str">
        <f>"2"</f>
        <v>2</v>
      </c>
      <c r="I294" s="2">
        <v>-14648925.9</v>
      </c>
    </row>
    <row r="295" spans="1:9" x14ac:dyDescent="0.25">
      <c r="A295">
        <v>660</v>
      </c>
      <c r="B295" s="1">
        <v>45289</v>
      </c>
      <c r="C295">
        <v>25</v>
      </c>
      <c r="D295" t="str">
        <f>"1845"</f>
        <v>1845</v>
      </c>
      <c r="E295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5" t="str">
        <f>"2"</f>
        <v>2</v>
      </c>
      <c r="G295" t="str">
        <f>""</f>
        <v/>
      </c>
      <c r="H295" t="str">
        <f>"1"</f>
        <v>1</v>
      </c>
      <c r="I295" s="2">
        <v>-2313040.5099999998</v>
      </c>
    </row>
    <row r="296" spans="1:9" x14ac:dyDescent="0.25">
      <c r="A296">
        <v>661</v>
      </c>
      <c r="B296" s="1">
        <v>45289</v>
      </c>
      <c r="C296">
        <v>25</v>
      </c>
      <c r="D296" t="str">
        <f>"1845"</f>
        <v>1845</v>
      </c>
      <c r="E296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6" t="str">
        <f>"2"</f>
        <v>2</v>
      </c>
      <c r="G296" t="str">
        <f>""</f>
        <v/>
      </c>
      <c r="H296" t="str">
        <f>"2"</f>
        <v>2</v>
      </c>
      <c r="I296" s="2">
        <v>-66602.13</v>
      </c>
    </row>
    <row r="297" spans="1:9" x14ac:dyDescent="0.25">
      <c r="A297">
        <v>126</v>
      </c>
      <c r="B297" s="1">
        <v>45289</v>
      </c>
      <c r="C297">
        <v>25</v>
      </c>
      <c r="D297" t="str">
        <f>"1851"</f>
        <v>1851</v>
      </c>
      <c r="E29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97" t="str">
        <f>"1"</f>
        <v>1</v>
      </c>
      <c r="G297" t="str">
        <f>"1"</f>
        <v>1</v>
      </c>
      <c r="H297" t="str">
        <f>"1"</f>
        <v>1</v>
      </c>
      <c r="I297" s="2">
        <v>1821576161.47</v>
      </c>
    </row>
    <row r="298" spans="1:9" x14ac:dyDescent="0.25">
      <c r="A298">
        <v>509</v>
      </c>
      <c r="B298" s="1">
        <v>45289</v>
      </c>
      <c r="C298">
        <v>25</v>
      </c>
      <c r="D298" t="str">
        <f>"1854"</f>
        <v>1854</v>
      </c>
      <c r="E298" t="str">
        <f>"Расчеты с работниками"</f>
        <v>Расчеты с работниками</v>
      </c>
      <c r="F298" t="str">
        <f>""</f>
        <v/>
      </c>
      <c r="G298" t="str">
        <f>""</f>
        <v/>
      </c>
      <c r="H298" t="str">
        <f>""</f>
        <v/>
      </c>
      <c r="I298" s="2">
        <v>121633663.42</v>
      </c>
    </row>
    <row r="299" spans="1:9" x14ac:dyDescent="0.25">
      <c r="A299">
        <v>514</v>
      </c>
      <c r="B299" s="1">
        <v>45289</v>
      </c>
      <c r="C299">
        <v>25</v>
      </c>
      <c r="D299" t="str">
        <f>"1856"</f>
        <v>1856</v>
      </c>
      <c r="E299" t="str">
        <f>"Дебиторы по капитальным вложениям"</f>
        <v>Дебиторы по капитальным вложениям</v>
      </c>
      <c r="F299" t="str">
        <f>"1"</f>
        <v>1</v>
      </c>
      <c r="G299" t="str">
        <f>"1"</f>
        <v>1</v>
      </c>
      <c r="H299" t="str">
        <f>"1"</f>
        <v>1</v>
      </c>
      <c r="I299" s="2">
        <v>409270.34</v>
      </c>
    </row>
    <row r="300" spans="1:9" x14ac:dyDescent="0.25">
      <c r="A300">
        <v>513</v>
      </c>
      <c r="B300" s="1">
        <v>45289</v>
      </c>
      <c r="C300">
        <v>25</v>
      </c>
      <c r="D300" t="str">
        <f>"1856"</f>
        <v>1856</v>
      </c>
      <c r="E300" t="str">
        <f>"Дебиторы по капитальным вложениям"</f>
        <v>Дебиторы по капитальным вложениям</v>
      </c>
      <c r="F300" t="str">
        <f>"1"</f>
        <v>1</v>
      </c>
      <c r="G300" t="str">
        <f>"4"</f>
        <v>4</v>
      </c>
      <c r="H300" t="str">
        <f>"1"</f>
        <v>1</v>
      </c>
      <c r="I300" s="2">
        <v>49250.25</v>
      </c>
    </row>
    <row r="301" spans="1:9" x14ac:dyDescent="0.25">
      <c r="A301">
        <v>681</v>
      </c>
      <c r="B301" s="1">
        <v>45289</v>
      </c>
      <c r="C301">
        <v>25</v>
      </c>
      <c r="D301" t="str">
        <f>"1856"</f>
        <v>1856</v>
      </c>
      <c r="E301" t="str">
        <f>"Дебиторы по капитальным вложениям"</f>
        <v>Дебиторы по капитальным вложениям</v>
      </c>
      <c r="F301" t="str">
        <f>"1"</f>
        <v>1</v>
      </c>
      <c r="G301" t="str">
        <f>"7"</f>
        <v>7</v>
      </c>
      <c r="H301" t="str">
        <f>"1"</f>
        <v>1</v>
      </c>
      <c r="I301" s="2">
        <v>228172465.36000001</v>
      </c>
    </row>
    <row r="302" spans="1:9" x14ac:dyDescent="0.25">
      <c r="A302">
        <v>680</v>
      </c>
      <c r="B302" s="1">
        <v>45289</v>
      </c>
      <c r="C302">
        <v>25</v>
      </c>
      <c r="D302" t="str">
        <f>"1856"</f>
        <v>1856</v>
      </c>
      <c r="E302" t="str">
        <f>"Дебиторы по капитальным вложениям"</f>
        <v>Дебиторы по капитальным вложениям</v>
      </c>
      <c r="F302" t="str">
        <f>"2"</f>
        <v>2</v>
      </c>
      <c r="G302" t="str">
        <f>"7"</f>
        <v>7</v>
      </c>
      <c r="H302" t="str">
        <f>"1"</f>
        <v>1</v>
      </c>
      <c r="I302" s="2">
        <v>28942190.109999999</v>
      </c>
    </row>
    <row r="303" spans="1:9" x14ac:dyDescent="0.25">
      <c r="A303">
        <v>129</v>
      </c>
      <c r="B303" s="1">
        <v>45289</v>
      </c>
      <c r="C303">
        <v>25</v>
      </c>
      <c r="D303" t="str">
        <f t="shared" ref="D303:D313" si="60">"1860"</f>
        <v>1860</v>
      </c>
      <c r="E303" t="str">
        <f t="shared" ref="E303:E313" si="61">"Прочие дебиторы по банковской деятельности"</f>
        <v>Прочие дебиторы по банковской деятельности</v>
      </c>
      <c r="F303" t="str">
        <f t="shared" ref="F303:F310" si="62">"1"</f>
        <v>1</v>
      </c>
      <c r="G303" t="str">
        <f>"4"</f>
        <v>4</v>
      </c>
      <c r="H303" t="str">
        <f>"1"</f>
        <v>1</v>
      </c>
      <c r="I303" s="2">
        <v>1610386357.9200001</v>
      </c>
    </row>
    <row r="304" spans="1:9" x14ac:dyDescent="0.25">
      <c r="A304">
        <v>45</v>
      </c>
      <c r="B304" s="1">
        <v>45289</v>
      </c>
      <c r="C304">
        <v>25</v>
      </c>
      <c r="D304" t="str">
        <f t="shared" si="60"/>
        <v>1860</v>
      </c>
      <c r="E304" t="str">
        <f t="shared" si="61"/>
        <v>Прочие дебиторы по банковской деятельности</v>
      </c>
      <c r="F304" t="str">
        <f t="shared" si="62"/>
        <v>1</v>
      </c>
      <c r="G304" t="str">
        <f>"4"</f>
        <v>4</v>
      </c>
      <c r="H304" t="str">
        <f>"2"</f>
        <v>2</v>
      </c>
      <c r="I304" s="2">
        <v>65592189.799999997</v>
      </c>
    </row>
    <row r="305" spans="1:9" x14ac:dyDescent="0.25">
      <c r="A305">
        <v>418</v>
      </c>
      <c r="B305" s="1">
        <v>45289</v>
      </c>
      <c r="C305">
        <v>25</v>
      </c>
      <c r="D305" t="str">
        <f t="shared" si="60"/>
        <v>1860</v>
      </c>
      <c r="E305" t="str">
        <f t="shared" si="61"/>
        <v>Прочие дебиторы по банковской деятельности</v>
      </c>
      <c r="F305" t="str">
        <f t="shared" si="62"/>
        <v>1</v>
      </c>
      <c r="G305" t="str">
        <f>"5"</f>
        <v>5</v>
      </c>
      <c r="H305" t="str">
        <f>"1"</f>
        <v>1</v>
      </c>
      <c r="I305" s="2">
        <v>20059519</v>
      </c>
    </row>
    <row r="306" spans="1:9" x14ac:dyDescent="0.25">
      <c r="A306">
        <v>508</v>
      </c>
      <c r="B306" s="1">
        <v>45289</v>
      </c>
      <c r="C306">
        <v>25</v>
      </c>
      <c r="D306" t="str">
        <f t="shared" si="60"/>
        <v>1860</v>
      </c>
      <c r="E306" t="str">
        <f t="shared" si="61"/>
        <v>Прочие дебиторы по банковской деятельности</v>
      </c>
      <c r="F306" t="str">
        <f t="shared" si="62"/>
        <v>1</v>
      </c>
      <c r="G306" t="str">
        <f>"5"</f>
        <v>5</v>
      </c>
      <c r="H306" t="str">
        <f>"2"</f>
        <v>2</v>
      </c>
      <c r="I306" s="2">
        <v>9091200000</v>
      </c>
    </row>
    <row r="307" spans="1:9" x14ac:dyDescent="0.25">
      <c r="A307">
        <v>417</v>
      </c>
      <c r="B307" s="1">
        <v>45289</v>
      </c>
      <c r="C307">
        <v>25</v>
      </c>
      <c r="D307" t="str">
        <f t="shared" si="60"/>
        <v>1860</v>
      </c>
      <c r="E307" t="str">
        <f t="shared" si="61"/>
        <v>Прочие дебиторы по банковской деятельности</v>
      </c>
      <c r="F307" t="str">
        <f t="shared" si="62"/>
        <v>1</v>
      </c>
      <c r="G307" t="str">
        <f>"6"</f>
        <v>6</v>
      </c>
      <c r="H307" t="str">
        <f>"1"</f>
        <v>1</v>
      </c>
      <c r="I307" s="2">
        <v>226030.75</v>
      </c>
    </row>
    <row r="308" spans="1:9" x14ac:dyDescent="0.25">
      <c r="A308">
        <v>416</v>
      </c>
      <c r="B308" s="1">
        <v>45289</v>
      </c>
      <c r="C308">
        <v>25</v>
      </c>
      <c r="D308" t="str">
        <f t="shared" si="60"/>
        <v>1860</v>
      </c>
      <c r="E308" t="str">
        <f t="shared" si="61"/>
        <v>Прочие дебиторы по банковской деятельности</v>
      </c>
      <c r="F308" t="str">
        <f t="shared" si="62"/>
        <v>1</v>
      </c>
      <c r="G308" t="str">
        <f>"7"</f>
        <v>7</v>
      </c>
      <c r="H308" t="str">
        <f>"1"</f>
        <v>1</v>
      </c>
      <c r="I308" s="2">
        <v>1437656802.27</v>
      </c>
    </row>
    <row r="309" spans="1:9" x14ac:dyDescent="0.25">
      <c r="A309">
        <v>673</v>
      </c>
      <c r="B309" s="1">
        <v>45289</v>
      </c>
      <c r="C309">
        <v>25</v>
      </c>
      <c r="D309" t="str">
        <f t="shared" si="60"/>
        <v>1860</v>
      </c>
      <c r="E309" t="str">
        <f t="shared" si="61"/>
        <v>Прочие дебиторы по банковской деятельности</v>
      </c>
      <c r="F309" t="str">
        <f t="shared" si="62"/>
        <v>1</v>
      </c>
      <c r="G309" t="str">
        <f>"9"</f>
        <v>9</v>
      </c>
      <c r="H309" t="str">
        <f>"1"</f>
        <v>1</v>
      </c>
      <c r="I309" s="2">
        <v>960196549.25999999</v>
      </c>
    </row>
    <row r="310" spans="1:9" x14ac:dyDescent="0.25">
      <c r="A310">
        <v>270</v>
      </c>
      <c r="B310" s="1">
        <v>45289</v>
      </c>
      <c r="C310">
        <v>25</v>
      </c>
      <c r="D310" t="str">
        <f t="shared" si="60"/>
        <v>1860</v>
      </c>
      <c r="E310" t="str">
        <f t="shared" si="61"/>
        <v>Прочие дебиторы по банковской деятельности</v>
      </c>
      <c r="F310" t="str">
        <f t="shared" si="62"/>
        <v>1</v>
      </c>
      <c r="G310" t="str">
        <f>"9"</f>
        <v>9</v>
      </c>
      <c r="H310" t="str">
        <f>"2"</f>
        <v>2</v>
      </c>
      <c r="I310" s="2">
        <v>596441581.96000004</v>
      </c>
    </row>
    <row r="311" spans="1:9" x14ac:dyDescent="0.25">
      <c r="A311">
        <v>271</v>
      </c>
      <c r="B311" s="1">
        <v>45289</v>
      </c>
      <c r="C311">
        <v>25</v>
      </c>
      <c r="D311" t="str">
        <f t="shared" si="60"/>
        <v>1860</v>
      </c>
      <c r="E311" t="str">
        <f t="shared" si="61"/>
        <v>Прочие дебиторы по банковской деятельности</v>
      </c>
      <c r="F311" t="str">
        <f>"2"</f>
        <v>2</v>
      </c>
      <c r="G311" t="str">
        <f>"4"</f>
        <v>4</v>
      </c>
      <c r="H311" t="str">
        <f>"2"</f>
        <v>2</v>
      </c>
      <c r="I311" s="2">
        <v>159096000</v>
      </c>
    </row>
    <row r="312" spans="1:9" x14ac:dyDescent="0.25">
      <c r="A312">
        <v>672</v>
      </c>
      <c r="B312" s="1">
        <v>45289</v>
      </c>
      <c r="C312">
        <v>25</v>
      </c>
      <c r="D312" t="str">
        <f t="shared" si="60"/>
        <v>1860</v>
      </c>
      <c r="E312" t="str">
        <f t="shared" si="61"/>
        <v>Прочие дебиторы по банковской деятельности</v>
      </c>
      <c r="F312" t="str">
        <f>"2"</f>
        <v>2</v>
      </c>
      <c r="G312" t="str">
        <f>"9"</f>
        <v>9</v>
      </c>
      <c r="H312" t="str">
        <f>"1"</f>
        <v>1</v>
      </c>
      <c r="I312" s="2">
        <v>264726.76</v>
      </c>
    </row>
    <row r="313" spans="1:9" x14ac:dyDescent="0.25">
      <c r="A313">
        <v>130</v>
      </c>
      <c r="B313" s="1">
        <v>45289</v>
      </c>
      <c r="C313">
        <v>25</v>
      </c>
      <c r="D313" t="str">
        <f t="shared" si="60"/>
        <v>1860</v>
      </c>
      <c r="E313" t="str">
        <f t="shared" si="61"/>
        <v>Прочие дебиторы по банковской деятельности</v>
      </c>
      <c r="F313" t="str">
        <f>"2"</f>
        <v>2</v>
      </c>
      <c r="G313" t="str">
        <f>"9"</f>
        <v>9</v>
      </c>
      <c r="H313" t="str">
        <f>"2"</f>
        <v>2</v>
      </c>
      <c r="I313" s="2">
        <v>155859.53</v>
      </c>
    </row>
    <row r="314" spans="1:9" x14ac:dyDescent="0.25">
      <c r="A314">
        <v>669</v>
      </c>
      <c r="B314" s="1">
        <v>45289</v>
      </c>
      <c r="C314">
        <v>25</v>
      </c>
      <c r="D314" t="str">
        <f>"1861"</f>
        <v>1861</v>
      </c>
      <c r="E314" t="str">
        <f>"Дебиторы по гарантиям"</f>
        <v>Дебиторы по гарантиям</v>
      </c>
      <c r="F314" t="str">
        <f t="shared" ref="F314:F320" si="63">"1"</f>
        <v>1</v>
      </c>
      <c r="G314" t="str">
        <f>"7"</f>
        <v>7</v>
      </c>
      <c r="H314" t="str">
        <f t="shared" ref="H314:H322" si="64">"1"</f>
        <v>1</v>
      </c>
      <c r="I314" s="2">
        <v>107735013.97</v>
      </c>
    </row>
    <row r="315" spans="1:9" x14ac:dyDescent="0.25">
      <c r="A315">
        <v>273</v>
      </c>
      <c r="B315" s="1">
        <v>45289</v>
      </c>
      <c r="C315">
        <v>25</v>
      </c>
      <c r="D315" t="str">
        <f t="shared" ref="D315:D321" si="65">"1867"</f>
        <v>1867</v>
      </c>
      <c r="E315" t="str">
        <f t="shared" ref="E315:E321" si="66">"Прочие дебиторы по неосновной деятельности"</f>
        <v>Прочие дебиторы по неосновной деятельности</v>
      </c>
      <c r="F315" t="str">
        <f t="shared" si="63"/>
        <v>1</v>
      </c>
      <c r="G315" t="str">
        <f>"1"</f>
        <v>1</v>
      </c>
      <c r="H315" t="str">
        <f t="shared" si="64"/>
        <v>1</v>
      </c>
      <c r="I315" s="2">
        <v>194963.18</v>
      </c>
    </row>
    <row r="316" spans="1:9" x14ac:dyDescent="0.25">
      <c r="A316">
        <v>421</v>
      </c>
      <c r="B316" s="1">
        <v>45289</v>
      </c>
      <c r="C316">
        <v>25</v>
      </c>
      <c r="D316" t="str">
        <f t="shared" si="65"/>
        <v>1867</v>
      </c>
      <c r="E316" t="str">
        <f t="shared" si="66"/>
        <v>Прочие дебиторы по неосновной деятельности</v>
      </c>
      <c r="F316" t="str">
        <f t="shared" si="63"/>
        <v>1</v>
      </c>
      <c r="G316" t="str">
        <f>"4"</f>
        <v>4</v>
      </c>
      <c r="H316" t="str">
        <f t="shared" si="64"/>
        <v>1</v>
      </c>
      <c r="I316" s="2">
        <v>656678.40000000002</v>
      </c>
    </row>
    <row r="317" spans="1:9" x14ac:dyDescent="0.25">
      <c r="A317">
        <v>420</v>
      </c>
      <c r="B317" s="1">
        <v>45289</v>
      </c>
      <c r="C317">
        <v>25</v>
      </c>
      <c r="D317" t="str">
        <f t="shared" si="65"/>
        <v>1867</v>
      </c>
      <c r="E317" t="str">
        <f t="shared" si="66"/>
        <v>Прочие дебиторы по неосновной деятельности</v>
      </c>
      <c r="F317" t="str">
        <f t="shared" si="63"/>
        <v>1</v>
      </c>
      <c r="G317" t="str">
        <f>"5"</f>
        <v>5</v>
      </c>
      <c r="H317" t="str">
        <f t="shared" si="64"/>
        <v>1</v>
      </c>
      <c r="I317" s="2">
        <v>3470433</v>
      </c>
    </row>
    <row r="318" spans="1:9" x14ac:dyDescent="0.25">
      <c r="A318">
        <v>48</v>
      </c>
      <c r="B318" s="1">
        <v>45289</v>
      </c>
      <c r="C318">
        <v>25</v>
      </c>
      <c r="D318" t="str">
        <f t="shared" si="65"/>
        <v>1867</v>
      </c>
      <c r="E318" t="str">
        <f t="shared" si="66"/>
        <v>Прочие дебиторы по неосновной деятельности</v>
      </c>
      <c r="F318" t="str">
        <f t="shared" si="63"/>
        <v>1</v>
      </c>
      <c r="G318" t="str">
        <f>"6"</f>
        <v>6</v>
      </c>
      <c r="H318" t="str">
        <f t="shared" si="64"/>
        <v>1</v>
      </c>
      <c r="I318" s="2">
        <v>445757.99</v>
      </c>
    </row>
    <row r="319" spans="1:9" x14ac:dyDescent="0.25">
      <c r="A319">
        <v>47</v>
      </c>
      <c r="B319" s="1">
        <v>45289</v>
      </c>
      <c r="C319">
        <v>25</v>
      </c>
      <c r="D319" t="str">
        <f t="shared" si="65"/>
        <v>1867</v>
      </c>
      <c r="E319" t="str">
        <f t="shared" si="66"/>
        <v>Прочие дебиторы по неосновной деятельности</v>
      </c>
      <c r="F319" t="str">
        <f t="shared" si="63"/>
        <v>1</v>
      </c>
      <c r="G319" t="str">
        <f>"7"</f>
        <v>7</v>
      </c>
      <c r="H319" t="str">
        <f t="shared" si="64"/>
        <v>1</v>
      </c>
      <c r="I319" s="2">
        <v>7507484492.8400002</v>
      </c>
    </row>
    <row r="320" spans="1:9" x14ac:dyDescent="0.25">
      <c r="A320">
        <v>679</v>
      </c>
      <c r="B320" s="1">
        <v>45289</v>
      </c>
      <c r="C320">
        <v>25</v>
      </c>
      <c r="D320" t="str">
        <f t="shared" si="65"/>
        <v>1867</v>
      </c>
      <c r="E320" t="str">
        <f t="shared" si="66"/>
        <v>Прочие дебиторы по неосновной деятельности</v>
      </c>
      <c r="F320" t="str">
        <f t="shared" si="63"/>
        <v>1</v>
      </c>
      <c r="G320" t="str">
        <f>"9"</f>
        <v>9</v>
      </c>
      <c r="H320" t="str">
        <f t="shared" si="64"/>
        <v>1</v>
      </c>
      <c r="I320" s="2">
        <v>785564109.09000003</v>
      </c>
    </row>
    <row r="321" spans="1:9" x14ac:dyDescent="0.25">
      <c r="A321">
        <v>678</v>
      </c>
      <c r="B321" s="1">
        <v>45289</v>
      </c>
      <c r="C321">
        <v>25</v>
      </c>
      <c r="D321" t="str">
        <f t="shared" si="65"/>
        <v>1867</v>
      </c>
      <c r="E321" t="str">
        <f t="shared" si="66"/>
        <v>Прочие дебиторы по неосновной деятельности</v>
      </c>
      <c r="F321" t="str">
        <f>"2"</f>
        <v>2</v>
      </c>
      <c r="G321" t="str">
        <f>"7"</f>
        <v>7</v>
      </c>
      <c r="H321" t="str">
        <f t="shared" si="64"/>
        <v>1</v>
      </c>
      <c r="I321" s="2">
        <v>276836310.82999998</v>
      </c>
    </row>
    <row r="322" spans="1:9" x14ac:dyDescent="0.25">
      <c r="A322">
        <v>515</v>
      </c>
      <c r="B322" s="1">
        <v>45289</v>
      </c>
      <c r="C322">
        <v>25</v>
      </c>
      <c r="D322" t="str">
        <f>"1870"</f>
        <v>1870</v>
      </c>
      <c r="E322" t="str">
        <f>"Прочие транзитные счета"</f>
        <v>Прочие транзитные счета</v>
      </c>
      <c r="F322" t="str">
        <f t="shared" ref="F322:F333" si="67">"1"</f>
        <v>1</v>
      </c>
      <c r="G322" t="str">
        <f>"4"</f>
        <v>4</v>
      </c>
      <c r="H322" t="str">
        <f t="shared" si="64"/>
        <v>1</v>
      </c>
      <c r="I322" s="2">
        <v>15316988395.51</v>
      </c>
    </row>
    <row r="323" spans="1:9" x14ac:dyDescent="0.25">
      <c r="A323">
        <v>516</v>
      </c>
      <c r="B323" s="1">
        <v>45289</v>
      </c>
      <c r="C323">
        <v>25</v>
      </c>
      <c r="D323" t="str">
        <f>"1870"</f>
        <v>1870</v>
      </c>
      <c r="E323" t="str">
        <f>"Прочие транзитные счета"</f>
        <v>Прочие транзитные счета</v>
      </c>
      <c r="F323" t="str">
        <f t="shared" si="67"/>
        <v>1</v>
      </c>
      <c r="G323" t="str">
        <f>"4"</f>
        <v>4</v>
      </c>
      <c r="H323" t="str">
        <f>"2"</f>
        <v>2</v>
      </c>
      <c r="I323" s="2">
        <v>1827170239.0599999</v>
      </c>
    </row>
    <row r="324" spans="1:9" x14ac:dyDescent="0.25">
      <c r="A324">
        <v>683</v>
      </c>
      <c r="B324" s="1">
        <v>45289</v>
      </c>
      <c r="C324">
        <v>25</v>
      </c>
      <c r="D324" t="str">
        <f>"1870"</f>
        <v>1870</v>
      </c>
      <c r="E324" t="str">
        <f>"Прочие транзитные счета"</f>
        <v>Прочие транзитные счета</v>
      </c>
      <c r="F324" t="str">
        <f t="shared" si="67"/>
        <v>1</v>
      </c>
      <c r="G324" t="str">
        <f>"7"</f>
        <v>7</v>
      </c>
      <c r="H324" t="str">
        <f>"1"</f>
        <v>1</v>
      </c>
      <c r="I324" s="2">
        <v>64913514.170000002</v>
      </c>
    </row>
    <row r="325" spans="1:9" x14ac:dyDescent="0.25">
      <c r="A325">
        <v>272</v>
      </c>
      <c r="B325" s="1">
        <v>45289</v>
      </c>
      <c r="C325">
        <v>25</v>
      </c>
      <c r="D325" t="str">
        <f>"1876"</f>
        <v>1876</v>
      </c>
      <c r="E325" t="str">
        <f>"Резервы (провизии) по прочей банковской деятельности"</f>
        <v>Резервы (провизии) по прочей банковской деятельности</v>
      </c>
      <c r="F325" t="str">
        <f t="shared" si="67"/>
        <v>1</v>
      </c>
      <c r="G325" t="str">
        <f>"9"</f>
        <v>9</v>
      </c>
      <c r="H325" t="str">
        <f>"1"</f>
        <v>1</v>
      </c>
      <c r="I325" s="2">
        <v>-300</v>
      </c>
    </row>
    <row r="326" spans="1:9" x14ac:dyDescent="0.25">
      <c r="A326">
        <v>133</v>
      </c>
      <c r="B326" s="1">
        <v>45289</v>
      </c>
      <c r="C326">
        <v>25</v>
      </c>
      <c r="D326" t="str">
        <f t="shared" ref="D326:D336" si="68">"1877"</f>
        <v>1877</v>
      </c>
      <c r="E326" t="str">
        <f t="shared" ref="E326:E336" si="69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26" t="str">
        <f t="shared" si="67"/>
        <v>1</v>
      </c>
      <c r="G326" t="str">
        <f>"3"</f>
        <v>3</v>
      </c>
      <c r="H326" t="str">
        <f>"1"</f>
        <v>1</v>
      </c>
      <c r="I326" s="2">
        <v>-5000</v>
      </c>
    </row>
    <row r="327" spans="1:9" x14ac:dyDescent="0.25">
      <c r="A327">
        <v>46</v>
      </c>
      <c r="B327" s="1">
        <v>45289</v>
      </c>
      <c r="C327">
        <v>25</v>
      </c>
      <c r="D327" t="str">
        <f t="shared" si="68"/>
        <v>1877</v>
      </c>
      <c r="E327" t="str">
        <f t="shared" si="69"/>
        <v>Резервы (провизии) по дебиторской задолженности, связанной с банковской деятельностью</v>
      </c>
      <c r="F327" t="str">
        <f t="shared" si="67"/>
        <v>1</v>
      </c>
      <c r="G327" t="str">
        <f>"4"</f>
        <v>4</v>
      </c>
      <c r="H327" t="str">
        <f>"1"</f>
        <v>1</v>
      </c>
      <c r="I327" s="2">
        <v>-71189109</v>
      </c>
    </row>
    <row r="328" spans="1:9" x14ac:dyDescent="0.25">
      <c r="A328">
        <v>675</v>
      </c>
      <c r="B328" s="1">
        <v>45289</v>
      </c>
      <c r="C328">
        <v>25</v>
      </c>
      <c r="D328" t="str">
        <f t="shared" si="68"/>
        <v>1877</v>
      </c>
      <c r="E328" t="str">
        <f t="shared" si="69"/>
        <v>Резервы (провизии) по дебиторской задолженности, связанной с банковской деятельностью</v>
      </c>
      <c r="F328" t="str">
        <f t="shared" si="67"/>
        <v>1</v>
      </c>
      <c r="G328" t="str">
        <f>"4"</f>
        <v>4</v>
      </c>
      <c r="H328" t="str">
        <f>"2"</f>
        <v>2</v>
      </c>
      <c r="I328" s="2">
        <v>-45693593.969999999</v>
      </c>
    </row>
    <row r="329" spans="1:9" x14ac:dyDescent="0.25">
      <c r="A329">
        <v>511</v>
      </c>
      <c r="B329" s="1">
        <v>45289</v>
      </c>
      <c r="C329">
        <v>25</v>
      </c>
      <c r="D329" t="str">
        <f t="shared" si="68"/>
        <v>1877</v>
      </c>
      <c r="E329" t="str">
        <f t="shared" si="69"/>
        <v>Резервы (провизии) по дебиторской задолженности, связанной с банковской деятельностью</v>
      </c>
      <c r="F329" t="str">
        <f t="shared" si="67"/>
        <v>1</v>
      </c>
      <c r="G329" t="str">
        <f>"5"</f>
        <v>5</v>
      </c>
      <c r="H329" t="str">
        <f>"1"</f>
        <v>1</v>
      </c>
      <c r="I329" s="2">
        <v>-4183318.36</v>
      </c>
    </row>
    <row r="330" spans="1:9" x14ac:dyDescent="0.25">
      <c r="A330">
        <v>510</v>
      </c>
      <c r="B330" s="1">
        <v>45289</v>
      </c>
      <c r="C330">
        <v>25</v>
      </c>
      <c r="D330" t="str">
        <f t="shared" si="68"/>
        <v>1877</v>
      </c>
      <c r="E330" t="str">
        <f t="shared" si="69"/>
        <v>Резервы (провизии) по дебиторской задолженности, связанной с банковской деятельностью</v>
      </c>
      <c r="F330" t="str">
        <f t="shared" si="67"/>
        <v>1</v>
      </c>
      <c r="G330" t="str">
        <f>"5"</f>
        <v>5</v>
      </c>
      <c r="H330" t="str">
        <f>"2"</f>
        <v>2</v>
      </c>
      <c r="I330" s="2">
        <v>-26545917.620000001</v>
      </c>
    </row>
    <row r="331" spans="1:9" x14ac:dyDescent="0.25">
      <c r="A331">
        <v>131</v>
      </c>
      <c r="B331" s="1">
        <v>45289</v>
      </c>
      <c r="C331">
        <v>25</v>
      </c>
      <c r="D331" t="str">
        <f t="shared" si="68"/>
        <v>1877</v>
      </c>
      <c r="E331" t="str">
        <f t="shared" si="69"/>
        <v>Резервы (провизии) по дебиторской задолженности, связанной с банковской деятельностью</v>
      </c>
      <c r="F331" t="str">
        <f t="shared" si="67"/>
        <v>1</v>
      </c>
      <c r="G331" t="str">
        <f>"7"</f>
        <v>7</v>
      </c>
      <c r="H331" t="str">
        <f>"1"</f>
        <v>1</v>
      </c>
      <c r="I331" s="2">
        <v>-216329554.83000001</v>
      </c>
    </row>
    <row r="332" spans="1:9" x14ac:dyDescent="0.25">
      <c r="A332">
        <v>674</v>
      </c>
      <c r="B332" s="1">
        <v>45289</v>
      </c>
      <c r="C332">
        <v>25</v>
      </c>
      <c r="D332" t="str">
        <f t="shared" si="68"/>
        <v>1877</v>
      </c>
      <c r="E332" t="str">
        <f t="shared" si="69"/>
        <v>Резервы (провизии) по дебиторской задолженности, связанной с банковской деятельностью</v>
      </c>
      <c r="F332" t="str">
        <f t="shared" si="67"/>
        <v>1</v>
      </c>
      <c r="G332" t="str">
        <f>"9"</f>
        <v>9</v>
      </c>
      <c r="H332" t="str">
        <f>"1"</f>
        <v>1</v>
      </c>
      <c r="I332" s="2">
        <v>-1044875750.08</v>
      </c>
    </row>
    <row r="333" spans="1:9" x14ac:dyDescent="0.25">
      <c r="A333">
        <v>132</v>
      </c>
      <c r="B333" s="1">
        <v>45289</v>
      </c>
      <c r="C333">
        <v>25</v>
      </c>
      <c r="D333" t="str">
        <f t="shared" si="68"/>
        <v>1877</v>
      </c>
      <c r="E333" t="str">
        <f t="shared" si="69"/>
        <v>Резервы (провизии) по дебиторской задолженности, связанной с банковской деятельностью</v>
      </c>
      <c r="F333" t="str">
        <f t="shared" si="67"/>
        <v>1</v>
      </c>
      <c r="G333" t="str">
        <f>"9"</f>
        <v>9</v>
      </c>
      <c r="H333" t="str">
        <f>"2"</f>
        <v>2</v>
      </c>
      <c r="I333" s="2">
        <v>-596350669.96000004</v>
      </c>
    </row>
    <row r="334" spans="1:9" x14ac:dyDescent="0.25">
      <c r="A334">
        <v>677</v>
      </c>
      <c r="B334" s="1">
        <v>45289</v>
      </c>
      <c r="C334">
        <v>25</v>
      </c>
      <c r="D334" t="str">
        <f t="shared" si="68"/>
        <v>1877</v>
      </c>
      <c r="E334" t="str">
        <f t="shared" si="69"/>
        <v>Резервы (провизии) по дебиторской задолженности, связанной с банковской деятельностью</v>
      </c>
      <c r="F334" t="str">
        <f>"2"</f>
        <v>2</v>
      </c>
      <c r="G334" t="str">
        <f>"4"</f>
        <v>4</v>
      </c>
      <c r="H334" t="str">
        <f>"2"</f>
        <v>2</v>
      </c>
      <c r="I334" s="2">
        <v>-152573.06</v>
      </c>
    </row>
    <row r="335" spans="1:9" x14ac:dyDescent="0.25">
      <c r="A335">
        <v>419</v>
      </c>
      <c r="B335" s="1">
        <v>45289</v>
      </c>
      <c r="C335">
        <v>25</v>
      </c>
      <c r="D335" t="str">
        <f t="shared" si="68"/>
        <v>1877</v>
      </c>
      <c r="E335" t="str">
        <f t="shared" si="69"/>
        <v>Резервы (провизии) по дебиторской задолженности, связанной с банковской деятельностью</v>
      </c>
      <c r="F335" t="str">
        <f>"2"</f>
        <v>2</v>
      </c>
      <c r="G335" t="str">
        <f>"9"</f>
        <v>9</v>
      </c>
      <c r="H335" t="str">
        <f>"1"</f>
        <v>1</v>
      </c>
      <c r="I335" s="2">
        <v>-264726.76</v>
      </c>
    </row>
    <row r="336" spans="1:9" x14ac:dyDescent="0.25">
      <c r="A336">
        <v>676</v>
      </c>
      <c r="B336" s="1">
        <v>45289</v>
      </c>
      <c r="C336">
        <v>25</v>
      </c>
      <c r="D336" t="str">
        <f t="shared" si="68"/>
        <v>1877</v>
      </c>
      <c r="E336" t="str">
        <f t="shared" si="69"/>
        <v>Резервы (провизии) по дебиторской задолженности, связанной с банковской деятельностью</v>
      </c>
      <c r="F336" t="str">
        <f>"2"</f>
        <v>2</v>
      </c>
      <c r="G336" t="str">
        <f>"9"</f>
        <v>9</v>
      </c>
      <c r="H336" t="str">
        <f>"2"</f>
        <v>2</v>
      </c>
      <c r="I336" s="2">
        <v>-155859.53</v>
      </c>
    </row>
    <row r="337" spans="1:9" x14ac:dyDescent="0.25">
      <c r="A337">
        <v>43</v>
      </c>
      <c r="B337" s="1">
        <v>45289</v>
      </c>
      <c r="C337">
        <v>25</v>
      </c>
      <c r="D337" t="str">
        <f>"1878"</f>
        <v>1878</v>
      </c>
      <c r="E33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37" t="str">
        <f t="shared" ref="F337:F344" si="70">"1"</f>
        <v>1</v>
      </c>
      <c r="G337" t="str">
        <f>"4"</f>
        <v>4</v>
      </c>
      <c r="H337" t="str">
        <f t="shared" ref="H337:H342" si="71">"1"</f>
        <v>1</v>
      </c>
      <c r="I337" s="2">
        <v>-49250.25</v>
      </c>
    </row>
    <row r="338" spans="1:9" x14ac:dyDescent="0.25">
      <c r="A338">
        <v>507</v>
      </c>
      <c r="B338" s="1">
        <v>45289</v>
      </c>
      <c r="C338">
        <v>25</v>
      </c>
      <c r="D338" t="str">
        <f>"1878"</f>
        <v>1878</v>
      </c>
      <c r="E338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38" t="str">
        <f t="shared" si="70"/>
        <v>1</v>
      </c>
      <c r="G338" t="str">
        <f>"7"</f>
        <v>7</v>
      </c>
      <c r="H338" t="str">
        <f t="shared" si="71"/>
        <v>1</v>
      </c>
      <c r="I338" s="2">
        <v>-16611834.4</v>
      </c>
    </row>
    <row r="339" spans="1:9" x14ac:dyDescent="0.25">
      <c r="A339">
        <v>266</v>
      </c>
      <c r="B339" s="1">
        <v>45289</v>
      </c>
      <c r="C339">
        <v>25</v>
      </c>
      <c r="D339" t="str">
        <f>"1878"</f>
        <v>1878</v>
      </c>
      <c r="E33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39" t="str">
        <f t="shared" si="70"/>
        <v>1</v>
      </c>
      <c r="G339" t="str">
        <f>"9"</f>
        <v>9</v>
      </c>
      <c r="H339" t="str">
        <f t="shared" si="71"/>
        <v>1</v>
      </c>
      <c r="I339" s="2">
        <v>-1072934.25</v>
      </c>
    </row>
    <row r="340" spans="1:9" x14ac:dyDescent="0.25">
      <c r="A340">
        <v>668</v>
      </c>
      <c r="B340" s="1">
        <v>45289</v>
      </c>
      <c r="C340">
        <v>25</v>
      </c>
      <c r="D340" t="str">
        <f>"1879"</f>
        <v>1879</v>
      </c>
      <c r="E340" t="str">
        <f>"Начисленная неустойка (штраф, пеня)"</f>
        <v>Начисленная неустойка (штраф, пеня)</v>
      </c>
      <c r="F340" t="str">
        <f t="shared" si="70"/>
        <v>1</v>
      </c>
      <c r="G340" t="str">
        <f>"7"</f>
        <v>7</v>
      </c>
      <c r="H340" t="str">
        <f t="shared" si="71"/>
        <v>1</v>
      </c>
      <c r="I340" s="2">
        <v>0.06</v>
      </c>
    </row>
    <row r="341" spans="1:9" x14ac:dyDescent="0.25">
      <c r="A341">
        <v>413</v>
      </c>
      <c r="B341" s="1">
        <v>45289</v>
      </c>
      <c r="C341">
        <v>25</v>
      </c>
      <c r="D341" t="str">
        <f>"1879"</f>
        <v>1879</v>
      </c>
      <c r="E341" t="str">
        <f>"Начисленная неустойка (штраф, пеня)"</f>
        <v>Начисленная неустойка (штраф, пеня)</v>
      </c>
      <c r="F341" t="str">
        <f t="shared" si="70"/>
        <v>1</v>
      </c>
      <c r="G341" t="str">
        <f>"9"</f>
        <v>9</v>
      </c>
      <c r="H341" t="str">
        <f t="shared" si="71"/>
        <v>1</v>
      </c>
      <c r="I341" s="2">
        <v>2983562.22</v>
      </c>
    </row>
    <row r="342" spans="1:9" x14ac:dyDescent="0.25">
      <c r="A342">
        <v>267</v>
      </c>
      <c r="B342" s="1">
        <v>45289</v>
      </c>
      <c r="C342">
        <v>25</v>
      </c>
      <c r="D342" t="str">
        <f>"1892"</f>
        <v>1892</v>
      </c>
      <c r="E342" t="str">
        <f>"Требования по операциям форвард"</f>
        <v>Требования по операциям форвард</v>
      </c>
      <c r="F342" t="str">
        <f t="shared" si="70"/>
        <v>1</v>
      </c>
      <c r="G342" t="str">
        <f>"7"</f>
        <v>7</v>
      </c>
      <c r="H342" t="str">
        <f t="shared" si="71"/>
        <v>1</v>
      </c>
      <c r="I342" s="2">
        <v>140318208.28</v>
      </c>
    </row>
    <row r="343" spans="1:9" x14ac:dyDescent="0.25">
      <c r="A343">
        <v>268</v>
      </c>
      <c r="B343" s="1">
        <v>45289</v>
      </c>
      <c r="C343">
        <v>25</v>
      </c>
      <c r="D343" t="str">
        <f>"1894"</f>
        <v>1894</v>
      </c>
      <c r="E343" t="str">
        <f>"Требования по операциям спот"</f>
        <v>Требования по операциям спот</v>
      </c>
      <c r="F343" t="str">
        <f t="shared" si="70"/>
        <v>1</v>
      </c>
      <c r="G343" t="str">
        <f>"4"</f>
        <v>4</v>
      </c>
      <c r="H343" t="str">
        <f>"2"</f>
        <v>2</v>
      </c>
      <c r="I343" s="2">
        <v>2727360000</v>
      </c>
    </row>
    <row r="344" spans="1:9" x14ac:dyDescent="0.25">
      <c r="A344">
        <v>670</v>
      </c>
      <c r="B344" s="1">
        <v>45289</v>
      </c>
      <c r="C344">
        <v>25</v>
      </c>
      <c r="D344" t="str">
        <f>"1894"</f>
        <v>1894</v>
      </c>
      <c r="E344" t="str">
        <f>"Требования по операциям спот"</f>
        <v>Требования по операциям спот</v>
      </c>
      <c r="F344" t="str">
        <f t="shared" si="70"/>
        <v>1</v>
      </c>
      <c r="G344" t="str">
        <f>"5"</f>
        <v>5</v>
      </c>
      <c r="H344" t="str">
        <f>"2"</f>
        <v>2</v>
      </c>
      <c r="I344" s="2">
        <v>5853982776</v>
      </c>
    </row>
    <row r="345" spans="1:9" x14ac:dyDescent="0.25">
      <c r="A345">
        <v>414</v>
      </c>
      <c r="B345" s="1">
        <v>45289</v>
      </c>
      <c r="C345">
        <v>25</v>
      </c>
      <c r="D345" t="str">
        <f>"1894"</f>
        <v>1894</v>
      </c>
      <c r="E345" t="str">
        <f>"Требования по операциям спот"</f>
        <v>Требования по операциям спот</v>
      </c>
      <c r="F345" t="str">
        <f>"2"</f>
        <v>2</v>
      </c>
      <c r="G345" t="str">
        <f>"4"</f>
        <v>4</v>
      </c>
      <c r="H345" t="str">
        <f>"2"</f>
        <v>2</v>
      </c>
      <c r="I345" s="2">
        <v>1844460500</v>
      </c>
    </row>
    <row r="346" spans="1:9" x14ac:dyDescent="0.25">
      <c r="A346">
        <v>415</v>
      </c>
      <c r="B346" s="1">
        <v>45289</v>
      </c>
      <c r="C346">
        <v>25</v>
      </c>
      <c r="D346" t="str">
        <f>"1895"</f>
        <v>1895</v>
      </c>
      <c r="E346" t="str">
        <f>"Требования по операциям своп"</f>
        <v>Требования по операциям своп</v>
      </c>
      <c r="F346" t="str">
        <f>"1"</f>
        <v>1</v>
      </c>
      <c r="G346" t="str">
        <f>"5"</f>
        <v>5</v>
      </c>
      <c r="H346" t="str">
        <f>"1"</f>
        <v>1</v>
      </c>
      <c r="I346" s="2">
        <v>58218518520</v>
      </c>
    </row>
    <row r="347" spans="1:9" x14ac:dyDescent="0.25">
      <c r="A347">
        <v>44</v>
      </c>
      <c r="B347" s="1">
        <v>45289</v>
      </c>
      <c r="C347">
        <v>25</v>
      </c>
      <c r="D347" t="str">
        <f>"1895"</f>
        <v>1895</v>
      </c>
      <c r="E347" t="str">
        <f>"Требования по операциям своп"</f>
        <v>Требования по операциям своп</v>
      </c>
      <c r="F347" t="str">
        <f>"1"</f>
        <v>1</v>
      </c>
      <c r="G347" t="str">
        <f>"5"</f>
        <v>5</v>
      </c>
      <c r="H347" t="str">
        <f>"2"</f>
        <v>2</v>
      </c>
      <c r="I347" s="2">
        <v>82724203908</v>
      </c>
    </row>
    <row r="348" spans="1:9" x14ac:dyDescent="0.25">
      <c r="A348">
        <v>671</v>
      </c>
      <c r="B348" s="1">
        <v>45289</v>
      </c>
      <c r="C348">
        <v>25</v>
      </c>
      <c r="D348" t="str">
        <f>"1895"</f>
        <v>1895</v>
      </c>
      <c r="E348" t="str">
        <f>"Требования по операциям своп"</f>
        <v>Требования по операциям своп</v>
      </c>
      <c r="F348" t="str">
        <f>"2"</f>
        <v>2</v>
      </c>
      <c r="G348" t="str">
        <f>"4"</f>
        <v>4</v>
      </c>
      <c r="H348" t="str">
        <f>"2"</f>
        <v>2</v>
      </c>
      <c r="I348" s="2">
        <v>6375828392.71</v>
      </c>
    </row>
    <row r="349" spans="1:9" x14ac:dyDescent="0.25">
      <c r="A349">
        <v>269</v>
      </c>
      <c r="B349" s="1">
        <v>45289</v>
      </c>
      <c r="C349">
        <v>25</v>
      </c>
      <c r="D349" t="str">
        <f>"1895"</f>
        <v>1895</v>
      </c>
      <c r="E349" t="str">
        <f>"Требования по операциям своп"</f>
        <v>Требования по операциям своп</v>
      </c>
      <c r="F349" t="str">
        <f>"2"</f>
        <v>2</v>
      </c>
      <c r="G349" t="str">
        <f>"4"</f>
        <v>4</v>
      </c>
      <c r="H349" t="str">
        <f>"3"</f>
        <v>3</v>
      </c>
      <c r="I349" s="2">
        <v>4988021500</v>
      </c>
    </row>
    <row r="350" spans="1:9" x14ac:dyDescent="0.25">
      <c r="A350">
        <v>49</v>
      </c>
      <c r="B350" s="1">
        <v>45289</v>
      </c>
      <c r="C350">
        <v>25</v>
      </c>
      <c r="D350" t="str">
        <f>"2036"</f>
        <v>2036</v>
      </c>
      <c r="E350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350" t="str">
        <f t="shared" ref="F350:F369" si="72">"1"</f>
        <v>1</v>
      </c>
      <c r="G350" t="str">
        <f>"5"</f>
        <v>5</v>
      </c>
      <c r="H350" t="str">
        <f t="shared" ref="H350:H358" si="73">"1"</f>
        <v>1</v>
      </c>
      <c r="I350" s="2">
        <v>37165081186.440002</v>
      </c>
    </row>
    <row r="351" spans="1:9" x14ac:dyDescent="0.25">
      <c r="A351">
        <v>682</v>
      </c>
      <c r="B351" s="1">
        <v>45289</v>
      </c>
      <c r="C351">
        <v>25</v>
      </c>
      <c r="D351" t="str">
        <f>"2051"</f>
        <v>2051</v>
      </c>
      <c r="E351" t="str">
        <f>"Займы, полученные от Национального Банка Республики Казахстан"</f>
        <v>Займы, полученные от Национального Банка Республики Казахстан</v>
      </c>
      <c r="F351" t="str">
        <f t="shared" si="72"/>
        <v>1</v>
      </c>
      <c r="G351" t="str">
        <f>"3"</f>
        <v>3</v>
      </c>
      <c r="H351" t="str">
        <f t="shared" si="73"/>
        <v>1</v>
      </c>
      <c r="I351" s="2">
        <v>5937274</v>
      </c>
    </row>
    <row r="352" spans="1:9" x14ac:dyDescent="0.25">
      <c r="A352">
        <v>512</v>
      </c>
      <c r="B352" s="1">
        <v>45289</v>
      </c>
      <c r="C352">
        <v>25</v>
      </c>
      <c r="D352" t="str">
        <f>"2056"</f>
        <v>2056</v>
      </c>
      <c r="E352" t="str">
        <f>"Долгосрочные займы, полученные от других банков"</f>
        <v>Долгосрочные займы, полученные от других банков</v>
      </c>
      <c r="F352" t="str">
        <f t="shared" si="72"/>
        <v>1</v>
      </c>
      <c r="G352" t="str">
        <f>"4"</f>
        <v>4</v>
      </c>
      <c r="H352" t="str">
        <f t="shared" si="73"/>
        <v>1</v>
      </c>
      <c r="I352" s="2">
        <v>16799971343.09</v>
      </c>
    </row>
    <row r="353" spans="1:9" x14ac:dyDescent="0.25">
      <c r="A353">
        <v>134</v>
      </c>
      <c r="B353" s="1">
        <v>45289</v>
      </c>
      <c r="C353">
        <v>25</v>
      </c>
      <c r="D353" t="str">
        <f>"2066"</f>
        <v>2066</v>
      </c>
      <c r="E353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353" t="str">
        <f t="shared" si="72"/>
        <v>1</v>
      </c>
      <c r="G353" t="str">
        <f>"5"</f>
        <v>5</v>
      </c>
      <c r="H353" t="str">
        <f t="shared" si="73"/>
        <v>1</v>
      </c>
      <c r="I353" s="2">
        <v>15000000000</v>
      </c>
    </row>
    <row r="354" spans="1:9" x14ac:dyDescent="0.25">
      <c r="A354">
        <v>422</v>
      </c>
      <c r="B354" s="1">
        <v>45289</v>
      </c>
      <c r="C354">
        <v>25</v>
      </c>
      <c r="D354" t="str">
        <f>"2070"</f>
        <v>2070</v>
      </c>
      <c r="E354" t="str">
        <f>"Дисконт по полученным займам"</f>
        <v>Дисконт по полученным займам</v>
      </c>
      <c r="F354" t="str">
        <f t="shared" si="72"/>
        <v>1</v>
      </c>
      <c r="G354" t="str">
        <f>"4"</f>
        <v>4</v>
      </c>
      <c r="H354" t="str">
        <f t="shared" si="73"/>
        <v>1</v>
      </c>
      <c r="I354" s="2">
        <v>-9150646511.3500004</v>
      </c>
    </row>
    <row r="355" spans="1:9" x14ac:dyDescent="0.25">
      <c r="A355">
        <v>135</v>
      </c>
      <c r="B355" s="1">
        <v>45289</v>
      </c>
      <c r="C355">
        <v>25</v>
      </c>
      <c r="D355" t="str">
        <f>"2070"</f>
        <v>2070</v>
      </c>
      <c r="E355" t="str">
        <f>"Дисконт по полученным займам"</f>
        <v>Дисконт по полученным займам</v>
      </c>
      <c r="F355" t="str">
        <f t="shared" si="72"/>
        <v>1</v>
      </c>
      <c r="G355" t="str">
        <f>"5"</f>
        <v>5</v>
      </c>
      <c r="H355" t="str">
        <f t="shared" si="73"/>
        <v>1</v>
      </c>
      <c r="I355" s="2">
        <v>-9343074361.6599998</v>
      </c>
    </row>
    <row r="356" spans="1:9" x14ac:dyDescent="0.25">
      <c r="A356">
        <v>288</v>
      </c>
      <c r="B356" s="1">
        <v>45289</v>
      </c>
      <c r="C356">
        <v>25</v>
      </c>
      <c r="D356" t="str">
        <f t="shared" ref="D356:D379" si="74">"2203"</f>
        <v>2203</v>
      </c>
      <c r="E356" t="str">
        <f t="shared" ref="E356:E379" si="75">"Текущие счета юридических лиц"</f>
        <v>Текущие счета юридических лиц</v>
      </c>
      <c r="F356" t="str">
        <f t="shared" si="72"/>
        <v>1</v>
      </c>
      <c r="G356" t="str">
        <f>"1"</f>
        <v>1</v>
      </c>
      <c r="H356" t="str">
        <f t="shared" si="73"/>
        <v>1</v>
      </c>
      <c r="I356" s="2">
        <v>5600726.5599999996</v>
      </c>
    </row>
    <row r="357" spans="1:9" x14ac:dyDescent="0.25">
      <c r="A357">
        <v>142</v>
      </c>
      <c r="B357" s="1">
        <v>45289</v>
      </c>
      <c r="C357">
        <v>25</v>
      </c>
      <c r="D357" t="str">
        <f t="shared" si="74"/>
        <v>2203</v>
      </c>
      <c r="E357" t="str">
        <f t="shared" si="75"/>
        <v>Текущие счета юридических лиц</v>
      </c>
      <c r="F357" t="str">
        <f t="shared" si="72"/>
        <v>1</v>
      </c>
      <c r="G357" t="str">
        <f>"2"</f>
        <v>2</v>
      </c>
      <c r="H357" t="str">
        <f t="shared" si="73"/>
        <v>1</v>
      </c>
      <c r="I357" s="2">
        <v>179377293.44</v>
      </c>
    </row>
    <row r="358" spans="1:9" x14ac:dyDescent="0.25">
      <c r="A358">
        <v>528</v>
      </c>
      <c r="B358" s="1">
        <v>45289</v>
      </c>
      <c r="C358">
        <v>25</v>
      </c>
      <c r="D358" t="str">
        <f t="shared" si="74"/>
        <v>2203</v>
      </c>
      <c r="E358" t="str">
        <f t="shared" si="75"/>
        <v>Текущие счета юридических лиц</v>
      </c>
      <c r="F358" t="str">
        <f t="shared" si="72"/>
        <v>1</v>
      </c>
      <c r="G358" t="str">
        <f>"5"</f>
        <v>5</v>
      </c>
      <c r="H358" t="str">
        <f t="shared" si="73"/>
        <v>1</v>
      </c>
      <c r="I358" s="2">
        <v>2519476082.0799999</v>
      </c>
    </row>
    <row r="359" spans="1:9" x14ac:dyDescent="0.25">
      <c r="A359">
        <v>55</v>
      </c>
      <c r="B359" s="1">
        <v>45289</v>
      </c>
      <c r="C359">
        <v>25</v>
      </c>
      <c r="D359" t="str">
        <f t="shared" si="74"/>
        <v>2203</v>
      </c>
      <c r="E359" t="str">
        <f t="shared" si="75"/>
        <v>Текущие счета юридических лиц</v>
      </c>
      <c r="F359" t="str">
        <f t="shared" si="72"/>
        <v>1</v>
      </c>
      <c r="G359" t="str">
        <f>"5"</f>
        <v>5</v>
      </c>
      <c r="H359" t="str">
        <f>"2"</f>
        <v>2</v>
      </c>
      <c r="I359" s="2">
        <v>3313584982.2199998</v>
      </c>
    </row>
    <row r="360" spans="1:9" x14ac:dyDescent="0.25">
      <c r="A360">
        <v>700</v>
      </c>
      <c r="B360" s="1">
        <v>45289</v>
      </c>
      <c r="C360">
        <v>25</v>
      </c>
      <c r="D360" t="str">
        <f t="shared" si="74"/>
        <v>2203</v>
      </c>
      <c r="E360" t="str">
        <f t="shared" si="75"/>
        <v>Текущие счета юридических лиц</v>
      </c>
      <c r="F360" t="str">
        <f t="shared" si="72"/>
        <v>1</v>
      </c>
      <c r="G360" t="str">
        <f>"5"</f>
        <v>5</v>
      </c>
      <c r="H360" t="str">
        <f>"3"</f>
        <v>3</v>
      </c>
      <c r="I360" s="2">
        <v>729754404.49000001</v>
      </c>
    </row>
    <row r="361" spans="1:9" x14ac:dyDescent="0.25">
      <c r="A361">
        <v>708</v>
      </c>
      <c r="B361" s="1">
        <v>45289</v>
      </c>
      <c r="C361">
        <v>25</v>
      </c>
      <c r="D361" t="str">
        <f t="shared" si="74"/>
        <v>2203</v>
      </c>
      <c r="E361" t="str">
        <f t="shared" si="75"/>
        <v>Текущие счета юридических лиц</v>
      </c>
      <c r="F361" t="str">
        <f t="shared" si="72"/>
        <v>1</v>
      </c>
      <c r="G361" t="str">
        <f>"6"</f>
        <v>6</v>
      </c>
      <c r="H361" t="str">
        <f>"1"</f>
        <v>1</v>
      </c>
      <c r="I361" s="2">
        <v>37928262491.360001</v>
      </c>
    </row>
    <row r="362" spans="1:9" x14ac:dyDescent="0.25">
      <c r="A362">
        <v>527</v>
      </c>
      <c r="B362" s="1">
        <v>45289</v>
      </c>
      <c r="C362">
        <v>25</v>
      </c>
      <c r="D362" t="str">
        <f t="shared" si="74"/>
        <v>2203</v>
      </c>
      <c r="E362" t="str">
        <f t="shared" si="75"/>
        <v>Текущие счета юридических лиц</v>
      </c>
      <c r="F362" t="str">
        <f t="shared" si="72"/>
        <v>1</v>
      </c>
      <c r="G362" t="str">
        <f>"6"</f>
        <v>6</v>
      </c>
      <c r="H362" t="str">
        <f>"2"</f>
        <v>2</v>
      </c>
      <c r="I362" s="2">
        <v>56920447303.260002</v>
      </c>
    </row>
    <row r="363" spans="1:9" x14ac:dyDescent="0.25">
      <c r="A363">
        <v>290</v>
      </c>
      <c r="B363" s="1">
        <v>45289</v>
      </c>
      <c r="C363">
        <v>25</v>
      </c>
      <c r="D363" t="str">
        <f t="shared" si="74"/>
        <v>2203</v>
      </c>
      <c r="E363" t="str">
        <f t="shared" si="75"/>
        <v>Текущие счета юридических лиц</v>
      </c>
      <c r="F363" t="str">
        <f t="shared" si="72"/>
        <v>1</v>
      </c>
      <c r="G363" t="str">
        <f>"6"</f>
        <v>6</v>
      </c>
      <c r="H363" t="str">
        <f>"3"</f>
        <v>3</v>
      </c>
      <c r="I363" s="2">
        <v>465670040.94</v>
      </c>
    </row>
    <row r="364" spans="1:9" x14ac:dyDescent="0.25">
      <c r="A364">
        <v>526</v>
      </c>
      <c r="B364" s="1">
        <v>45289</v>
      </c>
      <c r="C364">
        <v>25</v>
      </c>
      <c r="D364" t="str">
        <f t="shared" si="74"/>
        <v>2203</v>
      </c>
      <c r="E364" t="str">
        <f t="shared" si="75"/>
        <v>Текущие счета юридических лиц</v>
      </c>
      <c r="F364" t="str">
        <f t="shared" si="72"/>
        <v>1</v>
      </c>
      <c r="G364" t="str">
        <f>"7"</f>
        <v>7</v>
      </c>
      <c r="H364" t="str">
        <f>"1"</f>
        <v>1</v>
      </c>
      <c r="I364" s="2">
        <v>256417092948.81</v>
      </c>
    </row>
    <row r="365" spans="1:9" x14ac:dyDescent="0.25">
      <c r="A365">
        <v>144</v>
      </c>
      <c r="B365" s="1">
        <v>45289</v>
      </c>
      <c r="C365">
        <v>25</v>
      </c>
      <c r="D365" t="str">
        <f t="shared" si="74"/>
        <v>2203</v>
      </c>
      <c r="E365" t="str">
        <f t="shared" si="75"/>
        <v>Текущие счета юридических лиц</v>
      </c>
      <c r="F365" t="str">
        <f t="shared" si="72"/>
        <v>1</v>
      </c>
      <c r="G365" t="str">
        <f>"7"</f>
        <v>7</v>
      </c>
      <c r="H365" t="str">
        <f>"2"</f>
        <v>2</v>
      </c>
      <c r="I365" s="2">
        <v>96343613987.589996</v>
      </c>
    </row>
    <row r="366" spans="1:9" x14ac:dyDescent="0.25">
      <c r="A366">
        <v>706</v>
      </c>
      <c r="B366" s="1">
        <v>45289</v>
      </c>
      <c r="C366">
        <v>25</v>
      </c>
      <c r="D366" t="str">
        <f t="shared" si="74"/>
        <v>2203</v>
      </c>
      <c r="E366" t="str">
        <f t="shared" si="75"/>
        <v>Текущие счета юридических лиц</v>
      </c>
      <c r="F366" t="str">
        <f t="shared" si="72"/>
        <v>1</v>
      </c>
      <c r="G366" t="str">
        <f>"7"</f>
        <v>7</v>
      </c>
      <c r="H366" t="str">
        <f>"3"</f>
        <v>3</v>
      </c>
      <c r="I366" s="2">
        <v>4998093214.6499996</v>
      </c>
    </row>
    <row r="367" spans="1:9" x14ac:dyDescent="0.25">
      <c r="A367">
        <v>529</v>
      </c>
      <c r="B367" s="1">
        <v>45289</v>
      </c>
      <c r="C367">
        <v>25</v>
      </c>
      <c r="D367" t="str">
        <f t="shared" si="74"/>
        <v>2203</v>
      </c>
      <c r="E367" t="str">
        <f t="shared" si="75"/>
        <v>Текущие счета юридических лиц</v>
      </c>
      <c r="F367" t="str">
        <f t="shared" si="72"/>
        <v>1</v>
      </c>
      <c r="G367" t="str">
        <f>"8"</f>
        <v>8</v>
      </c>
      <c r="H367" t="str">
        <f>"1"</f>
        <v>1</v>
      </c>
      <c r="I367" s="2">
        <v>5381533865.5299997</v>
      </c>
    </row>
    <row r="368" spans="1:9" x14ac:dyDescent="0.25">
      <c r="A368">
        <v>701</v>
      </c>
      <c r="B368" s="1">
        <v>45289</v>
      </c>
      <c r="C368">
        <v>25</v>
      </c>
      <c r="D368" t="str">
        <f t="shared" si="74"/>
        <v>2203</v>
      </c>
      <c r="E368" t="str">
        <f t="shared" si="75"/>
        <v>Текущие счета юридических лиц</v>
      </c>
      <c r="F368" t="str">
        <f t="shared" si="72"/>
        <v>1</v>
      </c>
      <c r="G368" t="str">
        <f>"8"</f>
        <v>8</v>
      </c>
      <c r="H368" t="str">
        <f>"2"</f>
        <v>2</v>
      </c>
      <c r="I368" s="2">
        <v>6687550758.7299995</v>
      </c>
    </row>
    <row r="369" spans="1:9" x14ac:dyDescent="0.25">
      <c r="A369">
        <v>702</v>
      </c>
      <c r="B369" s="1">
        <v>45289</v>
      </c>
      <c r="C369">
        <v>25</v>
      </c>
      <c r="D369" t="str">
        <f t="shared" si="74"/>
        <v>2203</v>
      </c>
      <c r="E369" t="str">
        <f t="shared" si="75"/>
        <v>Текущие счета юридических лиц</v>
      </c>
      <c r="F369" t="str">
        <f t="shared" si="72"/>
        <v>1</v>
      </c>
      <c r="G369" t="str">
        <f>"8"</f>
        <v>8</v>
      </c>
      <c r="H369" t="str">
        <f>"3"</f>
        <v>3</v>
      </c>
      <c r="I369" s="2">
        <v>13533868.609999999</v>
      </c>
    </row>
    <row r="370" spans="1:9" x14ac:dyDescent="0.25">
      <c r="A370">
        <v>54</v>
      </c>
      <c r="B370" s="1">
        <v>45289</v>
      </c>
      <c r="C370">
        <v>25</v>
      </c>
      <c r="D370" t="str">
        <f t="shared" si="74"/>
        <v>2203</v>
      </c>
      <c r="E370" t="str">
        <f t="shared" si="75"/>
        <v>Текущие счета юридических лиц</v>
      </c>
      <c r="F370" t="str">
        <f t="shared" ref="F370:F379" si="76">"2"</f>
        <v>2</v>
      </c>
      <c r="G370" t="str">
        <f>"1"</f>
        <v>1</v>
      </c>
      <c r="H370" t="str">
        <f>"1"</f>
        <v>1</v>
      </c>
      <c r="I370" s="2">
        <v>452131352.44999999</v>
      </c>
    </row>
    <row r="371" spans="1:9" x14ac:dyDescent="0.25">
      <c r="A371">
        <v>143</v>
      </c>
      <c r="B371" s="1">
        <v>45289</v>
      </c>
      <c r="C371">
        <v>25</v>
      </c>
      <c r="D371" t="str">
        <f t="shared" si="74"/>
        <v>2203</v>
      </c>
      <c r="E371" t="str">
        <f t="shared" si="75"/>
        <v>Текущие счета юридических лиц</v>
      </c>
      <c r="F371" t="str">
        <f t="shared" si="76"/>
        <v>2</v>
      </c>
      <c r="G371" t="str">
        <f>"1"</f>
        <v>1</v>
      </c>
      <c r="H371" t="str">
        <f>"2"</f>
        <v>2</v>
      </c>
      <c r="I371" s="2">
        <v>417909361.81</v>
      </c>
    </row>
    <row r="372" spans="1:9" x14ac:dyDescent="0.25">
      <c r="A372">
        <v>703</v>
      </c>
      <c r="B372" s="1">
        <v>45289</v>
      </c>
      <c r="C372">
        <v>25</v>
      </c>
      <c r="D372" t="str">
        <f t="shared" si="74"/>
        <v>2203</v>
      </c>
      <c r="E372" t="str">
        <f t="shared" si="75"/>
        <v>Текущие счета юридических лиц</v>
      </c>
      <c r="F372" t="str">
        <f t="shared" si="76"/>
        <v>2</v>
      </c>
      <c r="G372" t="str">
        <f>"5"</f>
        <v>5</v>
      </c>
      <c r="H372" t="str">
        <f>"1"</f>
        <v>1</v>
      </c>
      <c r="I372" s="2">
        <v>100000</v>
      </c>
    </row>
    <row r="373" spans="1:9" x14ac:dyDescent="0.25">
      <c r="A373">
        <v>289</v>
      </c>
      <c r="B373" s="1">
        <v>45289</v>
      </c>
      <c r="C373">
        <v>25</v>
      </c>
      <c r="D373" t="str">
        <f t="shared" si="74"/>
        <v>2203</v>
      </c>
      <c r="E373" t="str">
        <f t="shared" si="75"/>
        <v>Текущие счета юридических лиц</v>
      </c>
      <c r="F373" t="str">
        <f t="shared" si="76"/>
        <v>2</v>
      </c>
      <c r="G373" t="str">
        <f>"5"</f>
        <v>5</v>
      </c>
      <c r="H373" t="str">
        <f>"2"</f>
        <v>2</v>
      </c>
      <c r="I373" s="2">
        <v>2741</v>
      </c>
    </row>
    <row r="374" spans="1:9" x14ac:dyDescent="0.25">
      <c r="A374">
        <v>287</v>
      </c>
      <c r="B374" s="1">
        <v>45289</v>
      </c>
      <c r="C374">
        <v>25</v>
      </c>
      <c r="D374" t="str">
        <f t="shared" si="74"/>
        <v>2203</v>
      </c>
      <c r="E374" t="str">
        <f t="shared" si="75"/>
        <v>Текущие счета юридических лиц</v>
      </c>
      <c r="F374" t="str">
        <f t="shared" si="76"/>
        <v>2</v>
      </c>
      <c r="G374" t="str">
        <f>"6"</f>
        <v>6</v>
      </c>
      <c r="H374" t="str">
        <f>"1"</f>
        <v>1</v>
      </c>
      <c r="I374" s="2">
        <v>32635</v>
      </c>
    </row>
    <row r="375" spans="1:9" x14ac:dyDescent="0.25">
      <c r="A375">
        <v>286</v>
      </c>
      <c r="B375" s="1">
        <v>45289</v>
      </c>
      <c r="C375">
        <v>25</v>
      </c>
      <c r="D375" t="str">
        <f t="shared" si="74"/>
        <v>2203</v>
      </c>
      <c r="E375" t="str">
        <f t="shared" si="75"/>
        <v>Текущие счета юридических лиц</v>
      </c>
      <c r="F375" t="str">
        <f t="shared" si="76"/>
        <v>2</v>
      </c>
      <c r="G375" t="str">
        <f>"7"</f>
        <v>7</v>
      </c>
      <c r="H375" t="str">
        <f>"1"</f>
        <v>1</v>
      </c>
      <c r="I375" s="2">
        <v>1340965799.1199999</v>
      </c>
    </row>
    <row r="376" spans="1:9" x14ac:dyDescent="0.25">
      <c r="A376">
        <v>704</v>
      </c>
      <c r="B376" s="1">
        <v>45289</v>
      </c>
      <c r="C376">
        <v>25</v>
      </c>
      <c r="D376" t="str">
        <f t="shared" si="74"/>
        <v>2203</v>
      </c>
      <c r="E376" t="str">
        <f t="shared" si="75"/>
        <v>Текущие счета юридических лиц</v>
      </c>
      <c r="F376" t="str">
        <f t="shared" si="76"/>
        <v>2</v>
      </c>
      <c r="G376" t="str">
        <f>"7"</f>
        <v>7</v>
      </c>
      <c r="H376" t="str">
        <f>"2"</f>
        <v>2</v>
      </c>
      <c r="I376" s="2">
        <v>20599155729.560001</v>
      </c>
    </row>
    <row r="377" spans="1:9" x14ac:dyDescent="0.25">
      <c r="A377">
        <v>709</v>
      </c>
      <c r="B377" s="1">
        <v>45289</v>
      </c>
      <c r="C377">
        <v>25</v>
      </c>
      <c r="D377" t="str">
        <f t="shared" si="74"/>
        <v>2203</v>
      </c>
      <c r="E377" t="str">
        <f t="shared" si="75"/>
        <v>Текущие счета юридических лиц</v>
      </c>
      <c r="F377" t="str">
        <f t="shared" si="76"/>
        <v>2</v>
      </c>
      <c r="G377" t="str">
        <f>"7"</f>
        <v>7</v>
      </c>
      <c r="H377" t="str">
        <f>"3"</f>
        <v>3</v>
      </c>
      <c r="I377" s="2">
        <v>90817366</v>
      </c>
    </row>
    <row r="378" spans="1:9" x14ac:dyDescent="0.25">
      <c r="A378">
        <v>705</v>
      </c>
      <c r="B378" s="1">
        <v>45289</v>
      </c>
      <c r="C378">
        <v>25</v>
      </c>
      <c r="D378" t="str">
        <f t="shared" si="74"/>
        <v>2203</v>
      </c>
      <c r="E378" t="str">
        <f t="shared" si="75"/>
        <v>Текущие счета юридических лиц</v>
      </c>
      <c r="F378" t="str">
        <f t="shared" si="76"/>
        <v>2</v>
      </c>
      <c r="G378" t="str">
        <f>"8"</f>
        <v>8</v>
      </c>
      <c r="H378" t="str">
        <f>"1"</f>
        <v>1</v>
      </c>
      <c r="I378" s="2">
        <v>2225524.64</v>
      </c>
    </row>
    <row r="379" spans="1:9" x14ac:dyDescent="0.25">
      <c r="A379">
        <v>707</v>
      </c>
      <c r="B379" s="1">
        <v>45289</v>
      </c>
      <c r="C379">
        <v>25</v>
      </c>
      <c r="D379" t="str">
        <f t="shared" si="74"/>
        <v>2203</v>
      </c>
      <c r="E379" t="str">
        <f t="shared" si="75"/>
        <v>Текущие счета юридических лиц</v>
      </c>
      <c r="F379" t="str">
        <f t="shared" si="76"/>
        <v>2</v>
      </c>
      <c r="G379" t="str">
        <f>"8"</f>
        <v>8</v>
      </c>
      <c r="H379" t="str">
        <f>"2"</f>
        <v>2</v>
      </c>
      <c r="I379" s="2">
        <v>10138060.949999999</v>
      </c>
    </row>
    <row r="380" spans="1:9" x14ac:dyDescent="0.25">
      <c r="A380">
        <v>427</v>
      </c>
      <c r="B380" s="1">
        <v>45289</v>
      </c>
      <c r="C380">
        <v>25</v>
      </c>
      <c r="D380" t="str">
        <f t="shared" ref="D380:D385" si="77">"2204"</f>
        <v>2204</v>
      </c>
      <c r="E380" t="str">
        <f t="shared" ref="E380:E385" si="78">"Текущие счета физических лиц"</f>
        <v>Текущие счета физических лиц</v>
      </c>
      <c r="F380" t="str">
        <f>"1"</f>
        <v>1</v>
      </c>
      <c r="G380" t="str">
        <f t="shared" ref="G380:G403" si="79">"9"</f>
        <v>9</v>
      </c>
      <c r="H380" t="str">
        <f>"1"</f>
        <v>1</v>
      </c>
      <c r="I380" s="2">
        <v>113385812509.48</v>
      </c>
    </row>
    <row r="381" spans="1:9" x14ac:dyDescent="0.25">
      <c r="A381">
        <v>687</v>
      </c>
      <c r="B381" s="1">
        <v>45289</v>
      </c>
      <c r="C381">
        <v>25</v>
      </c>
      <c r="D381" t="str">
        <f t="shared" si="77"/>
        <v>2204</v>
      </c>
      <c r="E381" t="str">
        <f t="shared" si="78"/>
        <v>Текущие счета физических лиц</v>
      </c>
      <c r="F381" t="str">
        <f>"1"</f>
        <v>1</v>
      </c>
      <c r="G381" t="str">
        <f t="shared" si="79"/>
        <v>9</v>
      </c>
      <c r="H381" t="str">
        <f>"2"</f>
        <v>2</v>
      </c>
      <c r="I381" s="2">
        <v>37155009989</v>
      </c>
    </row>
    <row r="382" spans="1:9" x14ac:dyDescent="0.25">
      <c r="A382">
        <v>521</v>
      </c>
      <c r="B382" s="1">
        <v>45289</v>
      </c>
      <c r="C382">
        <v>25</v>
      </c>
      <c r="D382" t="str">
        <f t="shared" si="77"/>
        <v>2204</v>
      </c>
      <c r="E382" t="str">
        <f t="shared" si="78"/>
        <v>Текущие счета физических лиц</v>
      </c>
      <c r="F382" t="str">
        <f>"1"</f>
        <v>1</v>
      </c>
      <c r="G382" t="str">
        <f t="shared" si="79"/>
        <v>9</v>
      </c>
      <c r="H382" t="str">
        <f>"3"</f>
        <v>3</v>
      </c>
      <c r="I382" s="2">
        <v>1134994650.54</v>
      </c>
    </row>
    <row r="383" spans="1:9" x14ac:dyDescent="0.25">
      <c r="A383">
        <v>520</v>
      </c>
      <c r="B383" s="1">
        <v>45289</v>
      </c>
      <c r="C383">
        <v>25</v>
      </c>
      <c r="D383" t="str">
        <f t="shared" si="77"/>
        <v>2204</v>
      </c>
      <c r="E383" t="str">
        <f t="shared" si="78"/>
        <v>Текущие счета физических лиц</v>
      </c>
      <c r="F383" t="str">
        <f>"2"</f>
        <v>2</v>
      </c>
      <c r="G383" t="str">
        <f t="shared" si="79"/>
        <v>9</v>
      </c>
      <c r="H383" t="str">
        <f>"1"</f>
        <v>1</v>
      </c>
      <c r="I383" s="2">
        <v>5544308464.46</v>
      </c>
    </row>
    <row r="384" spans="1:9" x14ac:dyDescent="0.25">
      <c r="A384">
        <v>280</v>
      </c>
      <c r="B384" s="1">
        <v>45289</v>
      </c>
      <c r="C384">
        <v>25</v>
      </c>
      <c r="D384" t="str">
        <f t="shared" si="77"/>
        <v>2204</v>
      </c>
      <c r="E384" t="str">
        <f t="shared" si="78"/>
        <v>Текущие счета физических лиц</v>
      </c>
      <c r="F384" t="str">
        <f>"2"</f>
        <v>2</v>
      </c>
      <c r="G384" t="str">
        <f t="shared" si="79"/>
        <v>9</v>
      </c>
      <c r="H384" t="str">
        <f>"2"</f>
        <v>2</v>
      </c>
      <c r="I384" s="2">
        <v>25122333650.689999</v>
      </c>
    </row>
    <row r="385" spans="1:9" x14ac:dyDescent="0.25">
      <c r="A385">
        <v>279</v>
      </c>
      <c r="B385" s="1">
        <v>45289</v>
      </c>
      <c r="C385">
        <v>25</v>
      </c>
      <c r="D385" t="str">
        <f t="shared" si="77"/>
        <v>2204</v>
      </c>
      <c r="E385" t="str">
        <f t="shared" si="78"/>
        <v>Текущие счета физических лиц</v>
      </c>
      <c r="F385" t="str">
        <f>"2"</f>
        <v>2</v>
      </c>
      <c r="G385" t="str">
        <f t="shared" si="79"/>
        <v>9</v>
      </c>
      <c r="H385" t="str">
        <f>"3"</f>
        <v>3</v>
      </c>
      <c r="I385" s="2">
        <v>1256437555.5799999</v>
      </c>
    </row>
    <row r="386" spans="1:9" x14ac:dyDescent="0.25">
      <c r="A386">
        <v>292</v>
      </c>
      <c r="B386" s="1">
        <v>45289</v>
      </c>
      <c r="C386">
        <v>25</v>
      </c>
      <c r="D386" t="str">
        <f>"2205"</f>
        <v>2205</v>
      </c>
      <c r="E386" t="str">
        <f>"Вклады до востребования физических лиц"</f>
        <v>Вклады до востребования физических лиц</v>
      </c>
      <c r="F386" t="str">
        <f>"1"</f>
        <v>1</v>
      </c>
      <c r="G386" t="str">
        <f t="shared" si="79"/>
        <v>9</v>
      </c>
      <c r="H386" t="str">
        <f>"1"</f>
        <v>1</v>
      </c>
      <c r="I386" s="2">
        <v>2805534.01</v>
      </c>
    </row>
    <row r="387" spans="1:9" x14ac:dyDescent="0.25">
      <c r="A387">
        <v>291</v>
      </c>
      <c r="B387" s="1">
        <v>45289</v>
      </c>
      <c r="C387">
        <v>25</v>
      </c>
      <c r="D387" t="str">
        <f>"2205"</f>
        <v>2205</v>
      </c>
      <c r="E387" t="str">
        <f>"Вклады до востребования физических лиц"</f>
        <v>Вклады до востребования физических лиц</v>
      </c>
      <c r="F387" t="str">
        <f>"1"</f>
        <v>1</v>
      </c>
      <c r="G387" t="str">
        <f t="shared" si="79"/>
        <v>9</v>
      </c>
      <c r="H387" t="str">
        <f>"2"</f>
        <v>2</v>
      </c>
      <c r="I387" s="2">
        <v>3472975.25</v>
      </c>
    </row>
    <row r="388" spans="1:9" x14ac:dyDescent="0.25">
      <c r="A388">
        <v>145</v>
      </c>
      <c r="B388" s="1">
        <v>45289</v>
      </c>
      <c r="C388">
        <v>25</v>
      </c>
      <c r="D388" t="str">
        <f>"2205"</f>
        <v>2205</v>
      </c>
      <c r="E388" t="str">
        <f>"Вклады до востребования физических лиц"</f>
        <v>Вклады до востребования физических лиц</v>
      </c>
      <c r="F388" t="str">
        <f>"1"</f>
        <v>1</v>
      </c>
      <c r="G388" t="str">
        <f t="shared" si="79"/>
        <v>9</v>
      </c>
      <c r="H388" t="str">
        <f>"3"</f>
        <v>3</v>
      </c>
      <c r="I388" s="2">
        <v>980.42</v>
      </c>
    </row>
    <row r="389" spans="1:9" x14ac:dyDescent="0.25">
      <c r="A389">
        <v>711</v>
      </c>
      <c r="B389" s="1">
        <v>45289</v>
      </c>
      <c r="C389">
        <v>25</v>
      </c>
      <c r="D389" t="str">
        <f>"2205"</f>
        <v>2205</v>
      </c>
      <c r="E389" t="str">
        <f>"Вклады до востребования физических лиц"</f>
        <v>Вклады до востребования физических лиц</v>
      </c>
      <c r="F389" t="str">
        <f>"2"</f>
        <v>2</v>
      </c>
      <c r="G389" t="str">
        <f t="shared" si="79"/>
        <v>9</v>
      </c>
      <c r="H389" t="str">
        <f>"1"</f>
        <v>1</v>
      </c>
      <c r="I389" s="2">
        <v>130290</v>
      </c>
    </row>
    <row r="390" spans="1:9" x14ac:dyDescent="0.25">
      <c r="A390">
        <v>710</v>
      </c>
      <c r="B390" s="1">
        <v>45289</v>
      </c>
      <c r="C390">
        <v>25</v>
      </c>
      <c r="D390" t="str">
        <f>"2205"</f>
        <v>2205</v>
      </c>
      <c r="E390" t="str">
        <f>"Вклады до востребования физических лиц"</f>
        <v>Вклады до востребования физических лиц</v>
      </c>
      <c r="F390" t="str">
        <f>"2"</f>
        <v>2</v>
      </c>
      <c r="G390" t="str">
        <f t="shared" si="79"/>
        <v>9</v>
      </c>
      <c r="H390" t="str">
        <f>"2"</f>
        <v>2</v>
      </c>
      <c r="I390" s="2">
        <v>4666899.33</v>
      </c>
    </row>
    <row r="391" spans="1:9" x14ac:dyDescent="0.25">
      <c r="A391">
        <v>274</v>
      </c>
      <c r="B391" s="1">
        <v>45289</v>
      </c>
      <c r="C391">
        <v>25</v>
      </c>
      <c r="D391" t="str">
        <f>"2206"</f>
        <v>2206</v>
      </c>
      <c r="E391" t="str">
        <f>"Краткосрочные вклады физических лиц"</f>
        <v>Краткосрочные вклады физических лиц</v>
      </c>
      <c r="F391" t="str">
        <f>"1"</f>
        <v>1</v>
      </c>
      <c r="G391" t="str">
        <f t="shared" si="79"/>
        <v>9</v>
      </c>
      <c r="H391" t="str">
        <f>"1"</f>
        <v>1</v>
      </c>
      <c r="I391" s="2">
        <v>329599139642.83002</v>
      </c>
    </row>
    <row r="392" spans="1:9" x14ac:dyDescent="0.25">
      <c r="A392">
        <v>684</v>
      </c>
      <c r="B392" s="1">
        <v>45289</v>
      </c>
      <c r="C392">
        <v>25</v>
      </c>
      <c r="D392" t="str">
        <f>"2206"</f>
        <v>2206</v>
      </c>
      <c r="E392" t="str">
        <f>"Краткосрочные вклады физических лиц"</f>
        <v>Краткосрочные вклады физических лиц</v>
      </c>
      <c r="F392" t="str">
        <f>"1"</f>
        <v>1</v>
      </c>
      <c r="G392" t="str">
        <f t="shared" si="79"/>
        <v>9</v>
      </c>
      <c r="H392" t="str">
        <f>"2"</f>
        <v>2</v>
      </c>
      <c r="I392" s="2">
        <v>141886581771.38</v>
      </c>
    </row>
    <row r="393" spans="1:9" x14ac:dyDescent="0.25">
      <c r="A393">
        <v>136</v>
      </c>
      <c r="B393" s="1">
        <v>45289</v>
      </c>
      <c r="C393">
        <v>25</v>
      </c>
      <c r="D393" t="str">
        <f>"2206"</f>
        <v>2206</v>
      </c>
      <c r="E393" t="str">
        <f>"Краткосрочные вклады физических лиц"</f>
        <v>Краткосрочные вклады физических лиц</v>
      </c>
      <c r="F393" t="str">
        <f>"1"</f>
        <v>1</v>
      </c>
      <c r="G393" t="str">
        <f t="shared" si="79"/>
        <v>9</v>
      </c>
      <c r="H393" t="str">
        <f>"3"</f>
        <v>3</v>
      </c>
      <c r="I393" s="2">
        <v>44427.86</v>
      </c>
    </row>
    <row r="394" spans="1:9" x14ac:dyDescent="0.25">
      <c r="A394">
        <v>423</v>
      </c>
      <c r="B394" s="1">
        <v>45289</v>
      </c>
      <c r="C394">
        <v>25</v>
      </c>
      <c r="D394" t="str">
        <f>"2206"</f>
        <v>2206</v>
      </c>
      <c r="E394" t="str">
        <f>"Краткосрочные вклады физических лиц"</f>
        <v>Краткосрочные вклады физических лиц</v>
      </c>
      <c r="F394" t="str">
        <f>"2"</f>
        <v>2</v>
      </c>
      <c r="G394" t="str">
        <f t="shared" si="79"/>
        <v>9</v>
      </c>
      <c r="H394" t="str">
        <f>"1"</f>
        <v>1</v>
      </c>
      <c r="I394" s="2">
        <v>3111748644.5700002</v>
      </c>
    </row>
    <row r="395" spans="1:9" x14ac:dyDescent="0.25">
      <c r="A395">
        <v>518</v>
      </c>
      <c r="B395" s="1">
        <v>45289</v>
      </c>
      <c r="C395">
        <v>25</v>
      </c>
      <c r="D395" t="str">
        <f>"2206"</f>
        <v>2206</v>
      </c>
      <c r="E395" t="str">
        <f>"Краткосрочные вклады физических лиц"</f>
        <v>Краткосрочные вклады физических лиц</v>
      </c>
      <c r="F395" t="str">
        <f>"2"</f>
        <v>2</v>
      </c>
      <c r="G395" t="str">
        <f t="shared" si="79"/>
        <v>9</v>
      </c>
      <c r="H395" t="str">
        <f>"2"</f>
        <v>2</v>
      </c>
      <c r="I395" s="2">
        <v>6252450882.8000002</v>
      </c>
    </row>
    <row r="396" spans="1:9" x14ac:dyDescent="0.25">
      <c r="A396">
        <v>685</v>
      </c>
      <c r="B396" s="1">
        <v>45289</v>
      </c>
      <c r="C396">
        <v>25</v>
      </c>
      <c r="D396" t="str">
        <f t="shared" ref="D396:D401" si="80">"2207"</f>
        <v>2207</v>
      </c>
      <c r="E396" t="str">
        <f t="shared" ref="E396:E401" si="81">"Долгосрочные вклады физических лиц"</f>
        <v>Долгосрочные вклады физических лиц</v>
      </c>
      <c r="F396" t="str">
        <f>"1"</f>
        <v>1</v>
      </c>
      <c r="G396" t="str">
        <f t="shared" si="79"/>
        <v>9</v>
      </c>
      <c r="H396" t="str">
        <f>"1"</f>
        <v>1</v>
      </c>
      <c r="I396" s="2">
        <v>5753155713.9799995</v>
      </c>
    </row>
    <row r="397" spans="1:9" x14ac:dyDescent="0.25">
      <c r="A397">
        <v>686</v>
      </c>
      <c r="B397" s="1">
        <v>45289</v>
      </c>
      <c r="C397">
        <v>25</v>
      </c>
      <c r="D397" t="str">
        <f t="shared" si="80"/>
        <v>2207</v>
      </c>
      <c r="E397" t="str">
        <f t="shared" si="81"/>
        <v>Долгосрочные вклады физических лиц</v>
      </c>
      <c r="F397" t="str">
        <f>"1"</f>
        <v>1</v>
      </c>
      <c r="G397" t="str">
        <f t="shared" si="79"/>
        <v>9</v>
      </c>
      <c r="H397" t="str">
        <f>"2"</f>
        <v>2</v>
      </c>
      <c r="I397" s="2">
        <v>118843718504.17999</v>
      </c>
    </row>
    <row r="398" spans="1:9" x14ac:dyDescent="0.25">
      <c r="A398">
        <v>51</v>
      </c>
      <c r="B398" s="1">
        <v>45289</v>
      </c>
      <c r="C398">
        <v>25</v>
      </c>
      <c r="D398" t="str">
        <f t="shared" si="80"/>
        <v>2207</v>
      </c>
      <c r="E398" t="str">
        <f t="shared" si="81"/>
        <v>Долгосрочные вклады физических лиц</v>
      </c>
      <c r="F398" t="str">
        <f>"1"</f>
        <v>1</v>
      </c>
      <c r="G398" t="str">
        <f t="shared" si="79"/>
        <v>9</v>
      </c>
      <c r="H398" t="str">
        <f>"3"</f>
        <v>3</v>
      </c>
      <c r="I398" s="2">
        <v>15867.87</v>
      </c>
    </row>
    <row r="399" spans="1:9" x14ac:dyDescent="0.25">
      <c r="A399">
        <v>424</v>
      </c>
      <c r="B399" s="1">
        <v>45289</v>
      </c>
      <c r="C399">
        <v>25</v>
      </c>
      <c r="D399" t="str">
        <f t="shared" si="80"/>
        <v>2207</v>
      </c>
      <c r="E399" t="str">
        <f t="shared" si="81"/>
        <v>Долгосрочные вклады физических лиц</v>
      </c>
      <c r="F399" t="str">
        <f>"2"</f>
        <v>2</v>
      </c>
      <c r="G399" t="str">
        <f t="shared" si="79"/>
        <v>9</v>
      </c>
      <c r="H399" t="str">
        <f>"1"</f>
        <v>1</v>
      </c>
      <c r="I399" s="2">
        <v>69413219.609999999</v>
      </c>
    </row>
    <row r="400" spans="1:9" x14ac:dyDescent="0.25">
      <c r="A400">
        <v>275</v>
      </c>
      <c r="B400" s="1">
        <v>45289</v>
      </c>
      <c r="C400">
        <v>25</v>
      </c>
      <c r="D400" t="str">
        <f t="shared" si="80"/>
        <v>2207</v>
      </c>
      <c r="E400" t="str">
        <f t="shared" si="81"/>
        <v>Долгосрочные вклады физических лиц</v>
      </c>
      <c r="F400" t="str">
        <f>"2"</f>
        <v>2</v>
      </c>
      <c r="G400" t="str">
        <f t="shared" si="79"/>
        <v>9</v>
      </c>
      <c r="H400" t="str">
        <f>"2"</f>
        <v>2</v>
      </c>
      <c r="I400" s="2">
        <v>3199807992.9099998</v>
      </c>
    </row>
    <row r="401" spans="1:9" x14ac:dyDescent="0.25">
      <c r="A401">
        <v>137</v>
      </c>
      <c r="B401" s="1">
        <v>45289</v>
      </c>
      <c r="C401">
        <v>25</v>
      </c>
      <c r="D401" t="str">
        <f t="shared" si="80"/>
        <v>2207</v>
      </c>
      <c r="E401" t="str">
        <f t="shared" si="81"/>
        <v>Долгосрочные вклады физических лиц</v>
      </c>
      <c r="F401" t="str">
        <f>"2"</f>
        <v>2</v>
      </c>
      <c r="G401" t="str">
        <f t="shared" si="79"/>
        <v>9</v>
      </c>
      <c r="H401" t="str">
        <f>"3"</f>
        <v>3</v>
      </c>
      <c r="I401" s="2">
        <v>859.29</v>
      </c>
    </row>
    <row r="402" spans="1:9" x14ac:dyDescent="0.25">
      <c r="A402">
        <v>281</v>
      </c>
      <c r="B402" s="1">
        <v>45289</v>
      </c>
      <c r="C402">
        <v>25</v>
      </c>
      <c r="D402" t="str">
        <f>"2208"</f>
        <v>2208</v>
      </c>
      <c r="E402" t="str">
        <f>"Условные вклады физических лиц"</f>
        <v>Условные вклады физических лиц</v>
      </c>
      <c r="F402" t="str">
        <f>"1"</f>
        <v>1</v>
      </c>
      <c r="G402" t="str">
        <f t="shared" si="79"/>
        <v>9</v>
      </c>
      <c r="H402" t="str">
        <f>"1"</f>
        <v>1</v>
      </c>
      <c r="I402" s="2">
        <v>40639337.009999998</v>
      </c>
    </row>
    <row r="403" spans="1:9" x14ac:dyDescent="0.25">
      <c r="A403">
        <v>688</v>
      </c>
      <c r="B403" s="1">
        <v>45289</v>
      </c>
      <c r="C403">
        <v>25</v>
      </c>
      <c r="D403" t="str">
        <f>"2208"</f>
        <v>2208</v>
      </c>
      <c r="E403" t="str">
        <f>"Условные вклады физических лиц"</f>
        <v>Условные вклады физических лиц</v>
      </c>
      <c r="F403" t="str">
        <f>"2"</f>
        <v>2</v>
      </c>
      <c r="G403" t="str">
        <f t="shared" si="79"/>
        <v>9</v>
      </c>
      <c r="H403" t="str">
        <f>"1"</f>
        <v>1</v>
      </c>
      <c r="I403" s="2">
        <v>248602.83</v>
      </c>
    </row>
    <row r="404" spans="1:9" x14ac:dyDescent="0.25">
      <c r="A404">
        <v>276</v>
      </c>
      <c r="B404" s="1">
        <v>45289</v>
      </c>
      <c r="C404">
        <v>25</v>
      </c>
      <c r="D404" t="str">
        <f>"2211"</f>
        <v>2211</v>
      </c>
      <c r="E404" t="str">
        <f>"Вклады до востребования юридических лиц"</f>
        <v>Вклады до востребования юридических лиц</v>
      </c>
      <c r="F404" t="str">
        <f>"1"</f>
        <v>1</v>
      </c>
      <c r="G404" t="str">
        <f>"7"</f>
        <v>7</v>
      </c>
      <c r="H404" t="str">
        <f>"1"</f>
        <v>1</v>
      </c>
      <c r="I404" s="2">
        <v>3903</v>
      </c>
    </row>
    <row r="405" spans="1:9" x14ac:dyDescent="0.25">
      <c r="A405">
        <v>693</v>
      </c>
      <c r="B405" s="1">
        <v>45289</v>
      </c>
      <c r="C405">
        <v>25</v>
      </c>
      <c r="D405" t="str">
        <f>"2213"</f>
        <v>2213</v>
      </c>
      <c r="E405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405" t="str">
        <f>"1"</f>
        <v>1</v>
      </c>
      <c r="G405" t="str">
        <f>"9"</f>
        <v>9</v>
      </c>
      <c r="H405" t="str">
        <f>"1"</f>
        <v>1</v>
      </c>
      <c r="I405" s="2">
        <v>1952080000</v>
      </c>
    </row>
    <row r="406" spans="1:9" x14ac:dyDescent="0.25">
      <c r="A406">
        <v>692</v>
      </c>
      <c r="B406" s="1">
        <v>45289</v>
      </c>
      <c r="C406">
        <v>25</v>
      </c>
      <c r="D406" t="str">
        <f>"2213"</f>
        <v>2213</v>
      </c>
      <c r="E406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406" t="str">
        <f>"1"</f>
        <v>1</v>
      </c>
      <c r="G406" t="str">
        <f>"9"</f>
        <v>9</v>
      </c>
      <c r="H406" t="str">
        <f>"2"</f>
        <v>2</v>
      </c>
      <c r="I406" s="2">
        <v>1363134528</v>
      </c>
    </row>
    <row r="407" spans="1:9" x14ac:dyDescent="0.25">
      <c r="A407">
        <v>690</v>
      </c>
      <c r="B407" s="1">
        <v>45289</v>
      </c>
      <c r="C407">
        <v>25</v>
      </c>
      <c r="D407" t="str">
        <f>"2214"</f>
        <v>2214</v>
      </c>
      <c r="E40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07" t="str">
        <f>"1"</f>
        <v>1</v>
      </c>
      <c r="G407" t="str">
        <f>"9"</f>
        <v>9</v>
      </c>
      <c r="H407" t="str">
        <f>"1"</f>
        <v>1</v>
      </c>
      <c r="I407" s="2">
        <v>100448968111.67</v>
      </c>
    </row>
    <row r="408" spans="1:9" x14ac:dyDescent="0.25">
      <c r="A408">
        <v>282</v>
      </c>
      <c r="B408" s="1">
        <v>45289</v>
      </c>
      <c r="C408">
        <v>25</v>
      </c>
      <c r="D408" t="str">
        <f>"2214"</f>
        <v>2214</v>
      </c>
      <c r="E40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08" t="str">
        <f>"2"</f>
        <v>2</v>
      </c>
      <c r="G408" t="str">
        <f>"9"</f>
        <v>9</v>
      </c>
      <c r="H408" t="str">
        <f>"1"</f>
        <v>1</v>
      </c>
      <c r="I408" s="2">
        <v>98793697.760000005</v>
      </c>
    </row>
    <row r="409" spans="1:9" x14ac:dyDescent="0.25">
      <c r="A409">
        <v>139</v>
      </c>
      <c r="B409" s="1">
        <v>45289</v>
      </c>
      <c r="C409">
        <v>25</v>
      </c>
      <c r="D409" t="str">
        <f t="shared" ref="D409:D418" si="82">"2215"</f>
        <v>2215</v>
      </c>
      <c r="E409" t="str">
        <f t="shared" ref="E409:E418" si="83">"Краткосрочные вклады юридических лиц"</f>
        <v>Краткосрочные вклады юридических лиц</v>
      </c>
      <c r="F409" t="str">
        <f>"1"</f>
        <v>1</v>
      </c>
      <c r="G409" t="str">
        <f>"1"</f>
        <v>1</v>
      </c>
      <c r="H409" t="str">
        <f>"1"</f>
        <v>1</v>
      </c>
      <c r="I409" s="2">
        <v>10000000</v>
      </c>
    </row>
    <row r="410" spans="1:9" x14ac:dyDescent="0.25">
      <c r="A410">
        <v>428</v>
      </c>
      <c r="B410" s="1">
        <v>45289</v>
      </c>
      <c r="C410">
        <v>25</v>
      </c>
      <c r="D410" t="str">
        <f t="shared" si="82"/>
        <v>2215</v>
      </c>
      <c r="E410" t="str">
        <f t="shared" si="83"/>
        <v>Краткосрочные вклады юридических лиц</v>
      </c>
      <c r="F410" t="str">
        <f t="shared" ref="F410:F417" si="84">"1"</f>
        <v>1</v>
      </c>
      <c r="G410" t="str">
        <f>"5"</f>
        <v>5</v>
      </c>
      <c r="H410" t="str">
        <f>"1"</f>
        <v>1</v>
      </c>
      <c r="I410" s="2">
        <v>11723765846.26</v>
      </c>
    </row>
    <row r="411" spans="1:9" x14ac:dyDescent="0.25">
      <c r="A411">
        <v>52</v>
      </c>
      <c r="B411" s="1">
        <v>45289</v>
      </c>
      <c r="C411">
        <v>25</v>
      </c>
      <c r="D411" t="str">
        <f t="shared" si="82"/>
        <v>2215</v>
      </c>
      <c r="E411" t="str">
        <f t="shared" si="83"/>
        <v>Краткосрочные вклады юридических лиц</v>
      </c>
      <c r="F411" t="str">
        <f t="shared" si="84"/>
        <v>1</v>
      </c>
      <c r="G411" t="str">
        <f>"5"</f>
        <v>5</v>
      </c>
      <c r="H411" t="str">
        <f>"2"</f>
        <v>2</v>
      </c>
      <c r="I411" s="2">
        <v>2642767629.4899998</v>
      </c>
    </row>
    <row r="412" spans="1:9" x14ac:dyDescent="0.25">
      <c r="A412">
        <v>522</v>
      </c>
      <c r="B412" s="1">
        <v>45289</v>
      </c>
      <c r="C412">
        <v>25</v>
      </c>
      <c r="D412" t="str">
        <f t="shared" si="82"/>
        <v>2215</v>
      </c>
      <c r="E412" t="str">
        <f t="shared" si="83"/>
        <v>Краткосрочные вклады юридических лиц</v>
      </c>
      <c r="F412" t="str">
        <f t="shared" si="84"/>
        <v>1</v>
      </c>
      <c r="G412" t="str">
        <f>"6"</f>
        <v>6</v>
      </c>
      <c r="H412" t="str">
        <f>"1"</f>
        <v>1</v>
      </c>
      <c r="I412" s="2">
        <v>114729018257.86</v>
      </c>
    </row>
    <row r="413" spans="1:9" x14ac:dyDescent="0.25">
      <c r="A413">
        <v>283</v>
      </c>
      <c r="B413" s="1">
        <v>45289</v>
      </c>
      <c r="C413">
        <v>25</v>
      </c>
      <c r="D413" t="str">
        <f t="shared" si="82"/>
        <v>2215</v>
      </c>
      <c r="E413" t="str">
        <f t="shared" si="83"/>
        <v>Краткосрочные вклады юридических лиц</v>
      </c>
      <c r="F413" t="str">
        <f t="shared" si="84"/>
        <v>1</v>
      </c>
      <c r="G413" t="str">
        <f>"6"</f>
        <v>6</v>
      </c>
      <c r="H413" t="str">
        <f>"2"</f>
        <v>2</v>
      </c>
      <c r="I413" s="2">
        <v>50001600</v>
      </c>
    </row>
    <row r="414" spans="1:9" x14ac:dyDescent="0.25">
      <c r="A414">
        <v>695</v>
      </c>
      <c r="B414" s="1">
        <v>45289</v>
      </c>
      <c r="C414">
        <v>25</v>
      </c>
      <c r="D414" t="str">
        <f t="shared" si="82"/>
        <v>2215</v>
      </c>
      <c r="E414" t="str">
        <f t="shared" si="83"/>
        <v>Краткосрочные вклады юридических лиц</v>
      </c>
      <c r="F414" t="str">
        <f t="shared" si="84"/>
        <v>1</v>
      </c>
      <c r="G414" t="str">
        <f>"7"</f>
        <v>7</v>
      </c>
      <c r="H414" t="str">
        <f>"1"</f>
        <v>1</v>
      </c>
      <c r="I414" s="2">
        <v>301837547218.98999</v>
      </c>
    </row>
    <row r="415" spans="1:9" x14ac:dyDescent="0.25">
      <c r="A415">
        <v>140</v>
      </c>
      <c r="B415" s="1">
        <v>45289</v>
      </c>
      <c r="C415">
        <v>25</v>
      </c>
      <c r="D415" t="str">
        <f t="shared" si="82"/>
        <v>2215</v>
      </c>
      <c r="E415" t="str">
        <f t="shared" si="83"/>
        <v>Краткосрочные вклады юридических лиц</v>
      </c>
      <c r="F415" t="str">
        <f t="shared" si="84"/>
        <v>1</v>
      </c>
      <c r="G415" t="str">
        <f>"7"</f>
        <v>7</v>
      </c>
      <c r="H415" t="str">
        <f>"2"</f>
        <v>2</v>
      </c>
      <c r="I415" s="2">
        <v>46402026430.959999</v>
      </c>
    </row>
    <row r="416" spans="1:9" x14ac:dyDescent="0.25">
      <c r="A416">
        <v>696</v>
      </c>
      <c r="B416" s="1">
        <v>45289</v>
      </c>
      <c r="C416">
        <v>25</v>
      </c>
      <c r="D416" t="str">
        <f t="shared" si="82"/>
        <v>2215</v>
      </c>
      <c r="E416" t="str">
        <f t="shared" si="83"/>
        <v>Краткосрочные вклады юридических лиц</v>
      </c>
      <c r="F416" t="str">
        <f t="shared" si="84"/>
        <v>1</v>
      </c>
      <c r="G416" t="str">
        <f>"8"</f>
        <v>8</v>
      </c>
      <c r="H416" t="str">
        <f>"1"</f>
        <v>1</v>
      </c>
      <c r="I416" s="2">
        <v>27954832291.52</v>
      </c>
    </row>
    <row r="417" spans="1:9" x14ac:dyDescent="0.25">
      <c r="A417">
        <v>697</v>
      </c>
      <c r="B417" s="1">
        <v>45289</v>
      </c>
      <c r="C417">
        <v>25</v>
      </c>
      <c r="D417" t="str">
        <f t="shared" si="82"/>
        <v>2215</v>
      </c>
      <c r="E417" t="str">
        <f t="shared" si="83"/>
        <v>Краткосрочные вклады юридических лиц</v>
      </c>
      <c r="F417" t="str">
        <f t="shared" si="84"/>
        <v>1</v>
      </c>
      <c r="G417" t="str">
        <f>"8"</f>
        <v>8</v>
      </c>
      <c r="H417" t="str">
        <f>"2"</f>
        <v>2</v>
      </c>
      <c r="I417" s="2">
        <v>28329018185.939999</v>
      </c>
    </row>
    <row r="418" spans="1:9" x14ac:dyDescent="0.25">
      <c r="A418">
        <v>694</v>
      </c>
      <c r="B418" s="1">
        <v>45289</v>
      </c>
      <c r="C418">
        <v>25</v>
      </c>
      <c r="D418" t="str">
        <f t="shared" si="82"/>
        <v>2215</v>
      </c>
      <c r="E418" t="str">
        <f t="shared" si="83"/>
        <v>Краткосрочные вклады юридических лиц</v>
      </c>
      <c r="F418" t="str">
        <f>"2"</f>
        <v>2</v>
      </c>
      <c r="G418" t="str">
        <f>"7"</f>
        <v>7</v>
      </c>
      <c r="H418" t="str">
        <f>"1"</f>
        <v>1</v>
      </c>
      <c r="I418" s="2">
        <v>1066423883.3</v>
      </c>
    </row>
    <row r="419" spans="1:9" x14ac:dyDescent="0.25">
      <c r="A419">
        <v>141</v>
      </c>
      <c r="B419" s="1">
        <v>45289</v>
      </c>
      <c r="C419">
        <v>25</v>
      </c>
      <c r="D419" t="str">
        <f t="shared" ref="D419:D428" si="85">"2217"</f>
        <v>2217</v>
      </c>
      <c r="E419" t="str">
        <f t="shared" ref="E419:E428" si="86">"Долгосрочные вклады юридических лиц"</f>
        <v>Долгосрочные вклады юридических лиц</v>
      </c>
      <c r="F419" t="str">
        <f t="shared" ref="F419:F426" si="87">"1"</f>
        <v>1</v>
      </c>
      <c r="G419" t="str">
        <f>"5"</f>
        <v>5</v>
      </c>
      <c r="H419" t="str">
        <f>"1"</f>
        <v>1</v>
      </c>
      <c r="I419" s="2">
        <v>135155885485.39</v>
      </c>
    </row>
    <row r="420" spans="1:9" x14ac:dyDescent="0.25">
      <c r="A420">
        <v>524</v>
      </c>
      <c r="B420" s="1">
        <v>45289</v>
      </c>
      <c r="C420">
        <v>25</v>
      </c>
      <c r="D420" t="str">
        <f t="shared" si="85"/>
        <v>2217</v>
      </c>
      <c r="E420" t="str">
        <f t="shared" si="86"/>
        <v>Долгосрочные вклады юридических лиц</v>
      </c>
      <c r="F420" t="str">
        <f t="shared" si="87"/>
        <v>1</v>
      </c>
      <c r="G420" t="str">
        <f>"5"</f>
        <v>5</v>
      </c>
      <c r="H420" t="str">
        <f>"2"</f>
        <v>2</v>
      </c>
      <c r="I420" s="2">
        <v>575428919.14999998</v>
      </c>
    </row>
    <row r="421" spans="1:9" x14ac:dyDescent="0.25">
      <c r="A421">
        <v>429</v>
      </c>
      <c r="B421" s="1">
        <v>45289</v>
      </c>
      <c r="C421">
        <v>25</v>
      </c>
      <c r="D421" t="str">
        <f t="shared" si="85"/>
        <v>2217</v>
      </c>
      <c r="E421" t="str">
        <f t="shared" si="86"/>
        <v>Долгосрочные вклады юридических лиц</v>
      </c>
      <c r="F421" t="str">
        <f t="shared" si="87"/>
        <v>1</v>
      </c>
      <c r="G421" t="str">
        <f>"6"</f>
        <v>6</v>
      </c>
      <c r="H421" t="str">
        <f>"1"</f>
        <v>1</v>
      </c>
      <c r="I421" s="2">
        <v>56148363242.339996</v>
      </c>
    </row>
    <row r="422" spans="1:9" x14ac:dyDescent="0.25">
      <c r="A422">
        <v>53</v>
      </c>
      <c r="B422" s="1">
        <v>45289</v>
      </c>
      <c r="C422">
        <v>25</v>
      </c>
      <c r="D422" t="str">
        <f t="shared" si="85"/>
        <v>2217</v>
      </c>
      <c r="E422" t="str">
        <f t="shared" si="86"/>
        <v>Долгосрочные вклады юридических лиц</v>
      </c>
      <c r="F422" t="str">
        <f t="shared" si="87"/>
        <v>1</v>
      </c>
      <c r="G422" t="str">
        <f>"6"</f>
        <v>6</v>
      </c>
      <c r="H422" t="str">
        <f>"2"</f>
        <v>2</v>
      </c>
      <c r="I422" s="2">
        <v>716386560</v>
      </c>
    </row>
    <row r="423" spans="1:9" x14ac:dyDescent="0.25">
      <c r="A423">
        <v>699</v>
      </c>
      <c r="B423" s="1">
        <v>45289</v>
      </c>
      <c r="C423">
        <v>25</v>
      </c>
      <c r="D423" t="str">
        <f t="shared" si="85"/>
        <v>2217</v>
      </c>
      <c r="E423" t="str">
        <f t="shared" si="86"/>
        <v>Долгосрочные вклады юридических лиц</v>
      </c>
      <c r="F423" t="str">
        <f t="shared" si="87"/>
        <v>1</v>
      </c>
      <c r="G423" t="str">
        <f>"7"</f>
        <v>7</v>
      </c>
      <c r="H423" t="str">
        <f>"1"</f>
        <v>1</v>
      </c>
      <c r="I423" s="2">
        <v>81380888747.460007</v>
      </c>
    </row>
    <row r="424" spans="1:9" x14ac:dyDescent="0.25">
      <c r="A424">
        <v>284</v>
      </c>
      <c r="B424" s="1">
        <v>45289</v>
      </c>
      <c r="C424">
        <v>25</v>
      </c>
      <c r="D424" t="str">
        <f t="shared" si="85"/>
        <v>2217</v>
      </c>
      <c r="E424" t="str">
        <f t="shared" si="86"/>
        <v>Долгосрочные вклады юридических лиц</v>
      </c>
      <c r="F424" t="str">
        <f t="shared" si="87"/>
        <v>1</v>
      </c>
      <c r="G424" t="str">
        <f>"7"</f>
        <v>7</v>
      </c>
      <c r="H424" t="str">
        <f>"2"</f>
        <v>2</v>
      </c>
      <c r="I424" s="2">
        <v>16448814772.559999</v>
      </c>
    </row>
    <row r="425" spans="1:9" x14ac:dyDescent="0.25">
      <c r="A425">
        <v>285</v>
      </c>
      <c r="B425" s="1">
        <v>45289</v>
      </c>
      <c r="C425">
        <v>25</v>
      </c>
      <c r="D425" t="str">
        <f t="shared" si="85"/>
        <v>2217</v>
      </c>
      <c r="E425" t="str">
        <f t="shared" si="86"/>
        <v>Долгосрочные вклады юридических лиц</v>
      </c>
      <c r="F425" t="str">
        <f t="shared" si="87"/>
        <v>1</v>
      </c>
      <c r="G425" t="str">
        <f>"8"</f>
        <v>8</v>
      </c>
      <c r="H425" t="str">
        <f>"1"</f>
        <v>1</v>
      </c>
      <c r="I425" s="2">
        <v>2426967638.5100002</v>
      </c>
    </row>
    <row r="426" spans="1:9" x14ac:dyDescent="0.25">
      <c r="A426">
        <v>523</v>
      </c>
      <c r="B426" s="1">
        <v>45289</v>
      </c>
      <c r="C426">
        <v>25</v>
      </c>
      <c r="D426" t="str">
        <f t="shared" si="85"/>
        <v>2217</v>
      </c>
      <c r="E426" t="str">
        <f t="shared" si="86"/>
        <v>Долгосрочные вклады юридических лиц</v>
      </c>
      <c r="F426" t="str">
        <f t="shared" si="87"/>
        <v>1</v>
      </c>
      <c r="G426" t="str">
        <f>"8"</f>
        <v>8</v>
      </c>
      <c r="H426" t="str">
        <f>"2"</f>
        <v>2</v>
      </c>
      <c r="I426" s="2">
        <v>304555200</v>
      </c>
    </row>
    <row r="427" spans="1:9" x14ac:dyDescent="0.25">
      <c r="A427">
        <v>698</v>
      </c>
      <c r="B427" s="1">
        <v>45289</v>
      </c>
      <c r="C427">
        <v>25</v>
      </c>
      <c r="D427" t="str">
        <f t="shared" si="85"/>
        <v>2217</v>
      </c>
      <c r="E427" t="str">
        <f t="shared" si="86"/>
        <v>Долгосрочные вклады юридических лиц</v>
      </c>
      <c r="F427" t="str">
        <f>"2"</f>
        <v>2</v>
      </c>
      <c r="G427" t="str">
        <f>"1"</f>
        <v>1</v>
      </c>
      <c r="H427" t="str">
        <f>"2"</f>
        <v>2</v>
      </c>
      <c r="I427" s="2">
        <v>9091200</v>
      </c>
    </row>
    <row r="428" spans="1:9" x14ac:dyDescent="0.25">
      <c r="A428">
        <v>525</v>
      </c>
      <c r="B428" s="1">
        <v>45289</v>
      </c>
      <c r="C428">
        <v>25</v>
      </c>
      <c r="D428" t="str">
        <f t="shared" si="85"/>
        <v>2217</v>
      </c>
      <c r="E428" t="str">
        <f t="shared" si="86"/>
        <v>Долгосрочные вклады юридических лиц</v>
      </c>
      <c r="F428" t="str">
        <f>"2"</f>
        <v>2</v>
      </c>
      <c r="G428" t="str">
        <f>"7"</f>
        <v>7</v>
      </c>
      <c r="H428" t="str">
        <f>"2"</f>
        <v>2</v>
      </c>
      <c r="I428" s="2">
        <v>4752603901.1800003</v>
      </c>
    </row>
    <row r="429" spans="1:9" x14ac:dyDescent="0.25">
      <c r="A429">
        <v>57</v>
      </c>
      <c r="B429" s="1">
        <v>45289</v>
      </c>
      <c r="C429">
        <v>25</v>
      </c>
      <c r="D429" t="str">
        <f t="shared" ref="D429:D434" si="88">"2219"</f>
        <v>2219</v>
      </c>
      <c r="E429" t="str">
        <f t="shared" ref="E429:E434" si="89">"Условные вклады юридических лиц"</f>
        <v>Условные вклады юридических лиц</v>
      </c>
      <c r="F429" t="str">
        <f>"1"</f>
        <v>1</v>
      </c>
      <c r="G429" t="str">
        <f>"5"</f>
        <v>5</v>
      </c>
      <c r="H429" t="str">
        <f>"1"</f>
        <v>1</v>
      </c>
      <c r="I429" s="2">
        <v>54359599.490000002</v>
      </c>
    </row>
    <row r="430" spans="1:9" x14ac:dyDescent="0.25">
      <c r="A430">
        <v>56</v>
      </c>
      <c r="B430" s="1">
        <v>45289</v>
      </c>
      <c r="C430">
        <v>25</v>
      </c>
      <c r="D430" t="str">
        <f t="shared" si="88"/>
        <v>2219</v>
      </c>
      <c r="E430" t="str">
        <f t="shared" si="89"/>
        <v>Условные вклады юридических лиц</v>
      </c>
      <c r="F430" t="str">
        <f>"1"</f>
        <v>1</v>
      </c>
      <c r="G430" t="str">
        <f>"6"</f>
        <v>6</v>
      </c>
      <c r="H430" t="str">
        <f>"1"</f>
        <v>1</v>
      </c>
      <c r="I430" s="2">
        <v>35368336</v>
      </c>
    </row>
    <row r="431" spans="1:9" x14ac:dyDescent="0.25">
      <c r="A431">
        <v>146</v>
      </c>
      <c r="B431" s="1">
        <v>45289</v>
      </c>
      <c r="C431">
        <v>25</v>
      </c>
      <c r="D431" t="str">
        <f t="shared" si="88"/>
        <v>2219</v>
      </c>
      <c r="E431" t="str">
        <f t="shared" si="89"/>
        <v>Условные вклады юридических лиц</v>
      </c>
      <c r="F431" t="str">
        <f>"1"</f>
        <v>1</v>
      </c>
      <c r="G431" t="str">
        <f>"7"</f>
        <v>7</v>
      </c>
      <c r="H431" t="str">
        <f>"1"</f>
        <v>1</v>
      </c>
      <c r="I431" s="2">
        <v>8972915213.7999992</v>
      </c>
    </row>
    <row r="432" spans="1:9" x14ac:dyDescent="0.25">
      <c r="A432">
        <v>430</v>
      </c>
      <c r="B432" s="1">
        <v>45289</v>
      </c>
      <c r="C432">
        <v>25</v>
      </c>
      <c r="D432" t="str">
        <f t="shared" si="88"/>
        <v>2219</v>
      </c>
      <c r="E432" t="str">
        <f t="shared" si="89"/>
        <v>Условные вклады юридических лиц</v>
      </c>
      <c r="F432" t="str">
        <f>"1"</f>
        <v>1</v>
      </c>
      <c r="G432" t="str">
        <f>"7"</f>
        <v>7</v>
      </c>
      <c r="H432" t="str">
        <f>"2"</f>
        <v>2</v>
      </c>
      <c r="I432" s="2">
        <v>6193987052.7799997</v>
      </c>
    </row>
    <row r="433" spans="1:9" x14ac:dyDescent="0.25">
      <c r="A433">
        <v>431</v>
      </c>
      <c r="B433" s="1">
        <v>45289</v>
      </c>
      <c r="C433">
        <v>25</v>
      </c>
      <c r="D433" t="str">
        <f t="shared" si="88"/>
        <v>2219</v>
      </c>
      <c r="E433" t="str">
        <f t="shared" si="89"/>
        <v>Условные вклады юридических лиц</v>
      </c>
      <c r="F433" t="str">
        <f>"1"</f>
        <v>1</v>
      </c>
      <c r="G433" t="str">
        <f>"8"</f>
        <v>8</v>
      </c>
      <c r="H433" t="str">
        <f>"1"</f>
        <v>1</v>
      </c>
      <c r="I433" s="2">
        <v>92762001.459999993</v>
      </c>
    </row>
    <row r="434" spans="1:9" x14ac:dyDescent="0.25">
      <c r="A434">
        <v>712</v>
      </c>
      <c r="B434" s="1">
        <v>45289</v>
      </c>
      <c r="C434">
        <v>25</v>
      </c>
      <c r="D434" t="str">
        <f t="shared" si="88"/>
        <v>2219</v>
      </c>
      <c r="E434" t="str">
        <f t="shared" si="89"/>
        <v>Условные вклады юридических лиц</v>
      </c>
      <c r="F434" t="str">
        <f>"2"</f>
        <v>2</v>
      </c>
      <c r="G434" t="str">
        <f>"7"</f>
        <v>7</v>
      </c>
      <c r="H434" t="str">
        <f>"1"</f>
        <v>1</v>
      </c>
      <c r="I434" s="2">
        <v>947000</v>
      </c>
    </row>
    <row r="435" spans="1:9" x14ac:dyDescent="0.25">
      <c r="A435">
        <v>50</v>
      </c>
      <c r="B435" s="1">
        <v>45289</v>
      </c>
      <c r="C435">
        <v>25</v>
      </c>
      <c r="D435" t="str">
        <f>"2220"</f>
        <v>2220</v>
      </c>
      <c r="E435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435" t="str">
        <f t="shared" ref="F435:F441" si="90">"1"</f>
        <v>1</v>
      </c>
      <c r="G435" t="str">
        <f>"6"</f>
        <v>6</v>
      </c>
      <c r="H435" t="str">
        <f>"1"</f>
        <v>1</v>
      </c>
      <c r="I435" s="2">
        <v>500000000</v>
      </c>
    </row>
    <row r="436" spans="1:9" x14ac:dyDescent="0.25">
      <c r="A436">
        <v>517</v>
      </c>
      <c r="B436" s="1">
        <v>45289</v>
      </c>
      <c r="C436">
        <v>25</v>
      </c>
      <c r="D436" t="str">
        <f>"2220"</f>
        <v>2220</v>
      </c>
      <c r="E436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436" t="str">
        <f t="shared" si="90"/>
        <v>1</v>
      </c>
      <c r="G436" t="str">
        <f>"7"</f>
        <v>7</v>
      </c>
      <c r="H436" t="str">
        <f>"1"</f>
        <v>1</v>
      </c>
      <c r="I436" s="2">
        <v>100000000</v>
      </c>
    </row>
    <row r="437" spans="1:9" x14ac:dyDescent="0.25">
      <c r="A437">
        <v>138</v>
      </c>
      <c r="B437" s="1">
        <v>45289</v>
      </c>
      <c r="C437">
        <v>25</v>
      </c>
      <c r="D437" t="str">
        <f t="shared" ref="D437:D442" si="91">"2223"</f>
        <v>2223</v>
      </c>
      <c r="E437" t="str">
        <f t="shared" ref="E437:E442" si="92"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37" t="str">
        <f t="shared" si="90"/>
        <v>1</v>
      </c>
      <c r="G437" t="str">
        <f>"5"</f>
        <v>5</v>
      </c>
      <c r="H437" t="str">
        <f>"1"</f>
        <v>1</v>
      </c>
      <c r="I437" s="2">
        <v>5147225000</v>
      </c>
    </row>
    <row r="438" spans="1:9" x14ac:dyDescent="0.25">
      <c r="A438">
        <v>425</v>
      </c>
      <c r="B438" s="1">
        <v>45289</v>
      </c>
      <c r="C438">
        <v>25</v>
      </c>
      <c r="D438" t="str">
        <f t="shared" si="91"/>
        <v>2223</v>
      </c>
      <c r="E438" t="str">
        <f t="shared" si="92"/>
        <v>Вклад юридических лиц, являющийся обеспечением обязательств клиентов</v>
      </c>
      <c r="F438" t="str">
        <f t="shared" si="90"/>
        <v>1</v>
      </c>
      <c r="G438" t="str">
        <f>"5"</f>
        <v>5</v>
      </c>
      <c r="H438" t="str">
        <f>"2"</f>
        <v>2</v>
      </c>
      <c r="I438" s="2">
        <v>2824016496.96</v>
      </c>
    </row>
    <row r="439" spans="1:9" x14ac:dyDescent="0.25">
      <c r="A439">
        <v>277</v>
      </c>
      <c r="B439" s="1">
        <v>45289</v>
      </c>
      <c r="C439">
        <v>25</v>
      </c>
      <c r="D439" t="str">
        <f t="shared" si="91"/>
        <v>2223</v>
      </c>
      <c r="E439" t="str">
        <f t="shared" si="92"/>
        <v>Вклад юридических лиц, являющийся обеспечением обязательств клиентов</v>
      </c>
      <c r="F439" t="str">
        <f t="shared" si="90"/>
        <v>1</v>
      </c>
      <c r="G439" t="str">
        <f>"6"</f>
        <v>6</v>
      </c>
      <c r="H439" t="str">
        <f>"1"</f>
        <v>1</v>
      </c>
      <c r="I439" s="2">
        <v>18220</v>
      </c>
    </row>
    <row r="440" spans="1:9" x14ac:dyDescent="0.25">
      <c r="A440">
        <v>426</v>
      </c>
      <c r="B440" s="1">
        <v>45289</v>
      </c>
      <c r="C440">
        <v>25</v>
      </c>
      <c r="D440" t="str">
        <f t="shared" si="91"/>
        <v>2223</v>
      </c>
      <c r="E440" t="str">
        <f t="shared" si="92"/>
        <v>Вклад юридических лиц, являющийся обеспечением обязательств клиентов</v>
      </c>
      <c r="F440" t="str">
        <f t="shared" si="90"/>
        <v>1</v>
      </c>
      <c r="G440" t="str">
        <f>"7"</f>
        <v>7</v>
      </c>
      <c r="H440" t="str">
        <f>"1"</f>
        <v>1</v>
      </c>
      <c r="I440" s="2">
        <v>16797972409.809999</v>
      </c>
    </row>
    <row r="441" spans="1:9" x14ac:dyDescent="0.25">
      <c r="A441">
        <v>519</v>
      </c>
      <c r="B441" s="1">
        <v>45289</v>
      </c>
      <c r="C441">
        <v>25</v>
      </c>
      <c r="D441" t="str">
        <f t="shared" si="91"/>
        <v>2223</v>
      </c>
      <c r="E441" t="str">
        <f t="shared" si="92"/>
        <v>Вклад юридических лиц, являющийся обеспечением обязательств клиентов</v>
      </c>
      <c r="F441" t="str">
        <f t="shared" si="90"/>
        <v>1</v>
      </c>
      <c r="G441" t="str">
        <f>"7"</f>
        <v>7</v>
      </c>
      <c r="H441" t="str">
        <f>"2"</f>
        <v>2</v>
      </c>
      <c r="I441" s="2">
        <v>11986706817.280001</v>
      </c>
    </row>
    <row r="442" spans="1:9" x14ac:dyDescent="0.25">
      <c r="A442">
        <v>278</v>
      </c>
      <c r="B442" s="1">
        <v>45289</v>
      </c>
      <c r="C442">
        <v>25</v>
      </c>
      <c r="D442" t="str">
        <f t="shared" si="91"/>
        <v>2223</v>
      </c>
      <c r="E442" t="str">
        <f t="shared" si="92"/>
        <v>Вклад юридических лиц, являющийся обеспечением обязательств клиентов</v>
      </c>
      <c r="F442" t="str">
        <f>"2"</f>
        <v>2</v>
      </c>
      <c r="G442" t="str">
        <f>"7"</f>
        <v>7</v>
      </c>
      <c r="H442" t="str">
        <f>"2"</f>
        <v>2</v>
      </c>
      <c r="I442" s="2">
        <v>4681968000</v>
      </c>
    </row>
    <row r="443" spans="1:9" x14ac:dyDescent="0.25">
      <c r="A443">
        <v>689</v>
      </c>
      <c r="B443" s="1">
        <v>45289</v>
      </c>
      <c r="C443">
        <v>25</v>
      </c>
      <c r="D443" t="str">
        <f>"2227"</f>
        <v>2227</v>
      </c>
      <c r="E443" t="str">
        <f>"Обязательства по аренде"</f>
        <v>Обязательства по аренде</v>
      </c>
      <c r="F443" t="str">
        <f t="shared" ref="F443:F461" si="93">"1"</f>
        <v>1</v>
      </c>
      <c r="G443" t="str">
        <f>"7"</f>
        <v>7</v>
      </c>
      <c r="H443" t="str">
        <f>"1"</f>
        <v>1</v>
      </c>
      <c r="I443" s="2">
        <v>1414042820.1600001</v>
      </c>
    </row>
    <row r="444" spans="1:9" x14ac:dyDescent="0.25">
      <c r="A444">
        <v>691</v>
      </c>
      <c r="B444" s="1">
        <v>45289</v>
      </c>
      <c r="C444">
        <v>25</v>
      </c>
      <c r="D444" t="str">
        <f>"2229"</f>
        <v>2229</v>
      </c>
      <c r="E444" t="str">
        <f>"Сберегательные вклады физических лиц (более одного года)"</f>
        <v>Сберегательные вклады физических лиц (более одного года)</v>
      </c>
      <c r="F444" t="str">
        <f t="shared" si="93"/>
        <v>1</v>
      </c>
      <c r="G444" t="str">
        <f>"9"</f>
        <v>9</v>
      </c>
      <c r="H444" t="str">
        <f>"1"</f>
        <v>1</v>
      </c>
      <c r="I444" s="2">
        <v>109894020.45999999</v>
      </c>
    </row>
    <row r="445" spans="1:9" x14ac:dyDescent="0.25">
      <c r="A445">
        <v>718</v>
      </c>
      <c r="B445" s="1">
        <v>45289</v>
      </c>
      <c r="C445">
        <v>25</v>
      </c>
      <c r="D445" t="str">
        <f t="shared" ref="D445:D470" si="94">"2237"</f>
        <v>2237</v>
      </c>
      <c r="E445" t="str">
        <f t="shared" ref="E445:E470" si="95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45" t="str">
        <f t="shared" si="93"/>
        <v>1</v>
      </c>
      <c r="G445" t="str">
        <f>"1"</f>
        <v>1</v>
      </c>
      <c r="H445" t="str">
        <f>"2"</f>
        <v>2</v>
      </c>
      <c r="I445" s="2">
        <v>11599295.359999999</v>
      </c>
    </row>
    <row r="446" spans="1:9" x14ac:dyDescent="0.25">
      <c r="A446">
        <v>297</v>
      </c>
      <c r="B446" s="1">
        <v>45289</v>
      </c>
      <c r="C446">
        <v>25</v>
      </c>
      <c r="D446" t="str">
        <f t="shared" si="94"/>
        <v>2237</v>
      </c>
      <c r="E446" t="str">
        <f t="shared" si="95"/>
        <v>Счет хранения указаний отправителя в соответствии с валютным законодательством Республики Казахстан</v>
      </c>
      <c r="F446" t="str">
        <f t="shared" si="93"/>
        <v>1</v>
      </c>
      <c r="G446" t="str">
        <f>"4"</f>
        <v>4</v>
      </c>
      <c r="H446" t="str">
        <f>"2"</f>
        <v>2</v>
      </c>
      <c r="I446" s="2">
        <v>850849.81</v>
      </c>
    </row>
    <row r="447" spans="1:9" x14ac:dyDescent="0.25">
      <c r="A447">
        <v>717</v>
      </c>
      <c r="B447" s="1">
        <v>45289</v>
      </c>
      <c r="C447">
        <v>25</v>
      </c>
      <c r="D447" t="str">
        <f t="shared" si="94"/>
        <v>2237</v>
      </c>
      <c r="E447" t="str">
        <f t="shared" si="95"/>
        <v>Счет хранения указаний отправителя в соответствии с валютным законодательством Республики Казахстан</v>
      </c>
      <c r="F447" t="str">
        <f t="shared" si="93"/>
        <v>1</v>
      </c>
      <c r="G447" t="str">
        <f>"4"</f>
        <v>4</v>
      </c>
      <c r="H447" t="str">
        <f>"3"</f>
        <v>3</v>
      </c>
      <c r="I447" s="2">
        <v>7741542.9000000004</v>
      </c>
    </row>
    <row r="448" spans="1:9" x14ac:dyDescent="0.25">
      <c r="A448">
        <v>715</v>
      </c>
      <c r="B448" s="1">
        <v>45289</v>
      </c>
      <c r="C448">
        <v>25</v>
      </c>
      <c r="D448" t="str">
        <f t="shared" si="94"/>
        <v>2237</v>
      </c>
      <c r="E448" t="str">
        <f t="shared" si="95"/>
        <v>Счет хранения указаний отправителя в соответствии с валютным законодательством Республики Казахстан</v>
      </c>
      <c r="F448" t="str">
        <f t="shared" si="93"/>
        <v>1</v>
      </c>
      <c r="G448" t="str">
        <f>"5"</f>
        <v>5</v>
      </c>
      <c r="H448" t="str">
        <f>"1"</f>
        <v>1</v>
      </c>
      <c r="I448" s="2">
        <v>60116071.840000004</v>
      </c>
    </row>
    <row r="449" spans="1:9" x14ac:dyDescent="0.25">
      <c r="A449">
        <v>723</v>
      </c>
      <c r="B449" s="1">
        <v>45289</v>
      </c>
      <c r="C449">
        <v>25</v>
      </c>
      <c r="D449" t="str">
        <f t="shared" si="94"/>
        <v>2237</v>
      </c>
      <c r="E449" t="str">
        <f t="shared" si="95"/>
        <v>Счет хранения указаний отправителя в соответствии с валютным законодательством Республики Казахстан</v>
      </c>
      <c r="F449" t="str">
        <f t="shared" si="93"/>
        <v>1</v>
      </c>
      <c r="G449" t="str">
        <f>"5"</f>
        <v>5</v>
      </c>
      <c r="H449" t="str">
        <f>"2"</f>
        <v>2</v>
      </c>
      <c r="I449" s="2">
        <v>455711367.04000002</v>
      </c>
    </row>
    <row r="450" spans="1:9" x14ac:dyDescent="0.25">
      <c r="A450">
        <v>61</v>
      </c>
      <c r="B450" s="1">
        <v>45289</v>
      </c>
      <c r="C450">
        <v>25</v>
      </c>
      <c r="D450" t="str">
        <f t="shared" si="94"/>
        <v>2237</v>
      </c>
      <c r="E450" t="str">
        <f t="shared" si="95"/>
        <v>Счет хранения указаний отправителя в соответствии с валютным законодательством Республики Казахстан</v>
      </c>
      <c r="F450" t="str">
        <f t="shared" si="93"/>
        <v>1</v>
      </c>
      <c r="G450" t="str">
        <f>"5"</f>
        <v>5</v>
      </c>
      <c r="H450" t="str">
        <f>"3"</f>
        <v>3</v>
      </c>
      <c r="I450" s="2">
        <v>49966082.740000002</v>
      </c>
    </row>
    <row r="451" spans="1:9" x14ac:dyDescent="0.25">
      <c r="A451">
        <v>720</v>
      </c>
      <c r="B451" s="1">
        <v>45289</v>
      </c>
      <c r="C451">
        <v>25</v>
      </c>
      <c r="D451" t="str">
        <f t="shared" si="94"/>
        <v>2237</v>
      </c>
      <c r="E451" t="str">
        <f t="shared" si="95"/>
        <v>Счет хранения указаний отправителя в соответствии с валютным законодательством Республики Казахстан</v>
      </c>
      <c r="F451" t="str">
        <f t="shared" si="93"/>
        <v>1</v>
      </c>
      <c r="G451" t="str">
        <f>"6"</f>
        <v>6</v>
      </c>
      <c r="H451" t="str">
        <f>"1"</f>
        <v>1</v>
      </c>
      <c r="I451" s="2">
        <v>1508440847</v>
      </c>
    </row>
    <row r="452" spans="1:9" x14ac:dyDescent="0.25">
      <c r="A452">
        <v>716</v>
      </c>
      <c r="B452" s="1">
        <v>45289</v>
      </c>
      <c r="C452">
        <v>25</v>
      </c>
      <c r="D452" t="str">
        <f t="shared" si="94"/>
        <v>2237</v>
      </c>
      <c r="E452" t="str">
        <f t="shared" si="95"/>
        <v>Счет хранения указаний отправителя в соответствии с валютным законодательством Республики Казахстан</v>
      </c>
      <c r="F452" t="str">
        <f t="shared" si="93"/>
        <v>1</v>
      </c>
      <c r="G452" t="str">
        <f>"6"</f>
        <v>6</v>
      </c>
      <c r="H452" t="str">
        <f>"2"</f>
        <v>2</v>
      </c>
      <c r="I452" s="2">
        <v>606279375.95000005</v>
      </c>
    </row>
    <row r="453" spans="1:9" x14ac:dyDescent="0.25">
      <c r="A453">
        <v>433</v>
      </c>
      <c r="B453" s="1">
        <v>45289</v>
      </c>
      <c r="C453">
        <v>25</v>
      </c>
      <c r="D453" t="str">
        <f t="shared" si="94"/>
        <v>2237</v>
      </c>
      <c r="E453" t="str">
        <f t="shared" si="95"/>
        <v>Счет хранения указаний отправителя в соответствии с валютным законодательством Республики Казахстан</v>
      </c>
      <c r="F453" t="str">
        <f t="shared" si="93"/>
        <v>1</v>
      </c>
      <c r="G453" t="str">
        <f>"6"</f>
        <v>6</v>
      </c>
      <c r="H453" t="str">
        <f>"3"</f>
        <v>3</v>
      </c>
      <c r="I453" s="2">
        <v>213978127.55000001</v>
      </c>
    </row>
    <row r="454" spans="1:9" x14ac:dyDescent="0.25">
      <c r="A454">
        <v>434</v>
      </c>
      <c r="B454" s="1">
        <v>45289</v>
      </c>
      <c r="C454">
        <v>25</v>
      </c>
      <c r="D454" t="str">
        <f t="shared" si="94"/>
        <v>2237</v>
      </c>
      <c r="E454" t="str">
        <f t="shared" si="95"/>
        <v>Счет хранения указаний отправителя в соответствии с валютным законодательством Республики Казахстан</v>
      </c>
      <c r="F454" t="str">
        <f t="shared" si="93"/>
        <v>1</v>
      </c>
      <c r="G454" t="str">
        <f>"7"</f>
        <v>7</v>
      </c>
      <c r="H454" t="str">
        <f>"1"</f>
        <v>1</v>
      </c>
      <c r="I454" s="2">
        <v>786500883.44000006</v>
      </c>
    </row>
    <row r="455" spans="1:9" x14ac:dyDescent="0.25">
      <c r="A455">
        <v>295</v>
      </c>
      <c r="B455" s="1">
        <v>45289</v>
      </c>
      <c r="C455">
        <v>25</v>
      </c>
      <c r="D455" t="str">
        <f t="shared" si="94"/>
        <v>2237</v>
      </c>
      <c r="E455" t="str">
        <f t="shared" si="95"/>
        <v>Счет хранения указаний отправителя в соответствии с валютным законодательством Республики Казахстан</v>
      </c>
      <c r="F455" t="str">
        <f t="shared" si="93"/>
        <v>1</v>
      </c>
      <c r="G455" t="str">
        <f>"7"</f>
        <v>7</v>
      </c>
      <c r="H455" t="str">
        <f>"2"</f>
        <v>2</v>
      </c>
      <c r="I455" s="2">
        <v>10931872232.07</v>
      </c>
    </row>
    <row r="456" spans="1:9" x14ac:dyDescent="0.25">
      <c r="A456">
        <v>714</v>
      </c>
      <c r="B456" s="1">
        <v>45289</v>
      </c>
      <c r="C456">
        <v>25</v>
      </c>
      <c r="D456" t="str">
        <f t="shared" si="94"/>
        <v>2237</v>
      </c>
      <c r="E456" t="str">
        <f t="shared" si="95"/>
        <v>Счет хранения указаний отправителя в соответствии с валютным законодательством Республики Казахстан</v>
      </c>
      <c r="F456" t="str">
        <f t="shared" si="93"/>
        <v>1</v>
      </c>
      <c r="G456" t="str">
        <f>"7"</f>
        <v>7</v>
      </c>
      <c r="H456" t="str">
        <f>"3"</f>
        <v>3</v>
      </c>
      <c r="I456" s="2">
        <v>2049866195.4300001</v>
      </c>
    </row>
    <row r="457" spans="1:9" x14ac:dyDescent="0.25">
      <c r="A457">
        <v>435</v>
      </c>
      <c r="B457" s="1">
        <v>45289</v>
      </c>
      <c r="C457">
        <v>25</v>
      </c>
      <c r="D457" t="str">
        <f t="shared" si="94"/>
        <v>2237</v>
      </c>
      <c r="E457" t="str">
        <f t="shared" si="95"/>
        <v>Счет хранения указаний отправителя в соответствии с валютным законодательством Республики Казахстан</v>
      </c>
      <c r="F457" t="str">
        <f t="shared" si="93"/>
        <v>1</v>
      </c>
      <c r="G457" t="str">
        <f>"8"</f>
        <v>8</v>
      </c>
      <c r="H457" t="str">
        <f>"1"</f>
        <v>1</v>
      </c>
      <c r="I457" s="2">
        <v>798647.32</v>
      </c>
    </row>
    <row r="458" spans="1:9" x14ac:dyDescent="0.25">
      <c r="A458">
        <v>294</v>
      </c>
      <c r="B458" s="1">
        <v>45289</v>
      </c>
      <c r="C458">
        <v>25</v>
      </c>
      <c r="D458" t="str">
        <f t="shared" si="94"/>
        <v>2237</v>
      </c>
      <c r="E458" t="str">
        <f t="shared" si="95"/>
        <v>Счет хранения указаний отправителя в соответствии с валютным законодательством Республики Казахстан</v>
      </c>
      <c r="F458" t="str">
        <f t="shared" si="93"/>
        <v>1</v>
      </c>
      <c r="G458" t="str">
        <f>"8"</f>
        <v>8</v>
      </c>
      <c r="H458" t="str">
        <f>"2"</f>
        <v>2</v>
      </c>
      <c r="I458" s="2">
        <v>44012284.090000004</v>
      </c>
    </row>
    <row r="459" spans="1:9" x14ac:dyDescent="0.25">
      <c r="A459">
        <v>147</v>
      </c>
      <c r="B459" s="1">
        <v>45289</v>
      </c>
      <c r="C459">
        <v>25</v>
      </c>
      <c r="D459" t="str">
        <f t="shared" si="94"/>
        <v>2237</v>
      </c>
      <c r="E459" t="str">
        <f t="shared" si="95"/>
        <v>Счет хранения указаний отправителя в соответствии с валютным законодательством Республики Казахстан</v>
      </c>
      <c r="F459" t="str">
        <f t="shared" si="93"/>
        <v>1</v>
      </c>
      <c r="G459" t="str">
        <f>"9"</f>
        <v>9</v>
      </c>
      <c r="H459" t="str">
        <f>"1"</f>
        <v>1</v>
      </c>
      <c r="I459" s="2">
        <v>33956274.700000003</v>
      </c>
    </row>
    <row r="460" spans="1:9" x14ac:dyDescent="0.25">
      <c r="A460">
        <v>530</v>
      </c>
      <c r="B460" s="1">
        <v>45289</v>
      </c>
      <c r="C460">
        <v>25</v>
      </c>
      <c r="D460" t="str">
        <f t="shared" si="94"/>
        <v>2237</v>
      </c>
      <c r="E460" t="str">
        <f t="shared" si="95"/>
        <v>Счет хранения указаний отправителя в соответствии с валютным законодательством Республики Казахстан</v>
      </c>
      <c r="F460" t="str">
        <f t="shared" si="93"/>
        <v>1</v>
      </c>
      <c r="G460" t="str">
        <f>"9"</f>
        <v>9</v>
      </c>
      <c r="H460" t="str">
        <f>"2"</f>
        <v>2</v>
      </c>
      <c r="I460" s="2">
        <v>1744289852.5599999</v>
      </c>
    </row>
    <row r="461" spans="1:9" x14ac:dyDescent="0.25">
      <c r="A461">
        <v>59</v>
      </c>
      <c r="B461" s="1">
        <v>45289</v>
      </c>
      <c r="C461">
        <v>25</v>
      </c>
      <c r="D461" t="str">
        <f t="shared" si="94"/>
        <v>2237</v>
      </c>
      <c r="E461" t="str">
        <f t="shared" si="95"/>
        <v>Счет хранения указаний отправителя в соответствии с валютным законодательством Республики Казахстан</v>
      </c>
      <c r="F461" t="str">
        <f t="shared" si="93"/>
        <v>1</v>
      </c>
      <c r="G461" t="str">
        <f>"9"</f>
        <v>9</v>
      </c>
      <c r="H461" t="str">
        <f>"3"</f>
        <v>3</v>
      </c>
      <c r="I461" s="2">
        <v>84316902.430000007</v>
      </c>
    </row>
    <row r="462" spans="1:9" x14ac:dyDescent="0.25">
      <c r="A462">
        <v>721</v>
      </c>
      <c r="B462" s="1">
        <v>45289</v>
      </c>
      <c r="C462">
        <v>25</v>
      </c>
      <c r="D462" t="str">
        <f t="shared" si="94"/>
        <v>2237</v>
      </c>
      <c r="E462" t="str">
        <f t="shared" si="95"/>
        <v>Счет хранения указаний отправителя в соответствии с валютным законодательством Республики Казахстан</v>
      </c>
      <c r="F462" t="str">
        <f t="shared" ref="F462:F470" si="96">"2"</f>
        <v>2</v>
      </c>
      <c r="G462" t="str">
        <f>"1"</f>
        <v>1</v>
      </c>
      <c r="H462" t="str">
        <f>"1"</f>
        <v>1</v>
      </c>
      <c r="I462" s="2">
        <v>198250</v>
      </c>
    </row>
    <row r="463" spans="1:9" x14ac:dyDescent="0.25">
      <c r="A463">
        <v>296</v>
      </c>
      <c r="B463" s="1">
        <v>45289</v>
      </c>
      <c r="C463">
        <v>25</v>
      </c>
      <c r="D463" t="str">
        <f t="shared" si="94"/>
        <v>2237</v>
      </c>
      <c r="E463" t="str">
        <f t="shared" si="95"/>
        <v>Счет хранения указаний отправителя в соответствии с валютным законодательством Республики Казахстан</v>
      </c>
      <c r="F463" t="str">
        <f t="shared" si="96"/>
        <v>2</v>
      </c>
      <c r="G463" t="str">
        <f>"1"</f>
        <v>1</v>
      </c>
      <c r="H463" t="str">
        <f>"2"</f>
        <v>2</v>
      </c>
      <c r="I463" s="2">
        <v>20089600</v>
      </c>
    </row>
    <row r="464" spans="1:9" x14ac:dyDescent="0.25">
      <c r="A464">
        <v>533</v>
      </c>
      <c r="B464" s="1">
        <v>45289</v>
      </c>
      <c r="C464">
        <v>25</v>
      </c>
      <c r="D464" t="str">
        <f t="shared" si="94"/>
        <v>2237</v>
      </c>
      <c r="E464" t="str">
        <f t="shared" si="95"/>
        <v>Счет хранения указаний отправителя в соответствии с валютным законодательством Республики Казахстан</v>
      </c>
      <c r="F464" t="str">
        <f t="shared" si="96"/>
        <v>2</v>
      </c>
      <c r="G464" t="str">
        <f>"7"</f>
        <v>7</v>
      </c>
      <c r="H464" t="str">
        <f>"1"</f>
        <v>1</v>
      </c>
      <c r="I464" s="2">
        <v>62812620.299999997</v>
      </c>
    </row>
    <row r="465" spans="1:9" x14ac:dyDescent="0.25">
      <c r="A465">
        <v>724</v>
      </c>
      <c r="B465" s="1">
        <v>45289</v>
      </c>
      <c r="C465">
        <v>25</v>
      </c>
      <c r="D465" t="str">
        <f t="shared" si="94"/>
        <v>2237</v>
      </c>
      <c r="E465" t="str">
        <f t="shared" si="95"/>
        <v>Счет хранения указаний отправителя в соответствии с валютным законодательством Республики Казахстан</v>
      </c>
      <c r="F465" t="str">
        <f t="shared" si="96"/>
        <v>2</v>
      </c>
      <c r="G465" t="str">
        <f>"7"</f>
        <v>7</v>
      </c>
      <c r="H465" t="str">
        <f>"2"</f>
        <v>2</v>
      </c>
      <c r="I465" s="2">
        <v>407158715.98000002</v>
      </c>
    </row>
    <row r="466" spans="1:9" x14ac:dyDescent="0.25">
      <c r="A466">
        <v>532</v>
      </c>
      <c r="B466" s="1">
        <v>45289</v>
      </c>
      <c r="C466">
        <v>25</v>
      </c>
      <c r="D466" t="str">
        <f t="shared" si="94"/>
        <v>2237</v>
      </c>
      <c r="E466" t="str">
        <f t="shared" si="95"/>
        <v>Счет хранения указаний отправителя в соответствии с валютным законодательством Республики Казахстан</v>
      </c>
      <c r="F466" t="str">
        <f t="shared" si="96"/>
        <v>2</v>
      </c>
      <c r="G466" t="str">
        <f>"7"</f>
        <v>7</v>
      </c>
      <c r="H466" t="str">
        <f>"3"</f>
        <v>3</v>
      </c>
      <c r="I466" s="2">
        <v>2558722.2799999998</v>
      </c>
    </row>
    <row r="467" spans="1:9" x14ac:dyDescent="0.25">
      <c r="A467">
        <v>722</v>
      </c>
      <c r="B467" s="1">
        <v>45289</v>
      </c>
      <c r="C467">
        <v>25</v>
      </c>
      <c r="D467" t="str">
        <f t="shared" si="94"/>
        <v>2237</v>
      </c>
      <c r="E467" t="str">
        <f t="shared" si="95"/>
        <v>Счет хранения указаний отправителя в соответствии с валютным законодательством Республики Казахстан</v>
      </c>
      <c r="F467" t="str">
        <f t="shared" si="96"/>
        <v>2</v>
      </c>
      <c r="G467" t="str">
        <f>"8"</f>
        <v>8</v>
      </c>
      <c r="H467" t="str">
        <f>"2"</f>
        <v>2</v>
      </c>
      <c r="I467" s="2">
        <v>4500144</v>
      </c>
    </row>
    <row r="468" spans="1:9" x14ac:dyDescent="0.25">
      <c r="A468">
        <v>531</v>
      </c>
      <c r="B468" s="1">
        <v>45289</v>
      </c>
      <c r="C468">
        <v>25</v>
      </c>
      <c r="D468" t="str">
        <f t="shared" si="94"/>
        <v>2237</v>
      </c>
      <c r="E468" t="str">
        <f t="shared" si="95"/>
        <v>Счет хранения указаний отправителя в соответствии с валютным законодательством Республики Казахстан</v>
      </c>
      <c r="F468" t="str">
        <f t="shared" si="96"/>
        <v>2</v>
      </c>
      <c r="G468" t="str">
        <f>"9"</f>
        <v>9</v>
      </c>
      <c r="H468" t="str">
        <f>"1"</f>
        <v>1</v>
      </c>
      <c r="I468" s="2">
        <v>24358186.280000001</v>
      </c>
    </row>
    <row r="469" spans="1:9" x14ac:dyDescent="0.25">
      <c r="A469">
        <v>719</v>
      </c>
      <c r="B469" s="1">
        <v>45289</v>
      </c>
      <c r="C469">
        <v>25</v>
      </c>
      <c r="D469" t="str">
        <f t="shared" si="94"/>
        <v>2237</v>
      </c>
      <c r="E469" t="str">
        <f t="shared" si="95"/>
        <v>Счет хранения указаний отправителя в соответствии с валютным законодательством Республики Казахстан</v>
      </c>
      <c r="F469" t="str">
        <f t="shared" si="96"/>
        <v>2</v>
      </c>
      <c r="G469" t="str">
        <f>"9"</f>
        <v>9</v>
      </c>
      <c r="H469" t="str">
        <f>"2"</f>
        <v>2</v>
      </c>
      <c r="I469" s="2">
        <v>104538030.41</v>
      </c>
    </row>
    <row r="470" spans="1:9" x14ac:dyDescent="0.25">
      <c r="A470">
        <v>60</v>
      </c>
      <c r="B470" s="1">
        <v>45289</v>
      </c>
      <c r="C470">
        <v>25</v>
      </c>
      <c r="D470" t="str">
        <f t="shared" si="94"/>
        <v>2237</v>
      </c>
      <c r="E470" t="str">
        <f t="shared" si="95"/>
        <v>Счет хранения указаний отправителя в соответствии с валютным законодательством Республики Казахстан</v>
      </c>
      <c r="F470" t="str">
        <f t="shared" si="96"/>
        <v>2</v>
      </c>
      <c r="G470" t="str">
        <f>"9"</f>
        <v>9</v>
      </c>
      <c r="H470" t="str">
        <f>"3"</f>
        <v>3</v>
      </c>
      <c r="I470" s="2">
        <v>564190</v>
      </c>
    </row>
    <row r="471" spans="1:9" x14ac:dyDescent="0.25">
      <c r="A471">
        <v>293</v>
      </c>
      <c r="B471" s="1">
        <v>45289</v>
      </c>
      <c r="C471">
        <v>25</v>
      </c>
      <c r="D471" t="str">
        <f>"2239"</f>
        <v>2239</v>
      </c>
      <c r="E471" t="str">
        <f>"Дисконт по вкладам, привлеченным от клиентов"</f>
        <v>Дисконт по вкладам, привлеченным от клиентов</v>
      </c>
      <c r="F471" t="str">
        <f t="shared" ref="F471:F480" si="97">"1"</f>
        <v>1</v>
      </c>
      <c r="G471" t="str">
        <f>"5"</f>
        <v>5</v>
      </c>
      <c r="H471" t="str">
        <f t="shared" ref="H471:H477" si="98">"1"</f>
        <v>1</v>
      </c>
      <c r="I471" s="2">
        <v>-83725704320.600006</v>
      </c>
    </row>
    <row r="472" spans="1:9" x14ac:dyDescent="0.25">
      <c r="A472">
        <v>443</v>
      </c>
      <c r="B472" s="1">
        <v>45289</v>
      </c>
      <c r="C472">
        <v>25</v>
      </c>
      <c r="D472" t="str">
        <f t="shared" ref="D472:D478" si="99">"2240"</f>
        <v>2240</v>
      </c>
      <c r="E472" t="str">
        <f t="shared" ref="E472:E478" si="100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72" t="str">
        <f t="shared" si="97"/>
        <v>1</v>
      </c>
      <c r="G472" t="str">
        <f>"4"</f>
        <v>4</v>
      </c>
      <c r="H472" t="str">
        <f t="shared" si="98"/>
        <v>1</v>
      </c>
      <c r="I472" s="2">
        <v>447156</v>
      </c>
    </row>
    <row r="473" spans="1:9" x14ac:dyDescent="0.25">
      <c r="A473">
        <v>69</v>
      </c>
      <c r="B473" s="1">
        <v>45289</v>
      </c>
      <c r="C473">
        <v>25</v>
      </c>
      <c r="D473" t="str">
        <f t="shared" si="99"/>
        <v>2240</v>
      </c>
      <c r="E473" t="str">
        <f t="shared" si="100"/>
        <v>Счет хранения денег, принятых в качестве обеспечения (заклад, задаток) обязательств клиентов</v>
      </c>
      <c r="F473" t="str">
        <f t="shared" si="97"/>
        <v>1</v>
      </c>
      <c r="G473" t="str">
        <f>"5"</f>
        <v>5</v>
      </c>
      <c r="H473" t="str">
        <f t="shared" si="98"/>
        <v>1</v>
      </c>
      <c r="I473" s="2">
        <v>23515557</v>
      </c>
    </row>
    <row r="474" spans="1:9" x14ac:dyDescent="0.25">
      <c r="A474">
        <v>157</v>
      </c>
      <c r="B474" s="1">
        <v>45289</v>
      </c>
      <c r="C474">
        <v>25</v>
      </c>
      <c r="D474" t="str">
        <f t="shared" si="99"/>
        <v>2240</v>
      </c>
      <c r="E474" t="str">
        <f t="shared" si="100"/>
        <v>Счет хранения денег, принятых в качестве обеспечения (заклад, задаток) обязательств клиентов</v>
      </c>
      <c r="F474" t="str">
        <f t="shared" si="97"/>
        <v>1</v>
      </c>
      <c r="G474" t="str">
        <f>"6"</f>
        <v>6</v>
      </c>
      <c r="H474" t="str">
        <f t="shared" si="98"/>
        <v>1</v>
      </c>
      <c r="I474" s="2">
        <v>4596684.5199999996</v>
      </c>
    </row>
    <row r="475" spans="1:9" x14ac:dyDescent="0.25">
      <c r="A475">
        <v>313</v>
      </c>
      <c r="B475" s="1">
        <v>45289</v>
      </c>
      <c r="C475">
        <v>25</v>
      </c>
      <c r="D475" t="str">
        <f t="shared" si="99"/>
        <v>2240</v>
      </c>
      <c r="E475" t="str">
        <f t="shared" si="100"/>
        <v>Счет хранения денег, принятых в качестве обеспечения (заклад, задаток) обязательств клиентов</v>
      </c>
      <c r="F475" t="str">
        <f t="shared" si="97"/>
        <v>1</v>
      </c>
      <c r="G475" t="str">
        <f>"7"</f>
        <v>7</v>
      </c>
      <c r="H475" t="str">
        <f t="shared" si="98"/>
        <v>1</v>
      </c>
      <c r="I475" s="2">
        <v>11483205586.299999</v>
      </c>
    </row>
    <row r="476" spans="1:9" x14ac:dyDescent="0.25">
      <c r="A476">
        <v>750</v>
      </c>
      <c r="B476" s="1">
        <v>45289</v>
      </c>
      <c r="C476">
        <v>25</v>
      </c>
      <c r="D476" t="str">
        <f t="shared" si="99"/>
        <v>2240</v>
      </c>
      <c r="E476" t="str">
        <f t="shared" si="100"/>
        <v>Счет хранения денег, принятых в качестве обеспечения (заклад, задаток) обязательств клиентов</v>
      </c>
      <c r="F476" t="str">
        <f t="shared" si="97"/>
        <v>1</v>
      </c>
      <c r="G476" t="str">
        <f>"8"</f>
        <v>8</v>
      </c>
      <c r="H476" t="str">
        <f t="shared" si="98"/>
        <v>1</v>
      </c>
      <c r="I476" s="2">
        <v>1319727458.6700001</v>
      </c>
    </row>
    <row r="477" spans="1:9" x14ac:dyDescent="0.25">
      <c r="A477">
        <v>156</v>
      </c>
      <c r="B477" s="1">
        <v>45289</v>
      </c>
      <c r="C477">
        <v>25</v>
      </c>
      <c r="D477" t="str">
        <f t="shared" si="99"/>
        <v>2240</v>
      </c>
      <c r="E477" t="str">
        <f t="shared" si="100"/>
        <v>Счет хранения денег, принятых в качестве обеспечения (заклад, задаток) обязательств клиентов</v>
      </c>
      <c r="F477" t="str">
        <f t="shared" si="97"/>
        <v>1</v>
      </c>
      <c r="G477" t="str">
        <f t="shared" ref="G477:G482" si="101">"9"</f>
        <v>9</v>
      </c>
      <c r="H477" t="str">
        <f t="shared" si="98"/>
        <v>1</v>
      </c>
      <c r="I477" s="2">
        <v>7233117797.3800001</v>
      </c>
    </row>
    <row r="478" spans="1:9" x14ac:dyDescent="0.25">
      <c r="A478">
        <v>751</v>
      </c>
      <c r="B478" s="1">
        <v>45289</v>
      </c>
      <c r="C478">
        <v>25</v>
      </c>
      <c r="D478" t="str">
        <f t="shared" si="99"/>
        <v>2240</v>
      </c>
      <c r="E478" t="str">
        <f t="shared" si="100"/>
        <v>Счет хранения денег, принятых в качестве обеспечения (заклад, задаток) обязательств клиентов</v>
      </c>
      <c r="F478" t="str">
        <f t="shared" si="97"/>
        <v>1</v>
      </c>
      <c r="G478" t="str">
        <f t="shared" si="101"/>
        <v>9</v>
      </c>
      <c r="H478" t="str">
        <f>"2"</f>
        <v>2</v>
      </c>
      <c r="I478" s="2">
        <v>23203488</v>
      </c>
    </row>
    <row r="479" spans="1:9" x14ac:dyDescent="0.25">
      <c r="A479">
        <v>200</v>
      </c>
      <c r="B479" s="1">
        <v>45289</v>
      </c>
      <c r="C479">
        <v>25</v>
      </c>
      <c r="D479" t="str">
        <f>"2241"</f>
        <v>2241</v>
      </c>
      <c r="E479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79" t="str">
        <f t="shared" si="97"/>
        <v>1</v>
      </c>
      <c r="G479" t="str">
        <f t="shared" si="101"/>
        <v>9</v>
      </c>
      <c r="H479" t="str">
        <f>"1"</f>
        <v>1</v>
      </c>
      <c r="I479" s="2">
        <v>15788871251.639999</v>
      </c>
    </row>
    <row r="480" spans="1:9" x14ac:dyDescent="0.25">
      <c r="A480">
        <v>582</v>
      </c>
      <c r="B480" s="1">
        <v>45289</v>
      </c>
      <c r="C480">
        <v>25</v>
      </c>
      <c r="D480" t="str">
        <f>"2241"</f>
        <v>2241</v>
      </c>
      <c r="E480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80" t="str">
        <f t="shared" si="97"/>
        <v>1</v>
      </c>
      <c r="G480" t="str">
        <f t="shared" si="101"/>
        <v>9</v>
      </c>
      <c r="H480" t="str">
        <f>"2"</f>
        <v>2</v>
      </c>
      <c r="I480" s="2">
        <v>8207005653.1899996</v>
      </c>
    </row>
    <row r="481" spans="1:9" x14ac:dyDescent="0.25">
      <c r="A481">
        <v>580</v>
      </c>
      <c r="B481" s="1">
        <v>45289</v>
      </c>
      <c r="C481">
        <v>25</v>
      </c>
      <c r="D481" t="str">
        <f>"2241"</f>
        <v>2241</v>
      </c>
      <c r="E481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81" t="str">
        <f>"2"</f>
        <v>2</v>
      </c>
      <c r="G481" t="str">
        <f t="shared" si="101"/>
        <v>9</v>
      </c>
      <c r="H481" t="str">
        <f>"1"</f>
        <v>1</v>
      </c>
      <c r="I481" s="2">
        <v>203500010</v>
      </c>
    </row>
    <row r="482" spans="1:9" x14ac:dyDescent="0.25">
      <c r="A482">
        <v>581</v>
      </c>
      <c r="B482" s="1">
        <v>45289</v>
      </c>
      <c r="C482">
        <v>25</v>
      </c>
      <c r="D482" t="str">
        <f>"2241"</f>
        <v>2241</v>
      </c>
      <c r="E482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82" t="str">
        <f>"2"</f>
        <v>2</v>
      </c>
      <c r="G482" t="str">
        <f t="shared" si="101"/>
        <v>9</v>
      </c>
      <c r="H482" t="str">
        <f>"2"</f>
        <v>2</v>
      </c>
      <c r="I482" s="2">
        <v>12000384</v>
      </c>
    </row>
    <row r="483" spans="1:9" x14ac:dyDescent="0.25">
      <c r="A483">
        <v>150</v>
      </c>
      <c r="B483" s="1">
        <v>45289</v>
      </c>
      <c r="C483">
        <v>25</v>
      </c>
      <c r="D483" t="str">
        <f>"2255"</f>
        <v>2255</v>
      </c>
      <c r="E483" t="str">
        <f>"Операции «РЕПО» с ценными бумагами"</f>
        <v>Операции «РЕПО» с ценными бумагами</v>
      </c>
      <c r="F483" t="str">
        <f t="shared" ref="F483:F500" si="102">"1"</f>
        <v>1</v>
      </c>
      <c r="G483" t="str">
        <f t="shared" ref="G483:G492" si="103">"5"</f>
        <v>5</v>
      </c>
      <c r="H483" t="str">
        <f>"1"</f>
        <v>1</v>
      </c>
      <c r="I483" s="2">
        <v>145146722828.23001</v>
      </c>
    </row>
    <row r="484" spans="1:9" x14ac:dyDescent="0.25">
      <c r="A484">
        <v>730</v>
      </c>
      <c r="B484" s="1">
        <v>45289</v>
      </c>
      <c r="C484">
        <v>25</v>
      </c>
      <c r="D484" t="str">
        <f>"2255"</f>
        <v>2255</v>
      </c>
      <c r="E484" t="str">
        <f>"Операции «РЕПО» с ценными бумагами"</f>
        <v>Операции «РЕПО» с ценными бумагами</v>
      </c>
      <c r="F484" t="str">
        <f t="shared" si="102"/>
        <v>1</v>
      </c>
      <c r="G484" t="str">
        <f t="shared" si="103"/>
        <v>5</v>
      </c>
      <c r="H484" t="str">
        <f>"2"</f>
        <v>2</v>
      </c>
      <c r="I484" s="2">
        <v>17956605365.709999</v>
      </c>
    </row>
    <row r="485" spans="1:9" x14ac:dyDescent="0.25">
      <c r="A485">
        <v>731</v>
      </c>
      <c r="B485" s="1">
        <v>45289</v>
      </c>
      <c r="C485">
        <v>25</v>
      </c>
      <c r="D485" t="str">
        <f>"2301"</f>
        <v>2301</v>
      </c>
      <c r="E485" t="str">
        <f>"Выпущенные в обращение облигации"</f>
        <v>Выпущенные в обращение облигации</v>
      </c>
      <c r="F485" t="str">
        <f t="shared" si="102"/>
        <v>1</v>
      </c>
      <c r="G485" t="str">
        <f t="shared" si="103"/>
        <v>5</v>
      </c>
      <c r="H485" t="str">
        <f>"1"</f>
        <v>1</v>
      </c>
      <c r="I485" s="2">
        <v>269958859000</v>
      </c>
    </row>
    <row r="486" spans="1:9" x14ac:dyDescent="0.25">
      <c r="A486">
        <v>62</v>
      </c>
      <c r="B486" s="1">
        <v>45289</v>
      </c>
      <c r="C486">
        <v>25</v>
      </c>
      <c r="D486" t="str">
        <f>"2301"</f>
        <v>2301</v>
      </c>
      <c r="E486" t="str">
        <f>"Выпущенные в обращение облигации"</f>
        <v>Выпущенные в обращение облигации</v>
      </c>
      <c r="F486" t="str">
        <f t="shared" si="102"/>
        <v>1</v>
      </c>
      <c r="G486" t="str">
        <f t="shared" si="103"/>
        <v>5</v>
      </c>
      <c r="H486" t="str">
        <f>"2"</f>
        <v>2</v>
      </c>
      <c r="I486" s="2">
        <v>25318992000</v>
      </c>
    </row>
    <row r="487" spans="1:9" x14ac:dyDescent="0.25">
      <c r="A487">
        <v>536</v>
      </c>
      <c r="B487" s="1">
        <v>45289</v>
      </c>
      <c r="C487">
        <v>25</v>
      </c>
      <c r="D487" t="str">
        <f>"2305"</f>
        <v>2305</v>
      </c>
      <c r="E487" t="str">
        <f>"Дисконт по выпущенным в обращение ценным бумагам"</f>
        <v>Дисконт по выпущенным в обращение ценным бумагам</v>
      </c>
      <c r="F487" t="str">
        <f t="shared" si="102"/>
        <v>1</v>
      </c>
      <c r="G487" t="str">
        <f t="shared" si="103"/>
        <v>5</v>
      </c>
      <c r="H487" t="str">
        <f>"1"</f>
        <v>1</v>
      </c>
      <c r="I487" s="2">
        <v>-19121740589.419998</v>
      </c>
    </row>
    <row r="488" spans="1:9" x14ac:dyDescent="0.25">
      <c r="A488">
        <v>732</v>
      </c>
      <c r="B488" s="1">
        <v>45289</v>
      </c>
      <c r="C488">
        <v>25</v>
      </c>
      <c r="D488" t="str">
        <f>"2306"</f>
        <v>2306</v>
      </c>
      <c r="E488" t="str">
        <f>"Выкупленные облигации"</f>
        <v>Выкупленные облигации</v>
      </c>
      <c r="F488" t="str">
        <f t="shared" si="102"/>
        <v>1</v>
      </c>
      <c r="G488" t="str">
        <f t="shared" si="103"/>
        <v>5</v>
      </c>
      <c r="H488" t="str">
        <f>"2"</f>
        <v>2</v>
      </c>
      <c r="I488" s="2">
        <v>-11591280000</v>
      </c>
    </row>
    <row r="489" spans="1:9" x14ac:dyDescent="0.25">
      <c r="A489">
        <v>713</v>
      </c>
      <c r="B489" s="1">
        <v>45289</v>
      </c>
      <c r="C489">
        <v>25</v>
      </c>
      <c r="D489" t="str">
        <f>"2404"</f>
        <v>2404</v>
      </c>
      <c r="E489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89" t="str">
        <f t="shared" si="102"/>
        <v>1</v>
      </c>
      <c r="G489" t="str">
        <f t="shared" si="103"/>
        <v>5</v>
      </c>
      <c r="H489" t="str">
        <f t="shared" ref="H489:H495" si="104">"1"</f>
        <v>1</v>
      </c>
      <c r="I489" s="2">
        <v>-15138.37</v>
      </c>
    </row>
    <row r="490" spans="1:9" x14ac:dyDescent="0.25">
      <c r="A490">
        <v>70</v>
      </c>
      <c r="B490" s="1">
        <v>45289</v>
      </c>
      <c r="C490">
        <v>25</v>
      </c>
      <c r="D490" t="str">
        <f>"2405"</f>
        <v>2405</v>
      </c>
      <c r="E490" t="str">
        <f>"Выкупленные субординированные облигации"</f>
        <v>Выкупленные субординированные облигации</v>
      </c>
      <c r="F490" t="str">
        <f t="shared" si="102"/>
        <v>1</v>
      </c>
      <c r="G490" t="str">
        <f t="shared" si="103"/>
        <v>5</v>
      </c>
      <c r="H490" t="str">
        <f t="shared" si="104"/>
        <v>1</v>
      </c>
      <c r="I490" s="2">
        <v>-2531946341.0900002</v>
      </c>
    </row>
    <row r="491" spans="1:9" x14ac:dyDescent="0.25">
      <c r="A491">
        <v>58</v>
      </c>
      <c r="B491" s="1">
        <v>45289</v>
      </c>
      <c r="C491">
        <v>25</v>
      </c>
      <c r="D491" t="str">
        <f>"2406"</f>
        <v>2406</v>
      </c>
      <c r="E491" t="str">
        <f>"Субординированные облигации"</f>
        <v>Субординированные облигации</v>
      </c>
      <c r="F491" t="str">
        <f t="shared" si="102"/>
        <v>1</v>
      </c>
      <c r="G491" t="str">
        <f t="shared" si="103"/>
        <v>5</v>
      </c>
      <c r="H491" t="str">
        <f t="shared" si="104"/>
        <v>1</v>
      </c>
      <c r="I491" s="2">
        <v>16737521049.299999</v>
      </c>
    </row>
    <row r="492" spans="1:9" x14ac:dyDescent="0.25">
      <c r="A492">
        <v>304</v>
      </c>
      <c r="B492" s="1">
        <v>45289</v>
      </c>
      <c r="C492">
        <v>25</v>
      </c>
      <c r="D492" t="str">
        <f>"2703"</f>
        <v>2703</v>
      </c>
      <c r="E492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92" t="str">
        <f t="shared" si="102"/>
        <v>1</v>
      </c>
      <c r="G492" t="str">
        <f t="shared" si="103"/>
        <v>5</v>
      </c>
      <c r="H492" t="str">
        <f t="shared" si="104"/>
        <v>1</v>
      </c>
      <c r="I492" s="2">
        <v>190671153.81</v>
      </c>
    </row>
    <row r="493" spans="1:9" x14ac:dyDescent="0.25">
      <c r="A493">
        <v>733</v>
      </c>
      <c r="B493" s="1">
        <v>45289</v>
      </c>
      <c r="C493">
        <v>25</v>
      </c>
      <c r="D493" t="str">
        <f>"2705"</f>
        <v>2705</v>
      </c>
      <c r="E493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93" t="str">
        <f t="shared" si="102"/>
        <v>1</v>
      </c>
      <c r="G493" t="str">
        <f>"4"</f>
        <v>4</v>
      </c>
      <c r="H493" t="str">
        <f t="shared" si="104"/>
        <v>1</v>
      </c>
      <c r="I493" s="2">
        <v>55791267.719999999</v>
      </c>
    </row>
    <row r="494" spans="1:9" x14ac:dyDescent="0.25">
      <c r="A494">
        <v>432</v>
      </c>
      <c r="B494" s="1">
        <v>45289</v>
      </c>
      <c r="C494">
        <v>25</v>
      </c>
      <c r="D494" t="str">
        <f>"2706"</f>
        <v>2706</v>
      </c>
      <c r="E494" t="str">
        <f>"Начисленные расходы по займам и финансовому лизингу"</f>
        <v>Начисленные расходы по займам и финансовому лизингу</v>
      </c>
      <c r="F494" t="str">
        <f t="shared" si="102"/>
        <v>1</v>
      </c>
      <c r="G494" t="str">
        <f>"5"</f>
        <v>5</v>
      </c>
      <c r="H494" t="str">
        <f t="shared" si="104"/>
        <v>1</v>
      </c>
      <c r="I494" s="2">
        <v>91643837.109999999</v>
      </c>
    </row>
    <row r="495" spans="1:9" x14ac:dyDescent="0.25">
      <c r="A495">
        <v>152</v>
      </c>
      <c r="B495" s="1">
        <v>45289</v>
      </c>
      <c r="C495">
        <v>25</v>
      </c>
      <c r="D495" t="str">
        <f>"2707"</f>
        <v>2707</v>
      </c>
      <c r="E495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95" t="str">
        <f t="shared" si="102"/>
        <v>1</v>
      </c>
      <c r="G495" t="str">
        <f>"9"</f>
        <v>9</v>
      </c>
      <c r="H495" t="str">
        <f t="shared" si="104"/>
        <v>1</v>
      </c>
      <c r="I495" s="2">
        <v>33140.720000000001</v>
      </c>
    </row>
    <row r="496" spans="1:9" x14ac:dyDescent="0.25">
      <c r="A496">
        <v>64</v>
      </c>
      <c r="B496" s="1">
        <v>45289</v>
      </c>
      <c r="C496">
        <v>25</v>
      </c>
      <c r="D496" t="str">
        <f>"2707"</f>
        <v>2707</v>
      </c>
      <c r="E496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96" t="str">
        <f t="shared" si="102"/>
        <v>1</v>
      </c>
      <c r="G496" t="str">
        <f>"9"</f>
        <v>9</v>
      </c>
      <c r="H496" t="str">
        <f>"2"</f>
        <v>2</v>
      </c>
      <c r="I496" s="2">
        <v>3537081.36</v>
      </c>
    </row>
    <row r="497" spans="1:9" x14ac:dyDescent="0.25">
      <c r="A497">
        <v>441</v>
      </c>
      <c r="B497" s="1">
        <v>45289</v>
      </c>
      <c r="C497">
        <v>25</v>
      </c>
      <c r="D497" t="str">
        <f>"2718"</f>
        <v>2718</v>
      </c>
      <c r="E497" t="str">
        <f>"Начисленные расходы по текущим счетам клиентов"</f>
        <v>Начисленные расходы по текущим счетам клиентов</v>
      </c>
      <c r="F497" t="str">
        <f t="shared" si="102"/>
        <v>1</v>
      </c>
      <c r="G497" t="str">
        <f>"6"</f>
        <v>6</v>
      </c>
      <c r="H497" t="str">
        <f>"1"</f>
        <v>1</v>
      </c>
      <c r="I497" s="2">
        <v>3375.7</v>
      </c>
    </row>
    <row r="498" spans="1:9" x14ac:dyDescent="0.25">
      <c r="A498">
        <v>743</v>
      </c>
      <c r="B498" s="1">
        <v>45289</v>
      </c>
      <c r="C498">
        <v>25</v>
      </c>
      <c r="D498" t="str">
        <f>"2718"</f>
        <v>2718</v>
      </c>
      <c r="E498" t="str">
        <f>"Начисленные расходы по текущим счетам клиентов"</f>
        <v>Начисленные расходы по текущим счетам клиентов</v>
      </c>
      <c r="F498" t="str">
        <f t="shared" si="102"/>
        <v>1</v>
      </c>
      <c r="G498" t="str">
        <f>"7"</f>
        <v>7</v>
      </c>
      <c r="H498" t="str">
        <f>"1"</f>
        <v>1</v>
      </c>
      <c r="I498" s="2">
        <v>119776.73</v>
      </c>
    </row>
    <row r="499" spans="1:9" x14ac:dyDescent="0.25">
      <c r="A499">
        <v>742</v>
      </c>
      <c r="B499" s="1">
        <v>45289</v>
      </c>
      <c r="C499">
        <v>25</v>
      </c>
      <c r="D499" t="str">
        <f>"2718"</f>
        <v>2718</v>
      </c>
      <c r="E499" t="str">
        <f>"Начисленные расходы по текущим счетам клиентов"</f>
        <v>Начисленные расходы по текущим счетам клиентов</v>
      </c>
      <c r="F499" t="str">
        <f t="shared" si="102"/>
        <v>1</v>
      </c>
      <c r="G499" t="str">
        <f>"9"</f>
        <v>9</v>
      </c>
      <c r="H499" t="str">
        <f>"1"</f>
        <v>1</v>
      </c>
      <c r="I499" s="2">
        <v>1950887.04</v>
      </c>
    </row>
    <row r="500" spans="1:9" x14ac:dyDescent="0.25">
      <c r="A500">
        <v>542</v>
      </c>
      <c r="B500" s="1">
        <v>45289</v>
      </c>
      <c r="C500">
        <v>25</v>
      </c>
      <c r="D500" t="str">
        <f>"2718"</f>
        <v>2718</v>
      </c>
      <c r="E500" t="str">
        <f>"Начисленные расходы по текущим счетам клиентов"</f>
        <v>Начисленные расходы по текущим счетам клиентов</v>
      </c>
      <c r="F500" t="str">
        <f t="shared" si="102"/>
        <v>1</v>
      </c>
      <c r="G500" t="str">
        <f>"9"</f>
        <v>9</v>
      </c>
      <c r="H500" t="str">
        <f>"2"</f>
        <v>2</v>
      </c>
      <c r="I500" s="2">
        <v>296.32</v>
      </c>
    </row>
    <row r="501" spans="1:9" x14ac:dyDescent="0.25">
      <c r="A501">
        <v>310</v>
      </c>
      <c r="B501" s="1">
        <v>45289</v>
      </c>
      <c r="C501">
        <v>25</v>
      </c>
      <c r="D501" t="str">
        <f>"2718"</f>
        <v>2718</v>
      </c>
      <c r="E501" t="str">
        <f>"Начисленные расходы по текущим счетам клиентов"</f>
        <v>Начисленные расходы по текущим счетам клиентов</v>
      </c>
      <c r="F501" t="str">
        <f>"2"</f>
        <v>2</v>
      </c>
      <c r="G501" t="str">
        <f>"9"</f>
        <v>9</v>
      </c>
      <c r="H501" t="str">
        <f>"1"</f>
        <v>1</v>
      </c>
      <c r="I501" s="2">
        <v>44.16</v>
      </c>
    </row>
    <row r="502" spans="1:9" x14ac:dyDescent="0.25">
      <c r="A502">
        <v>439</v>
      </c>
      <c r="B502" s="1">
        <v>45289</v>
      </c>
      <c r="C502">
        <v>25</v>
      </c>
      <c r="D502" t="str">
        <f t="shared" ref="D502:D510" si="105">"2719"</f>
        <v>2719</v>
      </c>
      <c r="E502" t="str">
        <f t="shared" ref="E502:E510" si="106">"Начисленные расходы по условным вкладам клиентов"</f>
        <v>Начисленные расходы по условным вкладам клиентов</v>
      </c>
      <c r="F502" t="str">
        <f t="shared" ref="F502:F507" si="107">"1"</f>
        <v>1</v>
      </c>
      <c r="G502" t="str">
        <f>"5"</f>
        <v>5</v>
      </c>
      <c r="H502" t="str">
        <f>"1"</f>
        <v>1</v>
      </c>
      <c r="I502" s="2">
        <v>773923.28</v>
      </c>
    </row>
    <row r="503" spans="1:9" x14ac:dyDescent="0.25">
      <c r="A503">
        <v>734</v>
      </c>
      <c r="B503" s="1">
        <v>45289</v>
      </c>
      <c r="C503">
        <v>25</v>
      </c>
      <c r="D503" t="str">
        <f t="shared" si="105"/>
        <v>2719</v>
      </c>
      <c r="E503" t="str">
        <f t="shared" si="106"/>
        <v>Начисленные расходы по условным вкладам клиентов</v>
      </c>
      <c r="F503" t="str">
        <f t="shared" si="107"/>
        <v>1</v>
      </c>
      <c r="G503" t="str">
        <f>"6"</f>
        <v>6</v>
      </c>
      <c r="H503" t="str">
        <f>"1"</f>
        <v>1</v>
      </c>
      <c r="I503" s="2">
        <v>90385.5</v>
      </c>
    </row>
    <row r="504" spans="1:9" x14ac:dyDescent="0.25">
      <c r="A504">
        <v>151</v>
      </c>
      <c r="B504" s="1">
        <v>45289</v>
      </c>
      <c r="C504">
        <v>25</v>
      </c>
      <c r="D504" t="str">
        <f t="shared" si="105"/>
        <v>2719</v>
      </c>
      <c r="E504" t="str">
        <f t="shared" si="106"/>
        <v>Начисленные расходы по условным вкладам клиентов</v>
      </c>
      <c r="F504" t="str">
        <f t="shared" si="107"/>
        <v>1</v>
      </c>
      <c r="G504" t="str">
        <f>"7"</f>
        <v>7</v>
      </c>
      <c r="H504" t="str">
        <f>"1"</f>
        <v>1</v>
      </c>
      <c r="I504" s="2">
        <v>149155331.81</v>
      </c>
    </row>
    <row r="505" spans="1:9" x14ac:dyDescent="0.25">
      <c r="A505">
        <v>305</v>
      </c>
      <c r="B505" s="1">
        <v>45289</v>
      </c>
      <c r="C505">
        <v>25</v>
      </c>
      <c r="D505" t="str">
        <f t="shared" si="105"/>
        <v>2719</v>
      </c>
      <c r="E505" t="str">
        <f t="shared" si="106"/>
        <v>Начисленные расходы по условным вкладам клиентов</v>
      </c>
      <c r="F505" t="str">
        <f t="shared" si="107"/>
        <v>1</v>
      </c>
      <c r="G505" t="str">
        <f>"7"</f>
        <v>7</v>
      </c>
      <c r="H505" t="str">
        <f>"2"</f>
        <v>2</v>
      </c>
      <c r="I505" s="2">
        <v>31342447.219999999</v>
      </c>
    </row>
    <row r="506" spans="1:9" x14ac:dyDescent="0.25">
      <c r="A506">
        <v>306</v>
      </c>
      <c r="B506" s="1">
        <v>45289</v>
      </c>
      <c r="C506">
        <v>25</v>
      </c>
      <c r="D506" t="str">
        <f t="shared" si="105"/>
        <v>2719</v>
      </c>
      <c r="E506" t="str">
        <f t="shared" si="106"/>
        <v>Начисленные расходы по условным вкладам клиентов</v>
      </c>
      <c r="F506" t="str">
        <f t="shared" si="107"/>
        <v>1</v>
      </c>
      <c r="G506" t="str">
        <f>"8"</f>
        <v>8</v>
      </c>
      <c r="H506" t="str">
        <f>"1"</f>
        <v>1</v>
      </c>
      <c r="I506" s="2">
        <v>40044.36</v>
      </c>
    </row>
    <row r="507" spans="1:9" x14ac:dyDescent="0.25">
      <c r="A507">
        <v>735</v>
      </c>
      <c r="B507" s="1">
        <v>45289</v>
      </c>
      <c r="C507">
        <v>25</v>
      </c>
      <c r="D507" t="str">
        <f t="shared" si="105"/>
        <v>2719</v>
      </c>
      <c r="E507" t="str">
        <f t="shared" si="106"/>
        <v>Начисленные расходы по условным вкладам клиентов</v>
      </c>
      <c r="F507" t="str">
        <f t="shared" si="107"/>
        <v>1</v>
      </c>
      <c r="G507" t="str">
        <f>"9"</f>
        <v>9</v>
      </c>
      <c r="H507" t="str">
        <f>"1"</f>
        <v>1</v>
      </c>
      <c r="I507" s="2">
        <v>274025.57</v>
      </c>
    </row>
    <row r="508" spans="1:9" x14ac:dyDescent="0.25">
      <c r="A508">
        <v>63</v>
      </c>
      <c r="B508" s="1">
        <v>45289</v>
      </c>
      <c r="C508">
        <v>25</v>
      </c>
      <c r="D508" t="str">
        <f t="shared" si="105"/>
        <v>2719</v>
      </c>
      <c r="E508" t="str">
        <f t="shared" si="106"/>
        <v>Начисленные расходы по условным вкладам клиентов</v>
      </c>
      <c r="F508" t="str">
        <f>"2"</f>
        <v>2</v>
      </c>
      <c r="G508" t="str">
        <f>"7"</f>
        <v>7</v>
      </c>
      <c r="H508" t="str">
        <f>"1"</f>
        <v>1</v>
      </c>
      <c r="I508" s="2">
        <v>8104.95</v>
      </c>
    </row>
    <row r="509" spans="1:9" x14ac:dyDescent="0.25">
      <c r="A509">
        <v>438</v>
      </c>
      <c r="B509" s="1">
        <v>45289</v>
      </c>
      <c r="C509">
        <v>25</v>
      </c>
      <c r="D509" t="str">
        <f t="shared" si="105"/>
        <v>2719</v>
      </c>
      <c r="E509" t="str">
        <f t="shared" si="106"/>
        <v>Начисленные расходы по условным вкладам клиентов</v>
      </c>
      <c r="F509" t="str">
        <f>"2"</f>
        <v>2</v>
      </c>
      <c r="G509" t="str">
        <f>"8"</f>
        <v>8</v>
      </c>
      <c r="H509" t="str">
        <f>"3"</f>
        <v>3</v>
      </c>
      <c r="I509" s="2">
        <v>63039.86</v>
      </c>
    </row>
    <row r="510" spans="1:9" x14ac:dyDescent="0.25">
      <c r="A510">
        <v>537</v>
      </c>
      <c r="B510" s="1">
        <v>45289</v>
      </c>
      <c r="C510">
        <v>25</v>
      </c>
      <c r="D510" t="str">
        <f t="shared" si="105"/>
        <v>2719</v>
      </c>
      <c r="E510" t="str">
        <f t="shared" si="106"/>
        <v>Начисленные расходы по условным вкладам клиентов</v>
      </c>
      <c r="F510" t="str">
        <f>"2"</f>
        <v>2</v>
      </c>
      <c r="G510" t="str">
        <f>"9"</f>
        <v>9</v>
      </c>
      <c r="H510" t="str">
        <f>"1"</f>
        <v>1</v>
      </c>
      <c r="I510" s="2">
        <v>1739.43</v>
      </c>
    </row>
    <row r="511" spans="1:9" x14ac:dyDescent="0.25">
      <c r="A511">
        <v>436</v>
      </c>
      <c r="B511" s="1">
        <v>45289</v>
      </c>
      <c r="C511">
        <v>25</v>
      </c>
      <c r="D511" t="str">
        <f>"2720"</f>
        <v>2720</v>
      </c>
      <c r="E5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11" t="str">
        <f>"1"</f>
        <v>1</v>
      </c>
      <c r="G511" t="str">
        <f>"7"</f>
        <v>7</v>
      </c>
      <c r="H511" t="str">
        <f>"1"</f>
        <v>1</v>
      </c>
      <c r="I511" s="2">
        <v>70378.06</v>
      </c>
    </row>
    <row r="512" spans="1:9" x14ac:dyDescent="0.25">
      <c r="A512">
        <v>148</v>
      </c>
      <c r="B512" s="1">
        <v>45289</v>
      </c>
      <c r="C512">
        <v>25</v>
      </c>
      <c r="D512" t="str">
        <f>"2720"</f>
        <v>2720</v>
      </c>
      <c r="E51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12" t="str">
        <f>"1"</f>
        <v>1</v>
      </c>
      <c r="G512" t="str">
        <f>"9"</f>
        <v>9</v>
      </c>
      <c r="H512" t="str">
        <f>"1"</f>
        <v>1</v>
      </c>
      <c r="I512" s="2">
        <v>138815.41</v>
      </c>
    </row>
    <row r="513" spans="1:9" x14ac:dyDescent="0.25">
      <c r="A513">
        <v>298</v>
      </c>
      <c r="B513" s="1">
        <v>45289</v>
      </c>
      <c r="C513">
        <v>25</v>
      </c>
      <c r="D513" t="str">
        <f>"2720"</f>
        <v>2720</v>
      </c>
      <c r="E513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13" t="str">
        <f>"1"</f>
        <v>1</v>
      </c>
      <c r="G513" t="str">
        <f>"9"</f>
        <v>9</v>
      </c>
      <c r="H513" t="str">
        <f>"2"</f>
        <v>2</v>
      </c>
      <c r="I513" s="2">
        <v>348.26</v>
      </c>
    </row>
    <row r="514" spans="1:9" x14ac:dyDescent="0.25">
      <c r="A514">
        <v>725</v>
      </c>
      <c r="B514" s="1">
        <v>45289</v>
      </c>
      <c r="C514">
        <v>25</v>
      </c>
      <c r="D514" t="str">
        <f>"2720"</f>
        <v>2720</v>
      </c>
      <c r="E514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14" t="str">
        <f>"2"</f>
        <v>2</v>
      </c>
      <c r="G514" t="str">
        <f>"9"</f>
        <v>9</v>
      </c>
      <c r="H514" t="str">
        <f>"1"</f>
        <v>1</v>
      </c>
      <c r="I514" s="2">
        <v>1.83</v>
      </c>
    </row>
    <row r="515" spans="1:9" x14ac:dyDescent="0.25">
      <c r="A515">
        <v>741</v>
      </c>
      <c r="B515" s="1">
        <v>45289</v>
      </c>
      <c r="C515">
        <v>25</v>
      </c>
      <c r="D515" t="str">
        <f t="shared" ref="D515:D530" si="108">"2721"</f>
        <v>2721</v>
      </c>
      <c r="E515" t="str">
        <f t="shared" ref="E515:E530" si="109">"Начисленные расходы по срочным вкладам клиентов"</f>
        <v>Начисленные расходы по срочным вкладам клиентов</v>
      </c>
      <c r="F515" t="str">
        <f>"1"</f>
        <v>1</v>
      </c>
      <c r="G515" t="str">
        <f>"1"</f>
        <v>1</v>
      </c>
      <c r="H515" t="str">
        <f>"1"</f>
        <v>1</v>
      </c>
      <c r="I515" s="2">
        <v>1251237.98</v>
      </c>
    </row>
    <row r="516" spans="1:9" x14ac:dyDescent="0.25">
      <c r="A516">
        <v>738</v>
      </c>
      <c r="B516" s="1">
        <v>45289</v>
      </c>
      <c r="C516">
        <v>25</v>
      </c>
      <c r="D516" t="str">
        <f t="shared" si="108"/>
        <v>2721</v>
      </c>
      <c r="E516" t="str">
        <f t="shared" si="109"/>
        <v>Начисленные расходы по срочным вкладам клиентов</v>
      </c>
      <c r="F516" t="str">
        <f t="shared" ref="F516:F526" si="110">"1"</f>
        <v>1</v>
      </c>
      <c r="G516" t="str">
        <f>"5"</f>
        <v>5</v>
      </c>
      <c r="H516" t="str">
        <f>"1"</f>
        <v>1</v>
      </c>
      <c r="I516" s="2">
        <v>1412177420.79</v>
      </c>
    </row>
    <row r="517" spans="1:9" x14ac:dyDescent="0.25">
      <c r="A517">
        <v>538</v>
      </c>
      <c r="B517" s="1">
        <v>45289</v>
      </c>
      <c r="C517">
        <v>25</v>
      </c>
      <c r="D517" t="str">
        <f t="shared" si="108"/>
        <v>2721</v>
      </c>
      <c r="E517" t="str">
        <f t="shared" si="109"/>
        <v>Начисленные расходы по срочным вкладам клиентов</v>
      </c>
      <c r="F517" t="str">
        <f t="shared" si="110"/>
        <v>1</v>
      </c>
      <c r="G517" t="str">
        <f>"5"</f>
        <v>5</v>
      </c>
      <c r="H517" t="str">
        <f>"2"</f>
        <v>2</v>
      </c>
      <c r="I517" s="2">
        <v>3909847.84</v>
      </c>
    </row>
    <row r="518" spans="1:9" x14ac:dyDescent="0.25">
      <c r="A518">
        <v>308</v>
      </c>
      <c r="B518" s="1">
        <v>45289</v>
      </c>
      <c r="C518">
        <v>25</v>
      </c>
      <c r="D518" t="str">
        <f t="shared" si="108"/>
        <v>2721</v>
      </c>
      <c r="E518" t="str">
        <f t="shared" si="109"/>
        <v>Начисленные расходы по срочным вкладам клиентов</v>
      </c>
      <c r="F518" t="str">
        <f t="shared" si="110"/>
        <v>1</v>
      </c>
      <c r="G518" t="str">
        <f>"6"</f>
        <v>6</v>
      </c>
      <c r="H518" t="str">
        <f>"1"</f>
        <v>1</v>
      </c>
      <c r="I518" s="2">
        <v>1083513182.3800001</v>
      </c>
    </row>
    <row r="519" spans="1:9" x14ac:dyDescent="0.25">
      <c r="A519">
        <v>739</v>
      </c>
      <c r="B519" s="1">
        <v>45289</v>
      </c>
      <c r="C519">
        <v>25</v>
      </c>
      <c r="D519" t="str">
        <f t="shared" si="108"/>
        <v>2721</v>
      </c>
      <c r="E519" t="str">
        <f t="shared" si="109"/>
        <v>Начисленные расходы по срочным вкладам клиентов</v>
      </c>
      <c r="F519" t="str">
        <f t="shared" si="110"/>
        <v>1</v>
      </c>
      <c r="G519" t="str">
        <f>"6"</f>
        <v>6</v>
      </c>
      <c r="H519" t="str">
        <f>"2"</f>
        <v>2</v>
      </c>
      <c r="I519" s="2">
        <v>6163.83</v>
      </c>
    </row>
    <row r="520" spans="1:9" x14ac:dyDescent="0.25">
      <c r="A520">
        <v>65</v>
      </c>
      <c r="B520" s="1">
        <v>45289</v>
      </c>
      <c r="C520">
        <v>25</v>
      </c>
      <c r="D520" t="str">
        <f t="shared" si="108"/>
        <v>2721</v>
      </c>
      <c r="E520" t="str">
        <f t="shared" si="109"/>
        <v>Начисленные расходы по срочным вкладам клиентов</v>
      </c>
      <c r="F520" t="str">
        <f t="shared" si="110"/>
        <v>1</v>
      </c>
      <c r="G520" t="str">
        <f>"7"</f>
        <v>7</v>
      </c>
      <c r="H520" t="str">
        <f>"1"</f>
        <v>1</v>
      </c>
      <c r="I520" s="2">
        <v>1061343375.17</v>
      </c>
    </row>
    <row r="521" spans="1:9" x14ac:dyDescent="0.25">
      <c r="A521">
        <v>740</v>
      </c>
      <c r="B521" s="1">
        <v>45289</v>
      </c>
      <c r="C521">
        <v>25</v>
      </c>
      <c r="D521" t="str">
        <f t="shared" si="108"/>
        <v>2721</v>
      </c>
      <c r="E521" t="str">
        <f t="shared" si="109"/>
        <v>Начисленные расходы по срочным вкладам клиентов</v>
      </c>
      <c r="F521" t="str">
        <f t="shared" si="110"/>
        <v>1</v>
      </c>
      <c r="G521" t="str">
        <f>"7"</f>
        <v>7</v>
      </c>
      <c r="H521" t="str">
        <f>"2"</f>
        <v>2</v>
      </c>
      <c r="I521" s="2">
        <v>60410974.969999999</v>
      </c>
    </row>
    <row r="522" spans="1:9" x14ac:dyDescent="0.25">
      <c r="A522">
        <v>540</v>
      </c>
      <c r="B522" s="1">
        <v>45289</v>
      </c>
      <c r="C522">
        <v>25</v>
      </c>
      <c r="D522" t="str">
        <f t="shared" si="108"/>
        <v>2721</v>
      </c>
      <c r="E522" t="str">
        <f t="shared" si="109"/>
        <v>Начисленные расходы по срочным вкладам клиентов</v>
      </c>
      <c r="F522" t="str">
        <f t="shared" si="110"/>
        <v>1</v>
      </c>
      <c r="G522" t="str">
        <f>"8"</f>
        <v>8</v>
      </c>
      <c r="H522" t="str">
        <f>"1"</f>
        <v>1</v>
      </c>
      <c r="I522" s="2">
        <v>150481304.28</v>
      </c>
    </row>
    <row r="523" spans="1:9" x14ac:dyDescent="0.25">
      <c r="A523">
        <v>307</v>
      </c>
      <c r="B523" s="1">
        <v>45289</v>
      </c>
      <c r="C523">
        <v>25</v>
      </c>
      <c r="D523" t="str">
        <f t="shared" si="108"/>
        <v>2721</v>
      </c>
      <c r="E523" t="str">
        <f t="shared" si="109"/>
        <v>Начисленные расходы по срочным вкладам клиентов</v>
      </c>
      <c r="F523" t="str">
        <f t="shared" si="110"/>
        <v>1</v>
      </c>
      <c r="G523" t="str">
        <f>"8"</f>
        <v>8</v>
      </c>
      <c r="H523" t="str">
        <f>"2"</f>
        <v>2</v>
      </c>
      <c r="I523" s="2">
        <v>3013678.25</v>
      </c>
    </row>
    <row r="524" spans="1:9" x14ac:dyDescent="0.25">
      <c r="A524">
        <v>541</v>
      </c>
      <c r="B524" s="1">
        <v>45289</v>
      </c>
      <c r="C524">
        <v>25</v>
      </c>
      <c r="D524" t="str">
        <f t="shared" si="108"/>
        <v>2721</v>
      </c>
      <c r="E524" t="str">
        <f t="shared" si="109"/>
        <v>Начисленные расходы по срочным вкладам клиентов</v>
      </c>
      <c r="F524" t="str">
        <f t="shared" si="110"/>
        <v>1</v>
      </c>
      <c r="G524" t="str">
        <f>"9"</f>
        <v>9</v>
      </c>
      <c r="H524" t="str">
        <f>"1"</f>
        <v>1</v>
      </c>
      <c r="I524" s="2">
        <v>53288193.659999996</v>
      </c>
    </row>
    <row r="525" spans="1:9" x14ac:dyDescent="0.25">
      <c r="A525">
        <v>737</v>
      </c>
      <c r="B525" s="1">
        <v>45289</v>
      </c>
      <c r="C525">
        <v>25</v>
      </c>
      <c r="D525" t="str">
        <f t="shared" si="108"/>
        <v>2721</v>
      </c>
      <c r="E525" t="str">
        <f t="shared" si="109"/>
        <v>Начисленные расходы по срочным вкладам клиентов</v>
      </c>
      <c r="F525" t="str">
        <f t="shared" si="110"/>
        <v>1</v>
      </c>
      <c r="G525" t="str">
        <f>"9"</f>
        <v>9</v>
      </c>
      <c r="H525" t="str">
        <f>"2"</f>
        <v>2</v>
      </c>
      <c r="I525" s="2">
        <v>10486852.17</v>
      </c>
    </row>
    <row r="526" spans="1:9" x14ac:dyDescent="0.25">
      <c r="A526">
        <v>539</v>
      </c>
      <c r="B526" s="1">
        <v>45289</v>
      </c>
      <c r="C526">
        <v>25</v>
      </c>
      <c r="D526" t="str">
        <f t="shared" si="108"/>
        <v>2721</v>
      </c>
      <c r="E526" t="str">
        <f t="shared" si="109"/>
        <v>Начисленные расходы по срочным вкладам клиентов</v>
      </c>
      <c r="F526" t="str">
        <f t="shared" si="110"/>
        <v>1</v>
      </c>
      <c r="G526" t="str">
        <f>"9"</f>
        <v>9</v>
      </c>
      <c r="H526" t="str">
        <f>"3"</f>
        <v>3</v>
      </c>
      <c r="I526" s="2">
        <v>2089.06</v>
      </c>
    </row>
    <row r="527" spans="1:9" x14ac:dyDescent="0.25">
      <c r="A527">
        <v>736</v>
      </c>
      <c r="B527" s="1">
        <v>45289</v>
      </c>
      <c r="C527">
        <v>25</v>
      </c>
      <c r="D527" t="str">
        <f t="shared" si="108"/>
        <v>2721</v>
      </c>
      <c r="E527" t="str">
        <f t="shared" si="109"/>
        <v>Начисленные расходы по срочным вкладам клиентов</v>
      </c>
      <c r="F527" t="str">
        <f>"2"</f>
        <v>2</v>
      </c>
      <c r="G527" t="str">
        <f>"7"</f>
        <v>7</v>
      </c>
      <c r="H527" t="str">
        <f>"1"</f>
        <v>1</v>
      </c>
      <c r="I527" s="2">
        <v>3708817.36</v>
      </c>
    </row>
    <row r="528" spans="1:9" x14ac:dyDescent="0.25">
      <c r="A528">
        <v>309</v>
      </c>
      <c r="B528" s="1">
        <v>45289</v>
      </c>
      <c r="C528">
        <v>25</v>
      </c>
      <c r="D528" t="str">
        <f t="shared" si="108"/>
        <v>2721</v>
      </c>
      <c r="E528" t="str">
        <f t="shared" si="109"/>
        <v>Начисленные расходы по срочным вкладам клиентов</v>
      </c>
      <c r="F528" t="str">
        <f>"2"</f>
        <v>2</v>
      </c>
      <c r="G528" t="str">
        <f>"7"</f>
        <v>7</v>
      </c>
      <c r="H528" t="str">
        <f>"2"</f>
        <v>2</v>
      </c>
      <c r="I528" s="2">
        <v>3418.29</v>
      </c>
    </row>
    <row r="529" spans="1:9" x14ac:dyDescent="0.25">
      <c r="A529">
        <v>153</v>
      </c>
      <c r="B529" s="1">
        <v>45289</v>
      </c>
      <c r="C529">
        <v>25</v>
      </c>
      <c r="D529" t="str">
        <f t="shared" si="108"/>
        <v>2721</v>
      </c>
      <c r="E529" t="str">
        <f t="shared" si="109"/>
        <v>Начисленные расходы по срочным вкладам клиентов</v>
      </c>
      <c r="F529" t="str">
        <f>"2"</f>
        <v>2</v>
      </c>
      <c r="G529" t="str">
        <f>"9"</f>
        <v>9</v>
      </c>
      <c r="H529" t="str">
        <f>"1"</f>
        <v>1</v>
      </c>
      <c r="I529" s="2">
        <v>52486.57</v>
      </c>
    </row>
    <row r="530" spans="1:9" x14ac:dyDescent="0.25">
      <c r="A530">
        <v>440</v>
      </c>
      <c r="B530" s="1">
        <v>45289</v>
      </c>
      <c r="C530">
        <v>25</v>
      </c>
      <c r="D530" t="str">
        <f t="shared" si="108"/>
        <v>2721</v>
      </c>
      <c r="E530" t="str">
        <f t="shared" si="109"/>
        <v>Начисленные расходы по срочным вкладам клиентов</v>
      </c>
      <c r="F530" t="str">
        <f>"2"</f>
        <v>2</v>
      </c>
      <c r="G530" t="str">
        <f>"9"</f>
        <v>9</v>
      </c>
      <c r="H530" t="str">
        <f>"2"</f>
        <v>2</v>
      </c>
      <c r="I530" s="2">
        <v>7846.67</v>
      </c>
    </row>
    <row r="531" spans="1:9" x14ac:dyDescent="0.25">
      <c r="A531">
        <v>301</v>
      </c>
      <c r="B531" s="1">
        <v>45289</v>
      </c>
      <c r="C531">
        <v>25</v>
      </c>
      <c r="D531" t="str">
        <f t="shared" ref="D531:D537" si="111">"2723"</f>
        <v>2723</v>
      </c>
      <c r="E531" t="str">
        <f t="shared" ref="E531:E537" si="112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31" t="str">
        <f t="shared" ref="F531:F536" si="113">"1"</f>
        <v>1</v>
      </c>
      <c r="G531" t="str">
        <f>"6"</f>
        <v>6</v>
      </c>
      <c r="H531" t="str">
        <f>"1"</f>
        <v>1</v>
      </c>
      <c r="I531" s="2">
        <v>67914.11</v>
      </c>
    </row>
    <row r="532" spans="1:9" x14ac:dyDescent="0.25">
      <c r="A532">
        <v>303</v>
      </c>
      <c r="B532" s="1">
        <v>45289</v>
      </c>
      <c r="C532">
        <v>25</v>
      </c>
      <c r="D532" t="str">
        <f t="shared" si="111"/>
        <v>2723</v>
      </c>
      <c r="E532" t="str">
        <f t="shared" si="112"/>
        <v>Начисленные расходы по вкладу, являющемуся обеспечением обязательств клиентов</v>
      </c>
      <c r="F532" t="str">
        <f t="shared" si="113"/>
        <v>1</v>
      </c>
      <c r="G532" t="str">
        <f>"7"</f>
        <v>7</v>
      </c>
      <c r="H532" t="str">
        <f>"1"</f>
        <v>1</v>
      </c>
      <c r="I532" s="2">
        <v>62703394.210000001</v>
      </c>
    </row>
    <row r="533" spans="1:9" x14ac:dyDescent="0.25">
      <c r="A533">
        <v>300</v>
      </c>
      <c r="B533" s="1">
        <v>45289</v>
      </c>
      <c r="C533">
        <v>25</v>
      </c>
      <c r="D533" t="str">
        <f t="shared" si="111"/>
        <v>2723</v>
      </c>
      <c r="E533" t="str">
        <f t="shared" si="112"/>
        <v>Начисленные расходы по вкладу, являющемуся обеспечением обязательств клиентов</v>
      </c>
      <c r="F533" t="str">
        <f t="shared" si="113"/>
        <v>1</v>
      </c>
      <c r="G533" t="str">
        <f>"7"</f>
        <v>7</v>
      </c>
      <c r="H533" t="str">
        <f>"2"</f>
        <v>2</v>
      </c>
      <c r="I533" s="2">
        <v>11990843.25</v>
      </c>
    </row>
    <row r="534" spans="1:9" x14ac:dyDescent="0.25">
      <c r="A534">
        <v>726</v>
      </c>
      <c r="B534" s="1">
        <v>45289</v>
      </c>
      <c r="C534">
        <v>25</v>
      </c>
      <c r="D534" t="str">
        <f t="shared" si="111"/>
        <v>2723</v>
      </c>
      <c r="E534" t="str">
        <f t="shared" si="112"/>
        <v>Начисленные расходы по вкладу, являющемуся обеспечением обязательств клиентов</v>
      </c>
      <c r="F534" t="str">
        <f t="shared" si="113"/>
        <v>1</v>
      </c>
      <c r="G534" t="str">
        <f>"8"</f>
        <v>8</v>
      </c>
      <c r="H534" t="str">
        <f>"1"</f>
        <v>1</v>
      </c>
      <c r="I534" s="2">
        <v>8810.3799999999992</v>
      </c>
    </row>
    <row r="535" spans="1:9" x14ac:dyDescent="0.25">
      <c r="A535">
        <v>149</v>
      </c>
      <c r="B535" s="1">
        <v>45289</v>
      </c>
      <c r="C535">
        <v>25</v>
      </c>
      <c r="D535" t="str">
        <f t="shared" si="111"/>
        <v>2723</v>
      </c>
      <c r="E535" t="str">
        <f t="shared" si="112"/>
        <v>Начисленные расходы по вкладу, являющемуся обеспечением обязательств клиентов</v>
      </c>
      <c r="F535" t="str">
        <f t="shared" si="113"/>
        <v>1</v>
      </c>
      <c r="G535" t="str">
        <f>"9"</f>
        <v>9</v>
      </c>
      <c r="H535" t="str">
        <f>"1"</f>
        <v>1</v>
      </c>
      <c r="I535" s="2">
        <v>83455513.560000002</v>
      </c>
    </row>
    <row r="536" spans="1:9" x14ac:dyDescent="0.25">
      <c r="A536">
        <v>437</v>
      </c>
      <c r="B536" s="1">
        <v>45289</v>
      </c>
      <c r="C536">
        <v>25</v>
      </c>
      <c r="D536" t="str">
        <f t="shared" si="111"/>
        <v>2723</v>
      </c>
      <c r="E536" t="str">
        <f t="shared" si="112"/>
        <v>Начисленные расходы по вкладу, являющемуся обеспечением обязательств клиентов</v>
      </c>
      <c r="F536" t="str">
        <f t="shared" si="113"/>
        <v>1</v>
      </c>
      <c r="G536" t="str">
        <f>"9"</f>
        <v>9</v>
      </c>
      <c r="H536" t="str">
        <f>"2"</f>
        <v>2</v>
      </c>
      <c r="I536" s="2">
        <v>46916160.380000003</v>
      </c>
    </row>
    <row r="537" spans="1:9" x14ac:dyDescent="0.25">
      <c r="A537">
        <v>302</v>
      </c>
      <c r="B537" s="1">
        <v>45289</v>
      </c>
      <c r="C537">
        <v>25</v>
      </c>
      <c r="D537" t="str">
        <f t="shared" si="111"/>
        <v>2723</v>
      </c>
      <c r="E537" t="str">
        <f t="shared" si="112"/>
        <v>Начисленные расходы по вкладу, являющемуся обеспечением обязательств клиентов</v>
      </c>
      <c r="F537" t="str">
        <f>"2"</f>
        <v>2</v>
      </c>
      <c r="G537" t="str">
        <f>"7"</f>
        <v>7</v>
      </c>
      <c r="H537" t="str">
        <f>"2"</f>
        <v>2</v>
      </c>
      <c r="I537" s="2">
        <v>11929399.91</v>
      </c>
    </row>
    <row r="538" spans="1:9" x14ac:dyDescent="0.25">
      <c r="A538">
        <v>535</v>
      </c>
      <c r="B538" s="1">
        <v>45289</v>
      </c>
      <c r="C538">
        <v>25</v>
      </c>
      <c r="D538" t="str">
        <f>"2724"</f>
        <v>2724</v>
      </c>
      <c r="E538" t="str">
        <f>"Начисленные расходы по сберегательным вкладам клиентов"</f>
        <v>Начисленные расходы по сберегательным вкладам клиентов</v>
      </c>
      <c r="F538" t="str">
        <f>"1"</f>
        <v>1</v>
      </c>
      <c r="G538" t="str">
        <f>"6"</f>
        <v>6</v>
      </c>
      <c r="H538" t="str">
        <f>"1"</f>
        <v>1</v>
      </c>
      <c r="I538" s="2">
        <v>20958904.109999999</v>
      </c>
    </row>
    <row r="539" spans="1:9" x14ac:dyDescent="0.25">
      <c r="A539">
        <v>727</v>
      </c>
      <c r="B539" s="1">
        <v>45289</v>
      </c>
      <c r="C539">
        <v>25</v>
      </c>
      <c r="D539" t="str">
        <f>"2724"</f>
        <v>2724</v>
      </c>
      <c r="E539" t="str">
        <f>"Начисленные расходы по сберегательным вкладам клиентов"</f>
        <v>Начисленные расходы по сберегательным вкладам клиентов</v>
      </c>
      <c r="F539" t="str">
        <f>"1"</f>
        <v>1</v>
      </c>
      <c r="G539" t="str">
        <f>"7"</f>
        <v>7</v>
      </c>
      <c r="H539" t="str">
        <f>"1"</f>
        <v>1</v>
      </c>
      <c r="I539" s="2">
        <v>2958904.11</v>
      </c>
    </row>
    <row r="540" spans="1:9" x14ac:dyDescent="0.25">
      <c r="A540">
        <v>729</v>
      </c>
      <c r="B540" s="1">
        <v>45289</v>
      </c>
      <c r="C540">
        <v>25</v>
      </c>
      <c r="D540" t="str">
        <f>"2724"</f>
        <v>2724</v>
      </c>
      <c r="E540" t="str">
        <f>"Начисленные расходы по сберегательным вкладам клиентов"</f>
        <v>Начисленные расходы по сберегательным вкладам клиентов</v>
      </c>
      <c r="F540" t="str">
        <f>"1"</f>
        <v>1</v>
      </c>
      <c r="G540" t="str">
        <f>"9"</f>
        <v>9</v>
      </c>
      <c r="H540" t="str">
        <f>"1"</f>
        <v>1</v>
      </c>
      <c r="I540" s="2">
        <v>5897332.8399999999</v>
      </c>
    </row>
    <row r="541" spans="1:9" x14ac:dyDescent="0.25">
      <c r="A541">
        <v>728</v>
      </c>
      <c r="B541" s="1">
        <v>45289</v>
      </c>
      <c r="C541">
        <v>25</v>
      </c>
      <c r="D541" t="str">
        <f>"2724"</f>
        <v>2724</v>
      </c>
      <c r="E541" t="str">
        <f>"Начисленные расходы по сберегательным вкладам клиентов"</f>
        <v>Начисленные расходы по сберегательным вкладам клиентов</v>
      </c>
      <c r="F541" t="str">
        <f>"2"</f>
        <v>2</v>
      </c>
      <c r="G541" t="str">
        <f>"9"</f>
        <v>9</v>
      </c>
      <c r="H541" t="str">
        <f>"1"</f>
        <v>1</v>
      </c>
      <c r="I541" s="2">
        <v>642.57000000000005</v>
      </c>
    </row>
    <row r="542" spans="1:9" x14ac:dyDescent="0.25">
      <c r="A542">
        <v>299</v>
      </c>
      <c r="B542" s="1">
        <v>45289</v>
      </c>
      <c r="C542">
        <v>25</v>
      </c>
      <c r="D542" t="str">
        <f>"2725"</f>
        <v>2725</v>
      </c>
      <c r="E542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542" t="str">
        <f t="shared" ref="F542:F554" si="114">"1"</f>
        <v>1</v>
      </c>
      <c r="G542" t="str">
        <f t="shared" ref="G542:G547" si="115">"5"</f>
        <v>5</v>
      </c>
      <c r="H542" t="str">
        <f>"1"</f>
        <v>1</v>
      </c>
      <c r="I542" s="2">
        <v>408180481.38999999</v>
      </c>
    </row>
    <row r="543" spans="1:9" x14ac:dyDescent="0.25">
      <c r="A543">
        <v>534</v>
      </c>
      <c r="B543" s="1">
        <v>45289</v>
      </c>
      <c r="C543">
        <v>25</v>
      </c>
      <c r="D543" t="str">
        <f>"2725"</f>
        <v>2725</v>
      </c>
      <c r="E543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543" t="str">
        <f t="shared" si="114"/>
        <v>1</v>
      </c>
      <c r="G543" t="str">
        <f t="shared" si="115"/>
        <v>5</v>
      </c>
      <c r="H543" t="str">
        <f>"2"</f>
        <v>2</v>
      </c>
      <c r="I543" s="2">
        <v>11283424.689999999</v>
      </c>
    </row>
    <row r="544" spans="1:9" x14ac:dyDescent="0.25">
      <c r="A544">
        <v>444</v>
      </c>
      <c r="B544" s="1">
        <v>45289</v>
      </c>
      <c r="C544">
        <v>25</v>
      </c>
      <c r="D544" t="str">
        <f>"2730"</f>
        <v>2730</v>
      </c>
      <c r="E54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44" t="str">
        <f t="shared" si="114"/>
        <v>1</v>
      </c>
      <c r="G544" t="str">
        <f t="shared" si="115"/>
        <v>5</v>
      </c>
      <c r="H544" t="str">
        <f>"1"</f>
        <v>1</v>
      </c>
      <c r="I544" s="2">
        <v>2517520443.7800002</v>
      </c>
    </row>
    <row r="545" spans="1:9" x14ac:dyDescent="0.25">
      <c r="A545">
        <v>158</v>
      </c>
      <c r="B545" s="1">
        <v>45289</v>
      </c>
      <c r="C545">
        <v>25</v>
      </c>
      <c r="D545" t="str">
        <f>"2730"</f>
        <v>2730</v>
      </c>
      <c r="E545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45" t="str">
        <f t="shared" si="114"/>
        <v>1</v>
      </c>
      <c r="G545" t="str">
        <f t="shared" si="115"/>
        <v>5</v>
      </c>
      <c r="H545" t="str">
        <f>"2"</f>
        <v>2</v>
      </c>
      <c r="I545" s="2">
        <v>167965974.74000001</v>
      </c>
    </row>
    <row r="546" spans="1:9" x14ac:dyDescent="0.25">
      <c r="A546">
        <v>546</v>
      </c>
      <c r="B546" s="1">
        <v>45289</v>
      </c>
      <c r="C546">
        <v>25</v>
      </c>
      <c r="D546" t="str">
        <f>"2731"</f>
        <v>2731</v>
      </c>
      <c r="E546" t="str">
        <f>"Начисленные расходы по прочим операциям"</f>
        <v>Начисленные расходы по прочим операциям</v>
      </c>
      <c r="F546" t="str">
        <f t="shared" si="114"/>
        <v>1</v>
      </c>
      <c r="G546" t="str">
        <f t="shared" si="115"/>
        <v>5</v>
      </c>
      <c r="H546" t="str">
        <f t="shared" ref="H546:H560" si="116">"1"</f>
        <v>1</v>
      </c>
      <c r="I546" s="2">
        <v>276165388</v>
      </c>
    </row>
    <row r="547" spans="1:9" x14ac:dyDescent="0.25">
      <c r="A547">
        <v>2</v>
      </c>
      <c r="B547" s="1">
        <v>45289</v>
      </c>
      <c r="C547">
        <v>25</v>
      </c>
      <c r="D547" t="str">
        <f>"2756"</f>
        <v>2756</v>
      </c>
      <c r="E547" t="str">
        <f>"Начисленные расходы по субординированным облигациям"</f>
        <v>Начисленные расходы по субординированным облигациям</v>
      </c>
      <c r="F547" t="str">
        <f t="shared" si="114"/>
        <v>1</v>
      </c>
      <c r="G547" t="str">
        <f t="shared" si="115"/>
        <v>5</v>
      </c>
      <c r="H547" t="str">
        <f t="shared" si="116"/>
        <v>1</v>
      </c>
      <c r="I547" s="2">
        <v>183101109.77000001</v>
      </c>
    </row>
    <row r="548" spans="1:9" x14ac:dyDescent="0.25">
      <c r="A548">
        <v>312</v>
      </c>
      <c r="B548" s="1">
        <v>45289</v>
      </c>
      <c r="C548">
        <v>25</v>
      </c>
      <c r="D548" t="str">
        <f t="shared" ref="D548:D555" si="117">"2770"</f>
        <v>2770</v>
      </c>
      <c r="E548" t="str">
        <f t="shared" ref="E548:E555" si="118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48" t="str">
        <f t="shared" si="114"/>
        <v>1</v>
      </c>
      <c r="G548" t="str">
        <f>"1"</f>
        <v>1</v>
      </c>
      <c r="H548" t="str">
        <f t="shared" si="116"/>
        <v>1</v>
      </c>
      <c r="I548" s="2">
        <v>18814134.210000001</v>
      </c>
    </row>
    <row r="549" spans="1:9" x14ac:dyDescent="0.25">
      <c r="A549">
        <v>544</v>
      </c>
      <c r="B549" s="1">
        <v>45289</v>
      </c>
      <c r="C549">
        <v>25</v>
      </c>
      <c r="D549" t="str">
        <f t="shared" si="117"/>
        <v>2770</v>
      </c>
      <c r="E549" t="str">
        <f t="shared" si="118"/>
        <v>Начисленные расходы по административно-хозяйственной деятельности</v>
      </c>
      <c r="F549" t="str">
        <f t="shared" si="114"/>
        <v>1</v>
      </c>
      <c r="G549" t="str">
        <f>"4"</f>
        <v>4</v>
      </c>
      <c r="H549" t="str">
        <f t="shared" si="116"/>
        <v>1</v>
      </c>
      <c r="I549" s="2">
        <v>84509677.939999998</v>
      </c>
    </row>
    <row r="550" spans="1:9" x14ac:dyDescent="0.25">
      <c r="A550">
        <v>66</v>
      </c>
      <c r="B550" s="1">
        <v>45289</v>
      </c>
      <c r="C550">
        <v>25</v>
      </c>
      <c r="D550" t="str">
        <f t="shared" si="117"/>
        <v>2770</v>
      </c>
      <c r="E550" t="str">
        <f t="shared" si="118"/>
        <v>Начисленные расходы по административно-хозяйственной деятельности</v>
      </c>
      <c r="F550" t="str">
        <f t="shared" si="114"/>
        <v>1</v>
      </c>
      <c r="G550" t="str">
        <f>"5"</f>
        <v>5</v>
      </c>
      <c r="H550" t="str">
        <f t="shared" si="116"/>
        <v>1</v>
      </c>
      <c r="I550" s="2">
        <v>31951115.93</v>
      </c>
    </row>
    <row r="551" spans="1:9" x14ac:dyDescent="0.25">
      <c r="A551">
        <v>744</v>
      </c>
      <c r="B551" s="1">
        <v>45289</v>
      </c>
      <c r="C551">
        <v>25</v>
      </c>
      <c r="D551" t="str">
        <f t="shared" si="117"/>
        <v>2770</v>
      </c>
      <c r="E551" t="str">
        <f t="shared" si="118"/>
        <v>Начисленные расходы по административно-хозяйственной деятельности</v>
      </c>
      <c r="F551" t="str">
        <f t="shared" si="114"/>
        <v>1</v>
      </c>
      <c r="G551" t="str">
        <f>"6"</f>
        <v>6</v>
      </c>
      <c r="H551" t="str">
        <f t="shared" si="116"/>
        <v>1</v>
      </c>
      <c r="I551" s="2">
        <v>41156929.899999999</v>
      </c>
    </row>
    <row r="552" spans="1:9" x14ac:dyDescent="0.25">
      <c r="A552">
        <v>154</v>
      </c>
      <c r="B552" s="1">
        <v>45289</v>
      </c>
      <c r="C552">
        <v>25</v>
      </c>
      <c r="D552" t="str">
        <f t="shared" si="117"/>
        <v>2770</v>
      </c>
      <c r="E552" t="str">
        <f t="shared" si="118"/>
        <v>Начисленные расходы по административно-хозяйственной деятельности</v>
      </c>
      <c r="F552" t="str">
        <f t="shared" si="114"/>
        <v>1</v>
      </c>
      <c r="G552" t="str">
        <f>"7"</f>
        <v>7</v>
      </c>
      <c r="H552" t="str">
        <f t="shared" si="116"/>
        <v>1</v>
      </c>
      <c r="I552" s="2">
        <v>989074704.58000004</v>
      </c>
    </row>
    <row r="553" spans="1:9" x14ac:dyDescent="0.25">
      <c r="A553">
        <v>155</v>
      </c>
      <c r="B553" s="1">
        <v>45289</v>
      </c>
      <c r="C553">
        <v>25</v>
      </c>
      <c r="D553" t="str">
        <f t="shared" si="117"/>
        <v>2770</v>
      </c>
      <c r="E553" t="str">
        <f t="shared" si="118"/>
        <v>Начисленные расходы по административно-хозяйственной деятельности</v>
      </c>
      <c r="F553" t="str">
        <f t="shared" si="114"/>
        <v>1</v>
      </c>
      <c r="G553" t="str">
        <f>"8"</f>
        <v>8</v>
      </c>
      <c r="H553" t="str">
        <f t="shared" si="116"/>
        <v>1</v>
      </c>
      <c r="I553" s="2">
        <v>2788587.25</v>
      </c>
    </row>
    <row r="554" spans="1:9" x14ac:dyDescent="0.25">
      <c r="A554">
        <v>543</v>
      </c>
      <c r="B554" s="1">
        <v>45289</v>
      </c>
      <c r="C554">
        <v>25</v>
      </c>
      <c r="D554" t="str">
        <f t="shared" si="117"/>
        <v>2770</v>
      </c>
      <c r="E554" t="str">
        <f t="shared" si="118"/>
        <v>Начисленные расходы по административно-хозяйственной деятельности</v>
      </c>
      <c r="F554" t="str">
        <f t="shared" si="114"/>
        <v>1</v>
      </c>
      <c r="G554" t="str">
        <f>"9"</f>
        <v>9</v>
      </c>
      <c r="H554" t="str">
        <f t="shared" si="116"/>
        <v>1</v>
      </c>
      <c r="I554" s="2">
        <v>35200990.210000001</v>
      </c>
    </row>
    <row r="555" spans="1:9" x14ac:dyDescent="0.25">
      <c r="A555">
        <v>442</v>
      </c>
      <c r="B555" s="1">
        <v>45289</v>
      </c>
      <c r="C555">
        <v>25</v>
      </c>
      <c r="D555" t="str">
        <f t="shared" si="117"/>
        <v>2770</v>
      </c>
      <c r="E555" t="str">
        <f t="shared" si="118"/>
        <v>Начисленные расходы по административно-хозяйственной деятельности</v>
      </c>
      <c r="F555" t="str">
        <f>"2"</f>
        <v>2</v>
      </c>
      <c r="G555" t="str">
        <f>"7"</f>
        <v>7</v>
      </c>
      <c r="H555" t="str">
        <f t="shared" si="116"/>
        <v>1</v>
      </c>
      <c r="I555" s="2">
        <v>349115496.12</v>
      </c>
    </row>
    <row r="556" spans="1:9" x14ac:dyDescent="0.25">
      <c r="A556">
        <v>745</v>
      </c>
      <c r="B556" s="1">
        <v>45289</v>
      </c>
      <c r="C556">
        <v>25</v>
      </c>
      <c r="D556" t="str">
        <f>"2792"</f>
        <v>2792</v>
      </c>
      <c r="E556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556" t="str">
        <f t="shared" ref="F556:F561" si="119">"1"</f>
        <v>1</v>
      </c>
      <c r="G556" t="str">
        <f>"9"</f>
        <v>9</v>
      </c>
      <c r="H556" t="str">
        <f t="shared" si="116"/>
        <v>1</v>
      </c>
      <c r="I556" s="2">
        <v>605.04999999999995</v>
      </c>
    </row>
    <row r="557" spans="1:9" x14ac:dyDescent="0.25">
      <c r="A557">
        <v>749</v>
      </c>
      <c r="B557" s="1">
        <v>45289</v>
      </c>
      <c r="C557">
        <v>25</v>
      </c>
      <c r="D557" t="str">
        <f t="shared" ref="D557:D563" si="120">"2794"</f>
        <v>2794</v>
      </c>
      <c r="E557" t="str">
        <f t="shared" ref="E557:E563" si="121">"Доходы будущих периодов"</f>
        <v>Доходы будущих периодов</v>
      </c>
      <c r="F557" t="str">
        <f t="shared" si="119"/>
        <v>1</v>
      </c>
      <c r="G557" t="str">
        <f>"4"</f>
        <v>4</v>
      </c>
      <c r="H557" t="str">
        <f t="shared" si="116"/>
        <v>1</v>
      </c>
      <c r="I557" s="2">
        <v>4202278.13</v>
      </c>
    </row>
    <row r="558" spans="1:9" x14ac:dyDescent="0.25">
      <c r="A558">
        <v>67</v>
      </c>
      <c r="B558" s="1">
        <v>45289</v>
      </c>
      <c r="C558">
        <v>25</v>
      </c>
      <c r="D558" t="str">
        <f t="shared" si="120"/>
        <v>2794</v>
      </c>
      <c r="E558" t="str">
        <f t="shared" si="121"/>
        <v>Доходы будущих периодов</v>
      </c>
      <c r="F558" t="str">
        <f t="shared" si="119"/>
        <v>1</v>
      </c>
      <c r="G558" t="str">
        <f>"5"</f>
        <v>5</v>
      </c>
      <c r="H558" t="str">
        <f t="shared" si="116"/>
        <v>1</v>
      </c>
      <c r="I558" s="2">
        <v>9767459.25</v>
      </c>
    </row>
    <row r="559" spans="1:9" x14ac:dyDescent="0.25">
      <c r="A559">
        <v>747</v>
      </c>
      <c r="B559" s="1">
        <v>45289</v>
      </c>
      <c r="C559">
        <v>25</v>
      </c>
      <c r="D559" t="str">
        <f t="shared" si="120"/>
        <v>2794</v>
      </c>
      <c r="E559" t="str">
        <f t="shared" si="121"/>
        <v>Доходы будущих периодов</v>
      </c>
      <c r="F559" t="str">
        <f t="shared" si="119"/>
        <v>1</v>
      </c>
      <c r="G559" t="str">
        <f>"7"</f>
        <v>7</v>
      </c>
      <c r="H559" t="str">
        <f t="shared" si="116"/>
        <v>1</v>
      </c>
      <c r="I559" s="2">
        <v>19547615.579999998</v>
      </c>
    </row>
    <row r="560" spans="1:9" x14ac:dyDescent="0.25">
      <c r="A560">
        <v>68</v>
      </c>
      <c r="B560" s="1">
        <v>45289</v>
      </c>
      <c r="C560">
        <v>25</v>
      </c>
      <c r="D560" t="str">
        <f t="shared" si="120"/>
        <v>2794</v>
      </c>
      <c r="E560" t="str">
        <f t="shared" si="121"/>
        <v>Доходы будущих периодов</v>
      </c>
      <c r="F560" t="str">
        <f t="shared" si="119"/>
        <v>1</v>
      </c>
      <c r="G560" t="str">
        <f>"9"</f>
        <v>9</v>
      </c>
      <c r="H560" t="str">
        <f t="shared" si="116"/>
        <v>1</v>
      </c>
      <c r="I560" s="2">
        <v>190611691.33000001</v>
      </c>
    </row>
    <row r="561" spans="1:9" x14ac:dyDescent="0.25">
      <c r="A561">
        <v>746</v>
      </c>
      <c r="B561" s="1">
        <v>45289</v>
      </c>
      <c r="C561">
        <v>25</v>
      </c>
      <c r="D561" t="str">
        <f t="shared" si="120"/>
        <v>2794</v>
      </c>
      <c r="E561" t="str">
        <f t="shared" si="121"/>
        <v>Доходы будущих периодов</v>
      </c>
      <c r="F561" t="str">
        <f t="shared" si="119"/>
        <v>1</v>
      </c>
      <c r="G561" t="str">
        <f>"9"</f>
        <v>9</v>
      </c>
      <c r="H561" t="str">
        <f>"2"</f>
        <v>2</v>
      </c>
      <c r="I561" s="2">
        <v>7723785.7800000003</v>
      </c>
    </row>
    <row r="562" spans="1:9" x14ac:dyDescent="0.25">
      <c r="A562">
        <v>545</v>
      </c>
      <c r="B562" s="1">
        <v>45289</v>
      </c>
      <c r="C562">
        <v>25</v>
      </c>
      <c r="D562" t="str">
        <f t="shared" si="120"/>
        <v>2794</v>
      </c>
      <c r="E562" t="str">
        <f t="shared" si="121"/>
        <v>Доходы будущих периодов</v>
      </c>
      <c r="F562" t="str">
        <f>"2"</f>
        <v>2</v>
      </c>
      <c r="G562" t="str">
        <f>"9"</f>
        <v>9</v>
      </c>
      <c r="H562" t="str">
        <f>"1"</f>
        <v>1</v>
      </c>
      <c r="I562" s="2">
        <v>4242181.79</v>
      </c>
    </row>
    <row r="563" spans="1:9" x14ac:dyDescent="0.25">
      <c r="A563">
        <v>748</v>
      </c>
      <c r="B563" s="1">
        <v>45289</v>
      </c>
      <c r="C563">
        <v>25</v>
      </c>
      <c r="D563" t="str">
        <f t="shared" si="120"/>
        <v>2794</v>
      </c>
      <c r="E563" t="str">
        <f t="shared" si="121"/>
        <v>Доходы будущих периодов</v>
      </c>
      <c r="F563" t="str">
        <f>"2"</f>
        <v>2</v>
      </c>
      <c r="G563" t="str">
        <f>"9"</f>
        <v>9</v>
      </c>
      <c r="H563" t="str">
        <f>"2"</f>
        <v>2</v>
      </c>
      <c r="I563" s="2">
        <v>813762.52</v>
      </c>
    </row>
    <row r="564" spans="1:9" x14ac:dyDescent="0.25">
      <c r="A564">
        <v>73</v>
      </c>
      <c r="B564" s="1">
        <v>45289</v>
      </c>
      <c r="C564">
        <v>25</v>
      </c>
      <c r="D564" t="str">
        <f t="shared" ref="D564:D571" si="122">"2799"</f>
        <v>2799</v>
      </c>
      <c r="E564" t="str">
        <f t="shared" ref="E564:E571" si="123">"Прочие предоплаты"</f>
        <v>Прочие предоплаты</v>
      </c>
      <c r="F564" t="str">
        <f t="shared" ref="F564:F569" si="124">"1"</f>
        <v>1</v>
      </c>
      <c r="G564" t="str">
        <f>"5"</f>
        <v>5</v>
      </c>
      <c r="H564" t="str">
        <f>"2"</f>
        <v>2</v>
      </c>
      <c r="I564" s="2">
        <v>2418.2600000000002</v>
      </c>
    </row>
    <row r="565" spans="1:9" x14ac:dyDescent="0.25">
      <c r="A565">
        <v>315</v>
      </c>
      <c r="B565" s="1">
        <v>45289</v>
      </c>
      <c r="C565">
        <v>25</v>
      </c>
      <c r="D565" t="str">
        <f t="shared" si="122"/>
        <v>2799</v>
      </c>
      <c r="E565" t="str">
        <f t="shared" si="123"/>
        <v>Прочие предоплаты</v>
      </c>
      <c r="F565" t="str">
        <f t="shared" si="124"/>
        <v>1</v>
      </c>
      <c r="G565" t="str">
        <f>"7"</f>
        <v>7</v>
      </c>
      <c r="H565" t="str">
        <f>"1"</f>
        <v>1</v>
      </c>
      <c r="I565" s="2">
        <v>127305429.47</v>
      </c>
    </row>
    <row r="566" spans="1:9" x14ac:dyDescent="0.25">
      <c r="A566">
        <v>316</v>
      </c>
      <c r="B566" s="1">
        <v>45289</v>
      </c>
      <c r="C566">
        <v>25</v>
      </c>
      <c r="D566" t="str">
        <f t="shared" si="122"/>
        <v>2799</v>
      </c>
      <c r="E566" t="str">
        <f t="shared" si="123"/>
        <v>Прочие предоплаты</v>
      </c>
      <c r="F566" t="str">
        <f t="shared" si="124"/>
        <v>1</v>
      </c>
      <c r="G566" t="str">
        <f>"7"</f>
        <v>7</v>
      </c>
      <c r="H566" t="str">
        <f>"2"</f>
        <v>2</v>
      </c>
      <c r="I566" s="2">
        <v>8818522.0600000005</v>
      </c>
    </row>
    <row r="567" spans="1:9" x14ac:dyDescent="0.25">
      <c r="A567">
        <v>758</v>
      </c>
      <c r="B567" s="1">
        <v>45289</v>
      </c>
      <c r="C567">
        <v>25</v>
      </c>
      <c r="D567" t="str">
        <f t="shared" si="122"/>
        <v>2799</v>
      </c>
      <c r="E567" t="str">
        <f t="shared" si="123"/>
        <v>Прочие предоплаты</v>
      </c>
      <c r="F567" t="str">
        <f t="shared" si="124"/>
        <v>1</v>
      </c>
      <c r="G567" t="str">
        <f>"9"</f>
        <v>9</v>
      </c>
      <c r="H567" t="str">
        <f>"1"</f>
        <v>1</v>
      </c>
      <c r="I567" s="2">
        <v>3521722570.9699998</v>
      </c>
    </row>
    <row r="568" spans="1:9" x14ac:dyDescent="0.25">
      <c r="A568">
        <v>317</v>
      </c>
      <c r="B568" s="1">
        <v>45289</v>
      </c>
      <c r="C568">
        <v>25</v>
      </c>
      <c r="D568" t="str">
        <f t="shared" si="122"/>
        <v>2799</v>
      </c>
      <c r="E568" t="str">
        <f t="shared" si="123"/>
        <v>Прочие предоплаты</v>
      </c>
      <c r="F568" t="str">
        <f t="shared" si="124"/>
        <v>1</v>
      </c>
      <c r="G568" t="str">
        <f>"9"</f>
        <v>9</v>
      </c>
      <c r="H568" t="str">
        <f>"2"</f>
        <v>2</v>
      </c>
      <c r="I568" s="2">
        <v>7327888.2800000003</v>
      </c>
    </row>
    <row r="569" spans="1:9" x14ac:dyDescent="0.25">
      <c r="A569">
        <v>319</v>
      </c>
      <c r="B569" s="1">
        <v>45289</v>
      </c>
      <c r="C569">
        <v>25</v>
      </c>
      <c r="D569" t="str">
        <f t="shared" si="122"/>
        <v>2799</v>
      </c>
      <c r="E569" t="str">
        <f t="shared" si="123"/>
        <v>Прочие предоплаты</v>
      </c>
      <c r="F569" t="str">
        <f t="shared" si="124"/>
        <v>1</v>
      </c>
      <c r="G569" t="str">
        <f>"9"</f>
        <v>9</v>
      </c>
      <c r="H569" t="str">
        <f>"3"</f>
        <v>3</v>
      </c>
      <c r="I569" s="2">
        <v>105841.44</v>
      </c>
    </row>
    <row r="570" spans="1:9" x14ac:dyDescent="0.25">
      <c r="A570">
        <v>551</v>
      </c>
      <c r="B570" s="1">
        <v>45289</v>
      </c>
      <c r="C570">
        <v>25</v>
      </c>
      <c r="D570" t="str">
        <f t="shared" si="122"/>
        <v>2799</v>
      </c>
      <c r="E570" t="str">
        <f t="shared" si="123"/>
        <v>Прочие предоплаты</v>
      </c>
      <c r="F570" t="str">
        <f>"2"</f>
        <v>2</v>
      </c>
      <c r="G570" t="str">
        <f>"9"</f>
        <v>9</v>
      </c>
      <c r="H570" t="str">
        <f>"1"</f>
        <v>1</v>
      </c>
      <c r="I570" s="2">
        <v>516112.92</v>
      </c>
    </row>
    <row r="571" spans="1:9" x14ac:dyDescent="0.25">
      <c r="A571">
        <v>318</v>
      </c>
      <c r="B571" s="1">
        <v>45289</v>
      </c>
      <c r="C571">
        <v>25</v>
      </c>
      <c r="D571" t="str">
        <f t="shared" si="122"/>
        <v>2799</v>
      </c>
      <c r="E571" t="str">
        <f t="shared" si="123"/>
        <v>Прочие предоплаты</v>
      </c>
      <c r="F571" t="str">
        <f>"2"</f>
        <v>2</v>
      </c>
      <c r="G571" t="str">
        <f>"9"</f>
        <v>9</v>
      </c>
      <c r="H571" t="str">
        <f>"2"</f>
        <v>2</v>
      </c>
      <c r="I571" s="2">
        <v>85675.47</v>
      </c>
    </row>
    <row r="572" spans="1:9" x14ac:dyDescent="0.25">
      <c r="A572">
        <v>311</v>
      </c>
      <c r="B572" s="1">
        <v>45289</v>
      </c>
      <c r="C572">
        <v>25</v>
      </c>
      <c r="D572" t="str">
        <f>"2818"</f>
        <v>2818</v>
      </c>
      <c r="E572" t="str">
        <f>"Начисленные прочие комиссионные расходы"</f>
        <v>Начисленные прочие комиссионные расходы</v>
      </c>
      <c r="F572" t="str">
        <f>"1"</f>
        <v>1</v>
      </c>
      <c r="G572" t="str">
        <f>""</f>
        <v/>
      </c>
      <c r="H572" t="str">
        <f>"1"</f>
        <v>1</v>
      </c>
      <c r="I572" s="2">
        <v>44242532.82</v>
      </c>
    </row>
    <row r="573" spans="1:9" x14ac:dyDescent="0.25">
      <c r="A573">
        <v>552</v>
      </c>
      <c r="B573" s="1">
        <v>45289</v>
      </c>
      <c r="C573">
        <v>25</v>
      </c>
      <c r="D573" t="str">
        <f>"2851"</f>
        <v>2851</v>
      </c>
      <c r="E57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73" t="str">
        <f>"1"</f>
        <v>1</v>
      </c>
      <c r="G573" t="str">
        <f>"1"</f>
        <v>1</v>
      </c>
      <c r="H573" t="str">
        <f>"1"</f>
        <v>1</v>
      </c>
      <c r="I573" s="2">
        <v>1780690428.23</v>
      </c>
    </row>
    <row r="574" spans="1:9" x14ac:dyDescent="0.25">
      <c r="A574">
        <v>449</v>
      </c>
      <c r="B574" s="1">
        <v>45289</v>
      </c>
      <c r="C574">
        <v>25</v>
      </c>
      <c r="D574" t="str">
        <f>"2853"</f>
        <v>2853</v>
      </c>
      <c r="E574" t="str">
        <f>"Расчеты с акционерами (по дивидендам)"</f>
        <v>Расчеты с акционерами (по дивидендам)</v>
      </c>
      <c r="F574" t="str">
        <f>"1"</f>
        <v>1</v>
      </c>
      <c r="G574" t="str">
        <f>"4"</f>
        <v>4</v>
      </c>
      <c r="H574" t="str">
        <f>"1"</f>
        <v>1</v>
      </c>
      <c r="I574" s="2">
        <v>4284576.3099999996</v>
      </c>
    </row>
    <row r="575" spans="1:9" x14ac:dyDescent="0.25">
      <c r="A575">
        <v>164</v>
      </c>
      <c r="B575" s="1">
        <v>45289</v>
      </c>
      <c r="C575">
        <v>25</v>
      </c>
      <c r="D575" t="str">
        <f>"2854"</f>
        <v>2854</v>
      </c>
      <c r="E575" t="str">
        <f>"Расчеты с работниками"</f>
        <v>Расчеты с работниками</v>
      </c>
      <c r="F575" t="str">
        <f>""</f>
        <v/>
      </c>
      <c r="G575" t="str">
        <f>""</f>
        <v/>
      </c>
      <c r="H575" t="str">
        <f>""</f>
        <v/>
      </c>
      <c r="I575" s="2">
        <v>5109180181.9300003</v>
      </c>
    </row>
    <row r="576" spans="1:9" x14ac:dyDescent="0.25">
      <c r="A576">
        <v>553</v>
      </c>
      <c r="B576" s="1">
        <v>45289</v>
      </c>
      <c r="C576">
        <v>25</v>
      </c>
      <c r="D576" t="str">
        <f>"2855"</f>
        <v>2855</v>
      </c>
      <c r="E576" t="str">
        <f>"Кредиторы по документарным расчетам"</f>
        <v>Кредиторы по документарным расчетам</v>
      </c>
      <c r="F576" t="str">
        <f>"1"</f>
        <v>1</v>
      </c>
      <c r="G576" t="str">
        <f>"7"</f>
        <v>7</v>
      </c>
      <c r="H576" t="str">
        <f>"1"</f>
        <v>1</v>
      </c>
      <c r="I576" s="2">
        <v>290838237</v>
      </c>
    </row>
    <row r="577" spans="1:9" x14ac:dyDescent="0.25">
      <c r="A577">
        <v>327</v>
      </c>
      <c r="B577" s="1">
        <v>45289</v>
      </c>
      <c r="C577">
        <v>25</v>
      </c>
      <c r="D577" t="str">
        <f>"2855"</f>
        <v>2855</v>
      </c>
      <c r="E577" t="str">
        <f>"Кредиторы по документарным расчетам"</f>
        <v>Кредиторы по документарным расчетам</v>
      </c>
      <c r="F577" t="str">
        <f>"1"</f>
        <v>1</v>
      </c>
      <c r="G577" t="str">
        <f>"7"</f>
        <v>7</v>
      </c>
      <c r="H577" t="str">
        <f>"2"</f>
        <v>2</v>
      </c>
      <c r="I577" s="2">
        <v>161265088</v>
      </c>
    </row>
    <row r="578" spans="1:9" x14ac:dyDescent="0.25">
      <c r="A578">
        <v>78</v>
      </c>
      <c r="B578" s="1">
        <v>45289</v>
      </c>
      <c r="C578">
        <v>25</v>
      </c>
      <c r="D578" t="str">
        <f>"2856"</f>
        <v>2856</v>
      </c>
      <c r="E578" t="str">
        <f>"Кредиторы по капитальным вложениям"</f>
        <v>Кредиторы по капитальным вложениям</v>
      </c>
      <c r="F578" t="str">
        <f>"1"</f>
        <v>1</v>
      </c>
      <c r="G578" t="str">
        <f>"7"</f>
        <v>7</v>
      </c>
      <c r="H578" t="str">
        <f>"1"</f>
        <v>1</v>
      </c>
      <c r="I578" s="2">
        <v>72086915.560000002</v>
      </c>
    </row>
    <row r="579" spans="1:9" x14ac:dyDescent="0.25">
      <c r="A579">
        <v>549</v>
      </c>
      <c r="B579" s="1">
        <v>45289</v>
      </c>
      <c r="C579">
        <v>25</v>
      </c>
      <c r="D579" t="str">
        <f>"2857"</f>
        <v>2857</v>
      </c>
      <c r="E579" t="str">
        <f>"Отложенные налоговые обязательства"</f>
        <v>Отложенные налоговые обязательства</v>
      </c>
      <c r="F579" t="str">
        <f>""</f>
        <v/>
      </c>
      <c r="G579" t="str">
        <f>""</f>
        <v/>
      </c>
      <c r="H579" t="str">
        <f>""</f>
        <v/>
      </c>
      <c r="I579" s="2">
        <v>20530945729</v>
      </c>
    </row>
    <row r="580" spans="1:9" x14ac:dyDescent="0.25">
      <c r="A580">
        <v>331</v>
      </c>
      <c r="B580" s="1">
        <v>45289</v>
      </c>
      <c r="C580">
        <v>25</v>
      </c>
      <c r="D580" t="str">
        <f t="shared" ref="D580:D592" si="125">"2860"</f>
        <v>2860</v>
      </c>
      <c r="E580" t="str">
        <f t="shared" ref="E580:E592" si="126">"Прочие кредиторы по банковской деятельности"</f>
        <v>Прочие кредиторы по банковской деятельности</v>
      </c>
      <c r="F580" t="str">
        <f t="shared" ref="F580:F589" si="127">"1"</f>
        <v>1</v>
      </c>
      <c r="G580" t="str">
        <f>"4"</f>
        <v>4</v>
      </c>
      <c r="H580" t="str">
        <f>"1"</f>
        <v>1</v>
      </c>
      <c r="I580" s="2">
        <v>726111519.69000006</v>
      </c>
    </row>
    <row r="581" spans="1:9" x14ac:dyDescent="0.25">
      <c r="A581">
        <v>168</v>
      </c>
      <c r="B581" s="1">
        <v>45289</v>
      </c>
      <c r="C581">
        <v>25</v>
      </c>
      <c r="D581" t="str">
        <f t="shared" si="125"/>
        <v>2860</v>
      </c>
      <c r="E581" t="str">
        <f t="shared" si="126"/>
        <v>Прочие кредиторы по банковской деятельности</v>
      </c>
      <c r="F581" t="str">
        <f t="shared" si="127"/>
        <v>1</v>
      </c>
      <c r="G581" t="str">
        <f>"4"</f>
        <v>4</v>
      </c>
      <c r="H581" t="str">
        <f>"2"</f>
        <v>2</v>
      </c>
      <c r="I581" s="2">
        <v>1285932084.0799999</v>
      </c>
    </row>
    <row r="582" spans="1:9" x14ac:dyDescent="0.25">
      <c r="A582">
        <v>171</v>
      </c>
      <c r="B582" s="1">
        <v>45289</v>
      </c>
      <c r="C582">
        <v>25</v>
      </c>
      <c r="D582" t="str">
        <f t="shared" si="125"/>
        <v>2860</v>
      </c>
      <c r="E582" t="str">
        <f t="shared" si="126"/>
        <v>Прочие кредиторы по банковской деятельности</v>
      </c>
      <c r="F582" t="str">
        <f t="shared" si="127"/>
        <v>1</v>
      </c>
      <c r="G582" t="str">
        <f>"4"</f>
        <v>4</v>
      </c>
      <c r="H582" t="str">
        <f>"3"</f>
        <v>3</v>
      </c>
      <c r="I582" s="2">
        <v>598503.32999999996</v>
      </c>
    </row>
    <row r="583" spans="1:9" x14ac:dyDescent="0.25">
      <c r="A583">
        <v>80</v>
      </c>
      <c r="B583" s="1">
        <v>45289</v>
      </c>
      <c r="C583">
        <v>25</v>
      </c>
      <c r="D583" t="str">
        <f t="shared" si="125"/>
        <v>2860</v>
      </c>
      <c r="E583" t="str">
        <f t="shared" si="126"/>
        <v>Прочие кредиторы по банковской деятельности</v>
      </c>
      <c r="F583" t="str">
        <f t="shared" si="127"/>
        <v>1</v>
      </c>
      <c r="G583" t="str">
        <f>"5"</f>
        <v>5</v>
      </c>
      <c r="H583" t="str">
        <f>"1"</f>
        <v>1</v>
      </c>
      <c r="I583" s="2">
        <v>105975.67999999999</v>
      </c>
    </row>
    <row r="584" spans="1:9" x14ac:dyDescent="0.25">
      <c r="A584">
        <v>561</v>
      </c>
      <c r="B584" s="1">
        <v>45289</v>
      </c>
      <c r="C584">
        <v>25</v>
      </c>
      <c r="D584" t="str">
        <f t="shared" si="125"/>
        <v>2860</v>
      </c>
      <c r="E584" t="str">
        <f t="shared" si="126"/>
        <v>Прочие кредиторы по банковской деятельности</v>
      </c>
      <c r="F584" t="str">
        <f t="shared" si="127"/>
        <v>1</v>
      </c>
      <c r="G584" t="str">
        <f>"6"</f>
        <v>6</v>
      </c>
      <c r="H584" t="str">
        <f>"1"</f>
        <v>1</v>
      </c>
      <c r="I584" s="2">
        <v>1</v>
      </c>
    </row>
    <row r="585" spans="1:9" x14ac:dyDescent="0.25">
      <c r="A585">
        <v>333</v>
      </c>
      <c r="B585" s="1">
        <v>45289</v>
      </c>
      <c r="C585">
        <v>25</v>
      </c>
      <c r="D585" t="str">
        <f t="shared" si="125"/>
        <v>2860</v>
      </c>
      <c r="E585" t="str">
        <f t="shared" si="126"/>
        <v>Прочие кредиторы по банковской деятельности</v>
      </c>
      <c r="F585" t="str">
        <f t="shared" si="127"/>
        <v>1</v>
      </c>
      <c r="G585" t="str">
        <f>"7"</f>
        <v>7</v>
      </c>
      <c r="H585" t="str">
        <f>"1"</f>
        <v>1</v>
      </c>
      <c r="I585" s="2">
        <v>308241275.38</v>
      </c>
    </row>
    <row r="586" spans="1:9" x14ac:dyDescent="0.25">
      <c r="A586">
        <v>169</v>
      </c>
      <c r="B586" s="1">
        <v>45289</v>
      </c>
      <c r="C586">
        <v>25</v>
      </c>
      <c r="D586" t="str">
        <f t="shared" si="125"/>
        <v>2860</v>
      </c>
      <c r="E586" t="str">
        <f t="shared" si="126"/>
        <v>Прочие кредиторы по банковской деятельности</v>
      </c>
      <c r="F586" t="str">
        <f t="shared" si="127"/>
        <v>1</v>
      </c>
      <c r="G586" t="str">
        <f>"7"</f>
        <v>7</v>
      </c>
      <c r="H586" t="str">
        <f>"2"</f>
        <v>2</v>
      </c>
      <c r="I586" s="2">
        <v>5034886.76</v>
      </c>
    </row>
    <row r="587" spans="1:9" x14ac:dyDescent="0.25">
      <c r="A587">
        <v>332</v>
      </c>
      <c r="B587" s="1">
        <v>45289</v>
      </c>
      <c r="C587">
        <v>25</v>
      </c>
      <c r="D587" t="str">
        <f t="shared" si="125"/>
        <v>2860</v>
      </c>
      <c r="E587" t="str">
        <f t="shared" si="126"/>
        <v>Прочие кредиторы по банковской деятельности</v>
      </c>
      <c r="F587" t="str">
        <f t="shared" si="127"/>
        <v>1</v>
      </c>
      <c r="G587" t="str">
        <f>"9"</f>
        <v>9</v>
      </c>
      <c r="H587" t="str">
        <f>"1"</f>
        <v>1</v>
      </c>
      <c r="I587" s="2">
        <v>17388231.140000001</v>
      </c>
    </row>
    <row r="588" spans="1:9" x14ac:dyDescent="0.25">
      <c r="A588">
        <v>170</v>
      </c>
      <c r="B588" s="1">
        <v>45289</v>
      </c>
      <c r="C588">
        <v>25</v>
      </c>
      <c r="D588" t="str">
        <f t="shared" si="125"/>
        <v>2860</v>
      </c>
      <c r="E588" t="str">
        <f t="shared" si="126"/>
        <v>Прочие кредиторы по банковской деятельности</v>
      </c>
      <c r="F588" t="str">
        <f t="shared" si="127"/>
        <v>1</v>
      </c>
      <c r="G588" t="str">
        <f>"9"</f>
        <v>9</v>
      </c>
      <c r="H588" t="str">
        <f>"2"</f>
        <v>2</v>
      </c>
      <c r="I588" s="2">
        <v>4670988</v>
      </c>
    </row>
    <row r="589" spans="1:9" x14ac:dyDescent="0.25">
      <c r="A589">
        <v>767</v>
      </c>
      <c r="B589" s="1">
        <v>45289</v>
      </c>
      <c r="C589">
        <v>25</v>
      </c>
      <c r="D589" t="str">
        <f t="shared" si="125"/>
        <v>2860</v>
      </c>
      <c r="E589" t="str">
        <f t="shared" si="126"/>
        <v>Прочие кредиторы по банковской деятельности</v>
      </c>
      <c r="F589" t="str">
        <f t="shared" si="127"/>
        <v>1</v>
      </c>
      <c r="G589" t="str">
        <f>"9"</f>
        <v>9</v>
      </c>
      <c r="H589" t="str">
        <f>"3"</f>
        <v>3</v>
      </c>
      <c r="I589" s="2">
        <v>9165.83</v>
      </c>
    </row>
    <row r="590" spans="1:9" x14ac:dyDescent="0.25">
      <c r="A590">
        <v>768</v>
      </c>
      <c r="B590" s="1">
        <v>45289</v>
      </c>
      <c r="C590">
        <v>25</v>
      </c>
      <c r="D590" t="str">
        <f t="shared" si="125"/>
        <v>2860</v>
      </c>
      <c r="E590" t="str">
        <f t="shared" si="126"/>
        <v>Прочие кредиторы по банковской деятельности</v>
      </c>
      <c r="F590" t="str">
        <f>"2"</f>
        <v>2</v>
      </c>
      <c r="G590" t="str">
        <f>"5"</f>
        <v>5</v>
      </c>
      <c r="H590" t="str">
        <f>"2"</f>
        <v>2</v>
      </c>
      <c r="I590" s="2">
        <v>4545600</v>
      </c>
    </row>
    <row r="591" spans="1:9" x14ac:dyDescent="0.25">
      <c r="A591">
        <v>79</v>
      </c>
      <c r="B591" s="1">
        <v>45289</v>
      </c>
      <c r="C591">
        <v>25</v>
      </c>
      <c r="D591" t="str">
        <f t="shared" si="125"/>
        <v>2860</v>
      </c>
      <c r="E591" t="str">
        <f t="shared" si="126"/>
        <v>Прочие кредиторы по банковской деятельности</v>
      </c>
      <c r="F591" t="str">
        <f>"2"</f>
        <v>2</v>
      </c>
      <c r="G591" t="str">
        <f>"7"</f>
        <v>7</v>
      </c>
      <c r="H591" t="str">
        <f>"1"</f>
        <v>1</v>
      </c>
      <c r="I591" s="2">
        <v>3500</v>
      </c>
    </row>
    <row r="592" spans="1:9" x14ac:dyDescent="0.25">
      <c r="A592">
        <v>562</v>
      </c>
      <c r="B592" s="1">
        <v>45289</v>
      </c>
      <c r="C592">
        <v>25</v>
      </c>
      <c r="D592" t="str">
        <f t="shared" si="125"/>
        <v>2860</v>
      </c>
      <c r="E592" t="str">
        <f t="shared" si="126"/>
        <v>Прочие кредиторы по банковской деятельности</v>
      </c>
      <c r="F592" t="str">
        <f>"2"</f>
        <v>2</v>
      </c>
      <c r="G592" t="str">
        <f>"7"</f>
        <v>7</v>
      </c>
      <c r="H592" t="str">
        <f>"2"</f>
        <v>2</v>
      </c>
      <c r="I592" s="2">
        <v>430450797.14999998</v>
      </c>
    </row>
    <row r="593" spans="1:9" x14ac:dyDescent="0.25">
      <c r="A593">
        <v>550</v>
      </c>
      <c r="B593" s="1">
        <v>45289</v>
      </c>
      <c r="C593">
        <v>25</v>
      </c>
      <c r="D593" t="str">
        <f>"2861"</f>
        <v>2861</v>
      </c>
      <c r="E593" t="str">
        <f>"Резерв на отпускные выплаты"</f>
        <v>Резерв на отпускные выплаты</v>
      </c>
      <c r="F593" t="str">
        <f>""</f>
        <v/>
      </c>
      <c r="G593" t="str">
        <f>""</f>
        <v/>
      </c>
      <c r="H593" t="str">
        <f>""</f>
        <v/>
      </c>
      <c r="I593" s="2">
        <v>1193055927.8599999</v>
      </c>
    </row>
    <row r="594" spans="1:9" x14ac:dyDescent="0.25">
      <c r="A594">
        <v>761</v>
      </c>
      <c r="B594" s="1">
        <v>45289</v>
      </c>
      <c r="C594">
        <v>25</v>
      </c>
      <c r="D594" t="str">
        <f>"2865"</f>
        <v>2865</v>
      </c>
      <c r="E594" t="str">
        <f>"Обязательства по выпущенным электронным деньгам"</f>
        <v>Обязательства по выпущенным электронным деньгам</v>
      </c>
      <c r="F594" t="str">
        <f t="shared" ref="F594:F623" si="128">"1"</f>
        <v>1</v>
      </c>
      <c r="G594" t="str">
        <f>"4"</f>
        <v>4</v>
      </c>
      <c r="H594" t="str">
        <f t="shared" ref="H594:H602" si="129">"1"</f>
        <v>1</v>
      </c>
      <c r="I594" s="2">
        <v>6289498731.9300003</v>
      </c>
    </row>
    <row r="595" spans="1:9" x14ac:dyDescent="0.25">
      <c r="A595">
        <v>759</v>
      </c>
      <c r="B595" s="1">
        <v>45289</v>
      </c>
      <c r="C595">
        <v>25</v>
      </c>
      <c r="D595" t="str">
        <f>"2867"</f>
        <v>2867</v>
      </c>
      <c r="E595" t="str">
        <f>"Прочие кредиторы по неосновной деятельности"</f>
        <v>Прочие кредиторы по неосновной деятельности</v>
      </c>
      <c r="F595" t="str">
        <f t="shared" si="128"/>
        <v>1</v>
      </c>
      <c r="G595" t="str">
        <f>"4"</f>
        <v>4</v>
      </c>
      <c r="H595" t="str">
        <f t="shared" si="129"/>
        <v>1</v>
      </c>
      <c r="I595" s="2">
        <v>6022030723.4099998</v>
      </c>
    </row>
    <row r="596" spans="1:9" x14ac:dyDescent="0.25">
      <c r="A596">
        <v>760</v>
      </c>
      <c r="B596" s="1">
        <v>45289</v>
      </c>
      <c r="C596">
        <v>25</v>
      </c>
      <c r="D596" t="str">
        <f>"2867"</f>
        <v>2867</v>
      </c>
      <c r="E596" t="str">
        <f>"Прочие кредиторы по неосновной деятельности"</f>
        <v>Прочие кредиторы по неосновной деятельности</v>
      </c>
      <c r="F596" t="str">
        <f t="shared" si="128"/>
        <v>1</v>
      </c>
      <c r="G596" t="str">
        <f>"5"</f>
        <v>5</v>
      </c>
      <c r="H596" t="str">
        <f t="shared" si="129"/>
        <v>1</v>
      </c>
      <c r="I596" s="2">
        <v>1960083823.55</v>
      </c>
    </row>
    <row r="597" spans="1:9" x14ac:dyDescent="0.25">
      <c r="A597">
        <v>321</v>
      </c>
      <c r="B597" s="1">
        <v>45289</v>
      </c>
      <c r="C597">
        <v>25</v>
      </c>
      <c r="D597" t="str">
        <f>"2867"</f>
        <v>2867</v>
      </c>
      <c r="E597" t="str">
        <f>"Прочие кредиторы по неосновной деятельности"</f>
        <v>Прочие кредиторы по неосновной деятельности</v>
      </c>
      <c r="F597" t="str">
        <f t="shared" si="128"/>
        <v>1</v>
      </c>
      <c r="G597" t="str">
        <f>"6"</f>
        <v>6</v>
      </c>
      <c r="H597" t="str">
        <f t="shared" si="129"/>
        <v>1</v>
      </c>
      <c r="I597" s="2">
        <v>6440.61</v>
      </c>
    </row>
    <row r="598" spans="1:9" x14ac:dyDescent="0.25">
      <c r="A598">
        <v>162</v>
      </c>
      <c r="B598" s="1">
        <v>45289</v>
      </c>
      <c r="C598">
        <v>25</v>
      </c>
      <c r="D598" t="str">
        <f>"2867"</f>
        <v>2867</v>
      </c>
      <c r="E598" t="str">
        <f>"Прочие кредиторы по неосновной деятельности"</f>
        <v>Прочие кредиторы по неосновной деятельности</v>
      </c>
      <c r="F598" t="str">
        <f t="shared" si="128"/>
        <v>1</v>
      </c>
      <c r="G598" t="str">
        <f>"7"</f>
        <v>7</v>
      </c>
      <c r="H598" t="str">
        <f t="shared" si="129"/>
        <v>1</v>
      </c>
      <c r="I598" s="2">
        <v>4031267824.8299999</v>
      </c>
    </row>
    <row r="599" spans="1:9" x14ac:dyDescent="0.25">
      <c r="A599">
        <v>322</v>
      </c>
      <c r="B599" s="1">
        <v>45289</v>
      </c>
      <c r="C599">
        <v>25</v>
      </c>
      <c r="D599" t="str">
        <f>"2867"</f>
        <v>2867</v>
      </c>
      <c r="E599" t="str">
        <f>"Прочие кредиторы по неосновной деятельности"</f>
        <v>Прочие кредиторы по неосновной деятельности</v>
      </c>
      <c r="F599" t="str">
        <f t="shared" si="128"/>
        <v>1</v>
      </c>
      <c r="G599" t="str">
        <f>"9"</f>
        <v>9</v>
      </c>
      <c r="H599" t="str">
        <f t="shared" si="129"/>
        <v>1</v>
      </c>
      <c r="I599" s="2">
        <v>8030199248.1899996</v>
      </c>
    </row>
    <row r="600" spans="1:9" x14ac:dyDescent="0.25">
      <c r="A600">
        <v>548</v>
      </c>
      <c r="B600" s="1">
        <v>45289</v>
      </c>
      <c r="C600">
        <v>25</v>
      </c>
      <c r="D600" t="str">
        <f t="shared" ref="D600:D606" si="130">"2869"</f>
        <v>2869</v>
      </c>
      <c r="E600" t="str">
        <f t="shared" ref="E600:E606" si="131">"Выданные гарантии"</f>
        <v>Выданные гарантии</v>
      </c>
      <c r="F600" t="str">
        <f t="shared" si="128"/>
        <v>1</v>
      </c>
      <c r="G600" t="str">
        <f>"5"</f>
        <v>5</v>
      </c>
      <c r="H600" t="str">
        <f t="shared" si="129"/>
        <v>1</v>
      </c>
      <c r="I600" s="2">
        <v>31162.47</v>
      </c>
    </row>
    <row r="601" spans="1:9" x14ac:dyDescent="0.25">
      <c r="A601">
        <v>160</v>
      </c>
      <c r="B601" s="1">
        <v>45289</v>
      </c>
      <c r="C601">
        <v>25</v>
      </c>
      <c r="D601" t="str">
        <f t="shared" si="130"/>
        <v>2869</v>
      </c>
      <c r="E601" t="str">
        <f t="shared" si="131"/>
        <v>Выданные гарантии</v>
      </c>
      <c r="F601" t="str">
        <f t="shared" si="128"/>
        <v>1</v>
      </c>
      <c r="G601" t="str">
        <f>"6"</f>
        <v>6</v>
      </c>
      <c r="H601" t="str">
        <f t="shared" si="129"/>
        <v>1</v>
      </c>
      <c r="I601" s="2">
        <v>9726.7199999999993</v>
      </c>
    </row>
    <row r="602" spans="1:9" x14ac:dyDescent="0.25">
      <c r="A602">
        <v>72</v>
      </c>
      <c r="B602" s="1">
        <v>45289</v>
      </c>
      <c r="C602">
        <v>25</v>
      </c>
      <c r="D602" t="str">
        <f t="shared" si="130"/>
        <v>2869</v>
      </c>
      <c r="E602" t="str">
        <f t="shared" si="131"/>
        <v>Выданные гарантии</v>
      </c>
      <c r="F602" t="str">
        <f t="shared" si="128"/>
        <v>1</v>
      </c>
      <c r="G602" t="str">
        <f>"7"</f>
        <v>7</v>
      </c>
      <c r="H602" t="str">
        <f t="shared" si="129"/>
        <v>1</v>
      </c>
      <c r="I602" s="2">
        <v>1033623093.02</v>
      </c>
    </row>
    <row r="603" spans="1:9" x14ac:dyDescent="0.25">
      <c r="A603">
        <v>756</v>
      </c>
      <c r="B603" s="1">
        <v>45289</v>
      </c>
      <c r="C603">
        <v>25</v>
      </c>
      <c r="D603" t="str">
        <f t="shared" si="130"/>
        <v>2869</v>
      </c>
      <c r="E603" t="str">
        <f t="shared" si="131"/>
        <v>Выданные гарантии</v>
      </c>
      <c r="F603" t="str">
        <f t="shared" si="128"/>
        <v>1</v>
      </c>
      <c r="G603" t="str">
        <f>"7"</f>
        <v>7</v>
      </c>
      <c r="H603" t="str">
        <f>"2"</f>
        <v>2</v>
      </c>
      <c r="I603" s="2">
        <v>52163634.359999999</v>
      </c>
    </row>
    <row r="604" spans="1:9" x14ac:dyDescent="0.25">
      <c r="A604">
        <v>314</v>
      </c>
      <c r="B604" s="1">
        <v>45289</v>
      </c>
      <c r="C604">
        <v>25</v>
      </c>
      <c r="D604" t="str">
        <f t="shared" si="130"/>
        <v>2869</v>
      </c>
      <c r="E604" t="str">
        <f t="shared" si="131"/>
        <v>Выданные гарантии</v>
      </c>
      <c r="F604" t="str">
        <f t="shared" si="128"/>
        <v>1</v>
      </c>
      <c r="G604" t="str">
        <f>"7"</f>
        <v>7</v>
      </c>
      <c r="H604" t="str">
        <f>"3"</f>
        <v>3</v>
      </c>
      <c r="I604" s="2">
        <v>1192745.93</v>
      </c>
    </row>
    <row r="605" spans="1:9" x14ac:dyDescent="0.25">
      <c r="A605">
        <v>757</v>
      </c>
      <c r="B605" s="1">
        <v>45289</v>
      </c>
      <c r="C605">
        <v>25</v>
      </c>
      <c r="D605" t="str">
        <f t="shared" si="130"/>
        <v>2869</v>
      </c>
      <c r="E605" t="str">
        <f t="shared" si="131"/>
        <v>Выданные гарантии</v>
      </c>
      <c r="F605" t="str">
        <f t="shared" si="128"/>
        <v>1</v>
      </c>
      <c r="G605" t="str">
        <f>"8"</f>
        <v>8</v>
      </c>
      <c r="H605" t="str">
        <f>"1"</f>
        <v>1</v>
      </c>
      <c r="I605" s="2">
        <v>310149.67</v>
      </c>
    </row>
    <row r="606" spans="1:9" x14ac:dyDescent="0.25">
      <c r="A606">
        <v>159</v>
      </c>
      <c r="B606" s="1">
        <v>45289</v>
      </c>
      <c r="C606">
        <v>25</v>
      </c>
      <c r="D606" t="str">
        <f t="shared" si="130"/>
        <v>2869</v>
      </c>
      <c r="E606" t="str">
        <f t="shared" si="131"/>
        <v>Выданные гарантии</v>
      </c>
      <c r="F606" t="str">
        <f t="shared" si="128"/>
        <v>1</v>
      </c>
      <c r="G606" t="str">
        <f>"9"</f>
        <v>9</v>
      </c>
      <c r="H606" t="str">
        <f>"1"</f>
        <v>1</v>
      </c>
      <c r="I606" s="2">
        <v>4626215.09</v>
      </c>
    </row>
    <row r="607" spans="1:9" x14ac:dyDescent="0.25">
      <c r="A607">
        <v>446</v>
      </c>
      <c r="B607" s="1">
        <v>45289</v>
      </c>
      <c r="C607">
        <v>25</v>
      </c>
      <c r="D607" t="str">
        <f t="shared" ref="D607:D614" si="132">"2870"</f>
        <v>2870</v>
      </c>
      <c r="E607" t="str">
        <f t="shared" ref="E607:E614" si="133">"Прочие транзитные счета"</f>
        <v>Прочие транзитные счета</v>
      </c>
      <c r="F607" t="str">
        <f t="shared" si="128"/>
        <v>1</v>
      </c>
      <c r="G607" t="str">
        <f>"4"</f>
        <v>4</v>
      </c>
      <c r="H607" t="str">
        <f>"1"</f>
        <v>1</v>
      </c>
      <c r="I607" s="2">
        <v>25374655020.279999</v>
      </c>
    </row>
    <row r="608" spans="1:9" x14ac:dyDescent="0.25">
      <c r="A608">
        <v>71</v>
      </c>
      <c r="B608" s="1">
        <v>45289</v>
      </c>
      <c r="C608">
        <v>25</v>
      </c>
      <c r="D608" t="str">
        <f t="shared" si="132"/>
        <v>2870</v>
      </c>
      <c r="E608" t="str">
        <f t="shared" si="133"/>
        <v>Прочие транзитные счета</v>
      </c>
      <c r="F608" t="str">
        <f t="shared" si="128"/>
        <v>1</v>
      </c>
      <c r="G608" t="str">
        <f>"4"</f>
        <v>4</v>
      </c>
      <c r="H608" t="str">
        <f>"2"</f>
        <v>2</v>
      </c>
      <c r="I608" s="2">
        <v>1848262008.49</v>
      </c>
    </row>
    <row r="609" spans="1:9" x14ac:dyDescent="0.25">
      <c r="A609">
        <v>547</v>
      </c>
      <c r="B609" s="1">
        <v>45289</v>
      </c>
      <c r="C609">
        <v>25</v>
      </c>
      <c r="D609" t="str">
        <f t="shared" si="132"/>
        <v>2870</v>
      </c>
      <c r="E609" t="str">
        <f t="shared" si="133"/>
        <v>Прочие транзитные счета</v>
      </c>
      <c r="F609" t="str">
        <f t="shared" si="128"/>
        <v>1</v>
      </c>
      <c r="G609" t="str">
        <f>"4"</f>
        <v>4</v>
      </c>
      <c r="H609" t="str">
        <f>"3"</f>
        <v>3</v>
      </c>
      <c r="I609" s="2">
        <v>105984581.73999999</v>
      </c>
    </row>
    <row r="610" spans="1:9" x14ac:dyDescent="0.25">
      <c r="A610">
        <v>445</v>
      </c>
      <c r="B610" s="1">
        <v>45289</v>
      </c>
      <c r="C610">
        <v>25</v>
      </c>
      <c r="D610" t="str">
        <f t="shared" si="132"/>
        <v>2870</v>
      </c>
      <c r="E610" t="str">
        <f t="shared" si="133"/>
        <v>Прочие транзитные счета</v>
      </c>
      <c r="F610" t="str">
        <f t="shared" si="128"/>
        <v>1</v>
      </c>
      <c r="G610" t="str">
        <f>"6"</f>
        <v>6</v>
      </c>
      <c r="H610" t="str">
        <f>"1"</f>
        <v>1</v>
      </c>
      <c r="I610" s="2">
        <v>15749081.710000001</v>
      </c>
    </row>
    <row r="611" spans="1:9" x14ac:dyDescent="0.25">
      <c r="A611">
        <v>754</v>
      </c>
      <c r="B611" s="1">
        <v>45289</v>
      </c>
      <c r="C611">
        <v>25</v>
      </c>
      <c r="D611" t="str">
        <f t="shared" si="132"/>
        <v>2870</v>
      </c>
      <c r="E611" t="str">
        <f t="shared" si="133"/>
        <v>Прочие транзитные счета</v>
      </c>
      <c r="F611" t="str">
        <f t="shared" si="128"/>
        <v>1</v>
      </c>
      <c r="G611" t="str">
        <f>"7"</f>
        <v>7</v>
      </c>
      <c r="H611" t="str">
        <f>"1"</f>
        <v>1</v>
      </c>
      <c r="I611" s="2">
        <v>234588125.15000001</v>
      </c>
    </row>
    <row r="612" spans="1:9" x14ac:dyDescent="0.25">
      <c r="A612">
        <v>755</v>
      </c>
      <c r="B612" s="1">
        <v>45289</v>
      </c>
      <c r="C612">
        <v>25</v>
      </c>
      <c r="D612" t="str">
        <f t="shared" si="132"/>
        <v>2870</v>
      </c>
      <c r="E612" t="str">
        <f t="shared" si="133"/>
        <v>Прочие транзитные счета</v>
      </c>
      <c r="F612" t="str">
        <f t="shared" si="128"/>
        <v>1</v>
      </c>
      <c r="G612" t="str">
        <f>"8"</f>
        <v>8</v>
      </c>
      <c r="H612" t="str">
        <f>"1"</f>
        <v>1</v>
      </c>
      <c r="I612" s="2">
        <v>2107469.65</v>
      </c>
    </row>
    <row r="613" spans="1:9" x14ac:dyDescent="0.25">
      <c r="A613">
        <v>753</v>
      </c>
      <c r="B613" s="1">
        <v>45289</v>
      </c>
      <c r="C613">
        <v>25</v>
      </c>
      <c r="D613" t="str">
        <f t="shared" si="132"/>
        <v>2870</v>
      </c>
      <c r="E613" t="str">
        <f t="shared" si="133"/>
        <v>Прочие транзитные счета</v>
      </c>
      <c r="F613" t="str">
        <f t="shared" si="128"/>
        <v>1</v>
      </c>
      <c r="G613" t="str">
        <f>"9"</f>
        <v>9</v>
      </c>
      <c r="H613" t="str">
        <f>"1"</f>
        <v>1</v>
      </c>
      <c r="I613" s="2">
        <v>167863524.28999999</v>
      </c>
    </row>
    <row r="614" spans="1:9" x14ac:dyDescent="0.25">
      <c r="A614">
        <v>752</v>
      </c>
      <c r="B614" s="1">
        <v>45289</v>
      </c>
      <c r="C614">
        <v>25</v>
      </c>
      <c r="D614" t="str">
        <f t="shared" si="132"/>
        <v>2870</v>
      </c>
      <c r="E614" t="str">
        <f t="shared" si="133"/>
        <v>Прочие транзитные счета</v>
      </c>
      <c r="F614" t="str">
        <f t="shared" si="128"/>
        <v>1</v>
      </c>
      <c r="G614" t="str">
        <f>"9"</f>
        <v>9</v>
      </c>
      <c r="H614" t="str">
        <f>"2"</f>
        <v>2</v>
      </c>
      <c r="I614" s="2">
        <v>13831675.02</v>
      </c>
    </row>
    <row r="615" spans="1:9" x14ac:dyDescent="0.25">
      <c r="A615">
        <v>172</v>
      </c>
      <c r="B615" s="1">
        <v>45289</v>
      </c>
      <c r="C615">
        <v>25</v>
      </c>
      <c r="D615" t="str">
        <f>"2874"</f>
        <v>2874</v>
      </c>
      <c r="E61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15" t="str">
        <f t="shared" si="128"/>
        <v>1</v>
      </c>
      <c r="G615" t="str">
        <f>""</f>
        <v/>
      </c>
      <c r="H615" t="str">
        <f>"1"</f>
        <v>1</v>
      </c>
      <c r="I615" s="2">
        <v>8846478.1099999994</v>
      </c>
    </row>
    <row r="616" spans="1:9" x14ac:dyDescent="0.25">
      <c r="A616">
        <v>771</v>
      </c>
      <c r="B616" s="1">
        <v>45289</v>
      </c>
      <c r="C616">
        <v>25</v>
      </c>
      <c r="D616" t="str">
        <f>"2874"</f>
        <v>2874</v>
      </c>
      <c r="E616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16" t="str">
        <f t="shared" si="128"/>
        <v>1</v>
      </c>
      <c r="G616" t="str">
        <f>""</f>
        <v/>
      </c>
      <c r="H616" t="str">
        <f>"2"</f>
        <v>2</v>
      </c>
      <c r="I616" s="2">
        <v>145.46</v>
      </c>
    </row>
    <row r="617" spans="1:9" x14ac:dyDescent="0.25">
      <c r="A617">
        <v>770</v>
      </c>
      <c r="B617" s="1">
        <v>45289</v>
      </c>
      <c r="C617">
        <v>25</v>
      </c>
      <c r="D617" t="str">
        <f>"2874"</f>
        <v>2874</v>
      </c>
      <c r="E617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17" t="str">
        <f t="shared" si="128"/>
        <v>1</v>
      </c>
      <c r="G617" t="str">
        <f>""</f>
        <v/>
      </c>
      <c r="H617" t="str">
        <f>"3"</f>
        <v>3</v>
      </c>
      <c r="I617" s="2">
        <v>5.0599999999999996</v>
      </c>
    </row>
    <row r="618" spans="1:9" x14ac:dyDescent="0.25">
      <c r="A618">
        <v>447</v>
      </c>
      <c r="B618" s="1">
        <v>45289</v>
      </c>
      <c r="C618">
        <v>25</v>
      </c>
      <c r="D618" t="str">
        <f>"2875"</f>
        <v>2875</v>
      </c>
      <c r="E61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18" t="str">
        <f t="shared" si="128"/>
        <v>1</v>
      </c>
      <c r="G618" t="str">
        <f>"7"</f>
        <v>7</v>
      </c>
      <c r="H618" t="str">
        <f>"1"</f>
        <v>1</v>
      </c>
      <c r="I618" s="2">
        <v>63381.45</v>
      </c>
    </row>
    <row r="619" spans="1:9" x14ac:dyDescent="0.25">
      <c r="A619">
        <v>326</v>
      </c>
      <c r="B619" s="1">
        <v>45289</v>
      </c>
      <c r="C619">
        <v>25</v>
      </c>
      <c r="D619" t="str">
        <f>"2875"</f>
        <v>2875</v>
      </c>
      <c r="E61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19" t="str">
        <f t="shared" si="128"/>
        <v>1</v>
      </c>
      <c r="G619" t="str">
        <f>"7"</f>
        <v>7</v>
      </c>
      <c r="H619" t="str">
        <f>"2"</f>
        <v>2</v>
      </c>
      <c r="I619" s="2">
        <v>26796.66</v>
      </c>
    </row>
    <row r="620" spans="1:9" x14ac:dyDescent="0.25">
      <c r="A620">
        <v>341</v>
      </c>
      <c r="B620" s="1">
        <v>45289</v>
      </c>
      <c r="C620">
        <v>25</v>
      </c>
      <c r="D620" t="str">
        <f>"2880"</f>
        <v>2880</v>
      </c>
      <c r="E620" t="str">
        <f>"Обязательства по секьюритизируемым активам"</f>
        <v>Обязательства по секьюритизируемым активам</v>
      </c>
      <c r="F620" t="str">
        <f t="shared" si="128"/>
        <v>1</v>
      </c>
      <c r="G620" t="str">
        <f>""</f>
        <v/>
      </c>
      <c r="H620" t="str">
        <f>"1"</f>
        <v>1</v>
      </c>
      <c r="I620" s="2">
        <v>2570218283.9200001</v>
      </c>
    </row>
    <row r="621" spans="1:9" x14ac:dyDescent="0.25">
      <c r="A621">
        <v>766</v>
      </c>
      <c r="B621" s="1">
        <v>45289</v>
      </c>
      <c r="C621">
        <v>25</v>
      </c>
      <c r="D621" t="str">
        <f>"2892"</f>
        <v>2892</v>
      </c>
      <c r="E621" t="str">
        <f>"Обязательства по операциям форвард"</f>
        <v>Обязательства по операциям форвард</v>
      </c>
      <c r="F621" t="str">
        <f t="shared" si="128"/>
        <v>1</v>
      </c>
      <c r="G621" t="str">
        <f>"7"</f>
        <v>7</v>
      </c>
      <c r="H621" t="str">
        <f>"1"</f>
        <v>1</v>
      </c>
      <c r="I621" s="2">
        <v>79555260.459999993</v>
      </c>
    </row>
    <row r="622" spans="1:9" x14ac:dyDescent="0.25">
      <c r="A622">
        <v>76</v>
      </c>
      <c r="B622" s="1">
        <v>45289</v>
      </c>
      <c r="C622">
        <v>25</v>
      </c>
      <c r="D622" t="str">
        <f>"2894"</f>
        <v>2894</v>
      </c>
      <c r="E622" t="str">
        <f>"Обязательства по операциям спот"</f>
        <v>Обязательства по операциям спот</v>
      </c>
      <c r="F622" t="str">
        <f t="shared" si="128"/>
        <v>1</v>
      </c>
      <c r="G622" t="str">
        <f>"4"</f>
        <v>4</v>
      </c>
      <c r="H622" t="str">
        <f>"1"</f>
        <v>1</v>
      </c>
      <c r="I622" s="2">
        <v>2725300000</v>
      </c>
    </row>
    <row r="623" spans="1:9" x14ac:dyDescent="0.25">
      <c r="A623">
        <v>77</v>
      </c>
      <c r="B623" s="1">
        <v>45289</v>
      </c>
      <c r="C623">
        <v>25</v>
      </c>
      <c r="D623" t="str">
        <f>"2894"</f>
        <v>2894</v>
      </c>
      <c r="E623" t="str">
        <f>"Обязательства по операциям спот"</f>
        <v>Обязательства по операциям спот</v>
      </c>
      <c r="F623" t="str">
        <f t="shared" si="128"/>
        <v>1</v>
      </c>
      <c r="G623" t="str">
        <f>"5"</f>
        <v>5</v>
      </c>
      <c r="H623" t="str">
        <f>"1"</f>
        <v>1</v>
      </c>
      <c r="I623" s="2">
        <v>5864400130</v>
      </c>
    </row>
    <row r="624" spans="1:9" x14ac:dyDescent="0.25">
      <c r="A624">
        <v>329</v>
      </c>
      <c r="B624" s="1">
        <v>45289</v>
      </c>
      <c r="C624">
        <v>25</v>
      </c>
      <c r="D624" t="str">
        <f>"2894"</f>
        <v>2894</v>
      </c>
      <c r="E624" t="str">
        <f>"Обязательства по операциям спот"</f>
        <v>Обязательства по операциям спот</v>
      </c>
      <c r="F624" t="str">
        <f>"2"</f>
        <v>2</v>
      </c>
      <c r="G624" t="str">
        <f>"4"</f>
        <v>4</v>
      </c>
      <c r="H624" t="str">
        <f>"2"</f>
        <v>2</v>
      </c>
      <c r="I624" s="2">
        <v>1847219563.6800001</v>
      </c>
    </row>
    <row r="625" spans="1:9" x14ac:dyDescent="0.25">
      <c r="A625">
        <v>328</v>
      </c>
      <c r="B625" s="1">
        <v>45289</v>
      </c>
      <c r="C625">
        <v>25</v>
      </c>
      <c r="D625" t="str">
        <f>"2895"</f>
        <v>2895</v>
      </c>
      <c r="E625" t="str">
        <f>"Обязательства по операциям своп"</f>
        <v>Обязательства по операциям своп</v>
      </c>
      <c r="F625" t="str">
        <f>"1"</f>
        <v>1</v>
      </c>
      <c r="G625" t="str">
        <f>"5"</f>
        <v>5</v>
      </c>
      <c r="H625" t="str">
        <f>"1"</f>
        <v>1</v>
      </c>
      <c r="I625" s="2">
        <v>82776784138</v>
      </c>
    </row>
    <row r="626" spans="1:9" x14ac:dyDescent="0.25">
      <c r="A626">
        <v>75</v>
      </c>
      <c r="B626" s="1">
        <v>45289</v>
      </c>
      <c r="C626">
        <v>25</v>
      </c>
      <c r="D626" t="str">
        <f>"2895"</f>
        <v>2895</v>
      </c>
      <c r="E626" t="str">
        <f>"Обязательства по операциям своп"</f>
        <v>Обязательства по операциям своп</v>
      </c>
      <c r="F626" t="str">
        <f>"1"</f>
        <v>1</v>
      </c>
      <c r="G626" t="str">
        <f>"5"</f>
        <v>5</v>
      </c>
      <c r="H626" t="str">
        <f>"2"</f>
        <v>2</v>
      </c>
      <c r="I626" s="2">
        <v>58183680000</v>
      </c>
    </row>
    <row r="627" spans="1:9" x14ac:dyDescent="0.25">
      <c r="A627">
        <v>555</v>
      </c>
      <c r="B627" s="1">
        <v>45289</v>
      </c>
      <c r="C627">
        <v>25</v>
      </c>
      <c r="D627" t="str">
        <f>"2895"</f>
        <v>2895</v>
      </c>
      <c r="E627" t="str">
        <f>"Обязательства по операциям своп"</f>
        <v>Обязательства по операциям своп</v>
      </c>
      <c r="F627" t="str">
        <f>"2"</f>
        <v>2</v>
      </c>
      <c r="G627" t="str">
        <f>"4"</f>
        <v>4</v>
      </c>
      <c r="H627" t="str">
        <f>"1"</f>
        <v>1</v>
      </c>
      <c r="I627" s="2">
        <v>6393053650.8599997</v>
      </c>
    </row>
    <row r="628" spans="1:9" x14ac:dyDescent="0.25">
      <c r="A628">
        <v>554</v>
      </c>
      <c r="B628" s="1">
        <v>45289</v>
      </c>
      <c r="C628">
        <v>25</v>
      </c>
      <c r="D628" t="str">
        <f>"2895"</f>
        <v>2895</v>
      </c>
      <c r="E628" t="str">
        <f>"Обязательства по операциям своп"</f>
        <v>Обязательства по операциям своп</v>
      </c>
      <c r="F628" t="str">
        <f>"2"</f>
        <v>2</v>
      </c>
      <c r="G628" t="str">
        <f>"4"</f>
        <v>4</v>
      </c>
      <c r="H628" t="str">
        <f>"2"</f>
        <v>2</v>
      </c>
      <c r="I628" s="2">
        <v>5022400000</v>
      </c>
    </row>
    <row r="629" spans="1:9" x14ac:dyDescent="0.25">
      <c r="A629">
        <v>74</v>
      </c>
      <c r="B629" s="1">
        <v>45289</v>
      </c>
      <c r="C629">
        <v>25</v>
      </c>
      <c r="D629" t="str">
        <f>"3001"</f>
        <v>3001</v>
      </c>
      <c r="E629" t="str">
        <f>"Уставный капитал – простые акции"</f>
        <v>Уставный капитал – простые акции</v>
      </c>
      <c r="F629" t="str">
        <f>""</f>
        <v/>
      </c>
      <c r="G629" t="str">
        <f>""</f>
        <v/>
      </c>
      <c r="H629" t="str">
        <f>""</f>
        <v/>
      </c>
      <c r="I629" s="2">
        <v>332814807748.5</v>
      </c>
    </row>
    <row r="630" spans="1:9" x14ac:dyDescent="0.25">
      <c r="A630">
        <v>325</v>
      </c>
      <c r="B630" s="1">
        <v>45289</v>
      </c>
      <c r="C630">
        <v>25</v>
      </c>
      <c r="D630" t="str">
        <f>"3003"</f>
        <v>3003</v>
      </c>
      <c r="E630" t="str">
        <f>"Выкупленные простые акции"</f>
        <v>Выкупленные простые акции</v>
      </c>
      <c r="F630" t="str">
        <f>""</f>
        <v/>
      </c>
      <c r="G630" t="str">
        <f>""</f>
        <v/>
      </c>
      <c r="H630" t="str">
        <f>""</f>
        <v/>
      </c>
      <c r="I630" s="2">
        <v>-3464687621.8400002</v>
      </c>
    </row>
    <row r="631" spans="1:9" x14ac:dyDescent="0.25">
      <c r="A631">
        <v>324</v>
      </c>
      <c r="B631" s="1">
        <v>45289</v>
      </c>
      <c r="C631">
        <v>25</v>
      </c>
      <c r="D631" t="str">
        <f>"3101"</f>
        <v>3101</v>
      </c>
      <c r="E631" t="str">
        <f>"Дополнительный оплаченный капитал"</f>
        <v>Дополнительный оплаченный капитал</v>
      </c>
      <c r="F631" t="str">
        <f>""</f>
        <v/>
      </c>
      <c r="G631" t="str">
        <f>""</f>
        <v/>
      </c>
      <c r="H631" t="str">
        <f>""</f>
        <v/>
      </c>
      <c r="I631" s="2">
        <v>23650949294.970001</v>
      </c>
    </row>
    <row r="632" spans="1:9" x14ac:dyDescent="0.25">
      <c r="A632">
        <v>165</v>
      </c>
      <c r="B632" s="1">
        <v>45289</v>
      </c>
      <c r="C632">
        <v>25</v>
      </c>
      <c r="D632" t="str">
        <f>"3510"</f>
        <v>3510</v>
      </c>
      <c r="E632" t="str">
        <f>"Резервный капитал"</f>
        <v>Резервный капитал</v>
      </c>
      <c r="F632" t="str">
        <f>""</f>
        <v/>
      </c>
      <c r="G632" t="str">
        <f>""</f>
        <v/>
      </c>
      <c r="H632" t="str">
        <f>""</f>
        <v/>
      </c>
      <c r="I632" s="2">
        <v>71553000000</v>
      </c>
    </row>
    <row r="633" spans="1:9" x14ac:dyDescent="0.25">
      <c r="A633">
        <v>335</v>
      </c>
      <c r="B633" s="1">
        <v>45289</v>
      </c>
      <c r="C633">
        <v>25</v>
      </c>
      <c r="D633" t="str">
        <f>"3561"</f>
        <v>3561</v>
      </c>
      <c r="E63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33" t="str">
        <f>"1"</f>
        <v>1</v>
      </c>
      <c r="G633" t="str">
        <f>""</f>
        <v/>
      </c>
      <c r="H633" t="str">
        <f>"1"</f>
        <v>1</v>
      </c>
      <c r="I633" s="2">
        <v>-5915257494.4899998</v>
      </c>
    </row>
    <row r="634" spans="1:9" x14ac:dyDescent="0.25">
      <c r="A634">
        <v>563</v>
      </c>
      <c r="B634" s="1">
        <v>45289</v>
      </c>
      <c r="C634">
        <v>25</v>
      </c>
      <c r="D634" t="str">
        <f>"3561"</f>
        <v>3561</v>
      </c>
      <c r="E63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34" t="str">
        <f>"1"</f>
        <v>1</v>
      </c>
      <c r="G634" t="str">
        <f>""</f>
        <v/>
      </c>
      <c r="H634" t="str">
        <f>"2"</f>
        <v>2</v>
      </c>
      <c r="I634" s="2">
        <v>-438038472.45999998</v>
      </c>
    </row>
    <row r="635" spans="1:9" x14ac:dyDescent="0.25">
      <c r="A635">
        <v>773</v>
      </c>
      <c r="B635" s="1">
        <v>45289</v>
      </c>
      <c r="C635">
        <v>25</v>
      </c>
      <c r="D635" t="str">
        <f>"3561"</f>
        <v>3561</v>
      </c>
      <c r="E63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35" t="str">
        <f>"2"</f>
        <v>2</v>
      </c>
      <c r="G635" t="str">
        <f>""</f>
        <v/>
      </c>
      <c r="H635" t="str">
        <f>"2"</f>
        <v>2</v>
      </c>
      <c r="I635" s="2">
        <v>-1061106118.84</v>
      </c>
    </row>
    <row r="636" spans="1:9" x14ac:dyDescent="0.25">
      <c r="A636">
        <v>557</v>
      </c>
      <c r="B636" s="1">
        <v>45289</v>
      </c>
      <c r="C636">
        <v>25</v>
      </c>
      <c r="D636" t="str">
        <f>"3562"</f>
        <v>3562</v>
      </c>
      <c r="E63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36" t="str">
        <f>"1"</f>
        <v>1</v>
      </c>
      <c r="G636" t="str">
        <f>""</f>
        <v/>
      </c>
      <c r="H636" t="str">
        <f>"1"</f>
        <v>1</v>
      </c>
      <c r="I636" s="2">
        <v>730305431.17999995</v>
      </c>
    </row>
    <row r="637" spans="1:9" x14ac:dyDescent="0.25">
      <c r="A637">
        <v>556</v>
      </c>
      <c r="B637" s="1">
        <v>45289</v>
      </c>
      <c r="C637">
        <v>25</v>
      </c>
      <c r="D637" t="str">
        <f>"3562"</f>
        <v>3562</v>
      </c>
      <c r="E63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37" t="str">
        <f>"1"</f>
        <v>1</v>
      </c>
      <c r="G637" t="str">
        <f>""</f>
        <v/>
      </c>
      <c r="H637" t="str">
        <f>"2"</f>
        <v>2</v>
      </c>
      <c r="I637" s="2">
        <v>206021064.28</v>
      </c>
    </row>
    <row r="638" spans="1:9" x14ac:dyDescent="0.25">
      <c r="A638">
        <v>764</v>
      </c>
      <c r="B638" s="1">
        <v>45289</v>
      </c>
      <c r="C638">
        <v>25</v>
      </c>
      <c r="D638" t="str">
        <f>"3562"</f>
        <v>3562</v>
      </c>
      <c r="E63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38" t="str">
        <f>"2"</f>
        <v>2</v>
      </c>
      <c r="G638" t="str">
        <f>""</f>
        <v/>
      </c>
      <c r="H638" t="str">
        <f>"2"</f>
        <v>2</v>
      </c>
      <c r="I638" s="2">
        <v>228131083.30000001</v>
      </c>
    </row>
    <row r="639" spans="1:9" x14ac:dyDescent="0.25">
      <c r="A639">
        <v>161</v>
      </c>
      <c r="B639" s="1">
        <v>45289</v>
      </c>
      <c r="C639">
        <v>25</v>
      </c>
      <c r="D639" t="str">
        <f>"3580"</f>
        <v>3580</v>
      </c>
      <c r="E639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639" t="str">
        <f>""</f>
        <v/>
      </c>
      <c r="G639" t="str">
        <f>""</f>
        <v/>
      </c>
      <c r="H639" t="str">
        <f>""</f>
        <v/>
      </c>
      <c r="I639" s="2">
        <v>-121669868753.39999</v>
      </c>
    </row>
    <row r="640" spans="1:9" x14ac:dyDescent="0.25">
      <c r="A640">
        <v>320</v>
      </c>
      <c r="B640" s="1">
        <v>45289</v>
      </c>
      <c r="C640">
        <v>25</v>
      </c>
      <c r="D640" t="str">
        <f>"3599"</f>
        <v>3599</v>
      </c>
      <c r="E640" t="str">
        <f>"Нераспределенная чистая прибыль (непокрытый убыток)"</f>
        <v>Нераспределенная чистая прибыль (непокрытый убыток)</v>
      </c>
      <c r="F640" t="str">
        <f>""</f>
        <v/>
      </c>
      <c r="G640" t="str">
        <f>""</f>
        <v/>
      </c>
      <c r="H640" t="str">
        <f>""</f>
        <v/>
      </c>
      <c r="I640" s="2">
        <v>126745629760.09</v>
      </c>
    </row>
    <row r="641" spans="1:9" x14ac:dyDescent="0.25">
      <c r="A641">
        <v>323</v>
      </c>
      <c r="B641" s="1">
        <v>45289</v>
      </c>
      <c r="C641">
        <v>25</v>
      </c>
      <c r="D641" t="str">
        <f>"4052"</f>
        <v>4052</v>
      </c>
      <c r="E64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641" t="str">
        <f>""</f>
        <v/>
      </c>
      <c r="G641" t="str">
        <f>""</f>
        <v/>
      </c>
      <c r="H641" t="str">
        <f>""</f>
        <v/>
      </c>
      <c r="I641" s="2">
        <v>1022633051.63</v>
      </c>
    </row>
    <row r="642" spans="1:9" x14ac:dyDescent="0.25">
      <c r="A642">
        <v>163</v>
      </c>
      <c r="B642" s="1">
        <v>45289</v>
      </c>
      <c r="C642">
        <v>25</v>
      </c>
      <c r="D642" t="str">
        <f>"4101"</f>
        <v>4101</v>
      </c>
      <c r="E642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642" t="str">
        <f>""</f>
        <v/>
      </c>
      <c r="G642" t="str">
        <f>""</f>
        <v/>
      </c>
      <c r="H642" t="str">
        <f>""</f>
        <v/>
      </c>
      <c r="I642" s="2">
        <v>1981562500.01</v>
      </c>
    </row>
    <row r="643" spans="1:9" x14ac:dyDescent="0.25">
      <c r="A643">
        <v>762</v>
      </c>
      <c r="B643" s="1">
        <v>45289</v>
      </c>
      <c r="C643">
        <v>25</v>
      </c>
      <c r="D643" t="str">
        <f>"4103"</f>
        <v>4103</v>
      </c>
      <c r="E643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643" t="str">
        <f>""</f>
        <v/>
      </c>
      <c r="G643" t="str">
        <f>""</f>
        <v/>
      </c>
      <c r="H643" t="str">
        <f>""</f>
        <v/>
      </c>
      <c r="I643" s="2">
        <v>21034683950.68</v>
      </c>
    </row>
    <row r="644" spans="1:9" x14ac:dyDescent="0.25">
      <c r="A644">
        <v>448</v>
      </c>
      <c r="B644" s="1">
        <v>45289</v>
      </c>
      <c r="C644">
        <v>25</v>
      </c>
      <c r="D644" t="str">
        <f>"4201"</f>
        <v>4201</v>
      </c>
      <c r="E644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644" t="str">
        <f>""</f>
        <v/>
      </c>
      <c r="G644" t="str">
        <f>""</f>
        <v/>
      </c>
      <c r="H644" t="str">
        <f>""</f>
        <v/>
      </c>
      <c r="I644" s="2">
        <v>3828333.6</v>
      </c>
    </row>
    <row r="645" spans="1:9" x14ac:dyDescent="0.25">
      <c r="A645">
        <v>763</v>
      </c>
      <c r="B645" s="1">
        <v>45289</v>
      </c>
      <c r="C645">
        <v>25</v>
      </c>
      <c r="D645" t="str">
        <f>"4251"</f>
        <v>4251</v>
      </c>
      <c r="E645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645" t="str">
        <f>""</f>
        <v/>
      </c>
      <c r="G645" t="str">
        <f>""</f>
        <v/>
      </c>
      <c r="H645" t="str">
        <f>""</f>
        <v/>
      </c>
      <c r="I645" s="2">
        <v>18056766.190000001</v>
      </c>
    </row>
    <row r="646" spans="1:9" x14ac:dyDescent="0.25">
      <c r="A646">
        <v>3</v>
      </c>
      <c r="B646" s="1">
        <v>45289</v>
      </c>
      <c r="C646">
        <v>25</v>
      </c>
      <c r="D646" t="str">
        <f>"4253"</f>
        <v>4253</v>
      </c>
      <c r="E646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646" t="str">
        <f>""</f>
        <v/>
      </c>
      <c r="G646" t="str">
        <f>""</f>
        <v/>
      </c>
      <c r="H646" t="str">
        <f>""</f>
        <v/>
      </c>
      <c r="I646" s="2">
        <v>26938361.07</v>
      </c>
    </row>
    <row r="647" spans="1:9" x14ac:dyDescent="0.25">
      <c r="A647">
        <v>330</v>
      </c>
      <c r="B647" s="1">
        <v>45289</v>
      </c>
      <c r="C647">
        <v>25</v>
      </c>
      <c r="D647" t="str">
        <f>"4256"</f>
        <v>4256</v>
      </c>
      <c r="E647" t="str">
        <f>"Доходы, связанные с получением вознаграждения по условным вкладам, размещенным в других банках"</f>
        <v>Доходы, связанные с получением вознаграждения по условным вкладам, размещенным в других банках</v>
      </c>
      <c r="F647" t="str">
        <f>""</f>
        <v/>
      </c>
      <c r="G647" t="str">
        <f>""</f>
        <v/>
      </c>
      <c r="H647" t="str">
        <f>""</f>
        <v/>
      </c>
      <c r="I647" s="2">
        <v>394530.62</v>
      </c>
    </row>
    <row r="648" spans="1:9" x14ac:dyDescent="0.25">
      <c r="A648">
        <v>558</v>
      </c>
      <c r="B648" s="1">
        <v>45289</v>
      </c>
      <c r="C648">
        <v>25</v>
      </c>
      <c r="D648" t="str">
        <f>"4265"</f>
        <v>4265</v>
      </c>
      <c r="E648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648" t="str">
        <f>""</f>
        <v/>
      </c>
      <c r="G648" t="str">
        <f>""</f>
        <v/>
      </c>
      <c r="H648" t="str">
        <f>""</f>
        <v/>
      </c>
      <c r="I648" s="2">
        <v>716335194.72000003</v>
      </c>
    </row>
    <row r="649" spans="1:9" x14ac:dyDescent="0.25">
      <c r="A649">
        <v>765</v>
      </c>
      <c r="B649" s="1">
        <v>45289</v>
      </c>
      <c r="C649">
        <v>25</v>
      </c>
      <c r="D649" t="str">
        <f>"4401"</f>
        <v>4401</v>
      </c>
      <c r="E649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649" t="str">
        <f>""</f>
        <v/>
      </c>
      <c r="G649" t="str">
        <f>""</f>
        <v/>
      </c>
      <c r="H649" t="str">
        <f>""</f>
        <v/>
      </c>
      <c r="I649" s="2">
        <v>1551117817.04</v>
      </c>
    </row>
    <row r="650" spans="1:9" x14ac:dyDescent="0.25">
      <c r="A650">
        <v>166</v>
      </c>
      <c r="B650" s="1">
        <v>45289</v>
      </c>
      <c r="C650">
        <v>25</v>
      </c>
      <c r="D650" t="str">
        <f>"4403"</f>
        <v>4403</v>
      </c>
      <c r="E650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650" t="str">
        <f>""</f>
        <v/>
      </c>
      <c r="G650" t="str">
        <f>""</f>
        <v/>
      </c>
      <c r="H650" t="str">
        <f>""</f>
        <v/>
      </c>
      <c r="I650" s="2">
        <v>687973793.23000002</v>
      </c>
    </row>
    <row r="651" spans="1:9" x14ac:dyDescent="0.25">
      <c r="A651">
        <v>774</v>
      </c>
      <c r="B651" s="1">
        <v>45289</v>
      </c>
      <c r="C651">
        <v>25</v>
      </c>
      <c r="D651" t="str">
        <f>"4411"</f>
        <v>4411</v>
      </c>
      <c r="E65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651" t="str">
        <f>""</f>
        <v/>
      </c>
      <c r="G651" t="str">
        <f>""</f>
        <v/>
      </c>
      <c r="H651" t="str">
        <f>""</f>
        <v/>
      </c>
      <c r="I651" s="2">
        <v>45838795207.209999</v>
      </c>
    </row>
    <row r="652" spans="1:9" x14ac:dyDescent="0.25">
      <c r="A652">
        <v>336</v>
      </c>
      <c r="B652" s="1">
        <v>45289</v>
      </c>
      <c r="C652">
        <v>25</v>
      </c>
      <c r="D652" t="str">
        <f>"4417"</f>
        <v>4417</v>
      </c>
      <c r="E652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652" t="str">
        <f>""</f>
        <v/>
      </c>
      <c r="G652" t="str">
        <f>""</f>
        <v/>
      </c>
      <c r="H652" t="str">
        <f>""</f>
        <v/>
      </c>
      <c r="I652" s="2">
        <v>180202364698.98001</v>
      </c>
    </row>
    <row r="653" spans="1:9" x14ac:dyDescent="0.25">
      <c r="A653">
        <v>769</v>
      </c>
      <c r="B653" s="1">
        <v>45289</v>
      </c>
      <c r="C653">
        <v>25</v>
      </c>
      <c r="D653" t="str">
        <f>"4424"</f>
        <v>4424</v>
      </c>
      <c r="E653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653" t="str">
        <f>""</f>
        <v/>
      </c>
      <c r="G653" t="str">
        <f>""</f>
        <v/>
      </c>
      <c r="H653" t="str">
        <f>""</f>
        <v/>
      </c>
      <c r="I653" s="2">
        <v>2142575012.3900001</v>
      </c>
    </row>
    <row r="654" spans="1:9" x14ac:dyDescent="0.25">
      <c r="A654">
        <v>173</v>
      </c>
      <c r="B654" s="1">
        <v>45289</v>
      </c>
      <c r="C654">
        <v>25</v>
      </c>
      <c r="D654" t="str">
        <f>"4429"</f>
        <v>4429</v>
      </c>
      <c r="E654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654" t="str">
        <f>""</f>
        <v/>
      </c>
      <c r="G654" t="str">
        <f>""</f>
        <v/>
      </c>
      <c r="H654" t="str">
        <f>""</f>
        <v/>
      </c>
      <c r="I654" s="2">
        <v>272386.90000000002</v>
      </c>
    </row>
    <row r="655" spans="1:9" x14ac:dyDescent="0.25">
      <c r="A655">
        <v>560</v>
      </c>
      <c r="B655" s="1">
        <v>45289</v>
      </c>
      <c r="C655">
        <v>25</v>
      </c>
      <c r="D655" t="str">
        <f>"4430"</f>
        <v>4430</v>
      </c>
      <c r="E655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F655" t="str">
        <f>""</f>
        <v/>
      </c>
      <c r="G655" t="str">
        <f>""</f>
        <v/>
      </c>
      <c r="H655" t="str">
        <f>""</f>
        <v/>
      </c>
      <c r="I655" s="2">
        <v>560293.36</v>
      </c>
    </row>
    <row r="656" spans="1:9" x14ac:dyDescent="0.25">
      <c r="A656">
        <v>780</v>
      </c>
      <c r="B656" s="1">
        <v>45289</v>
      </c>
      <c r="C656">
        <v>25</v>
      </c>
      <c r="D656" t="str">
        <f>"4434"</f>
        <v>4434</v>
      </c>
      <c r="E656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656" t="str">
        <f>""</f>
        <v/>
      </c>
      <c r="G656" t="str">
        <f>""</f>
        <v/>
      </c>
      <c r="H656" t="str">
        <f>""</f>
        <v/>
      </c>
      <c r="I656" s="2">
        <v>13601580904.58</v>
      </c>
    </row>
    <row r="657" spans="1:9" x14ac:dyDescent="0.25">
      <c r="A657">
        <v>583</v>
      </c>
      <c r="B657" s="1">
        <v>45289</v>
      </c>
      <c r="C657">
        <v>25</v>
      </c>
      <c r="D657" t="str">
        <f>"4436"</f>
        <v>4436</v>
      </c>
      <c r="E657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657" t="str">
        <f>""</f>
        <v/>
      </c>
      <c r="G657" t="str">
        <f>""</f>
        <v/>
      </c>
      <c r="H657" t="str">
        <f>""</f>
        <v/>
      </c>
      <c r="I657" s="2">
        <v>907569342.08000004</v>
      </c>
    </row>
    <row r="658" spans="1:9" x14ac:dyDescent="0.25">
      <c r="A658">
        <v>167</v>
      </c>
      <c r="B658" s="1">
        <v>45289</v>
      </c>
      <c r="C658">
        <v>25</v>
      </c>
      <c r="D658" t="str">
        <f>"4452"</f>
        <v>4452</v>
      </c>
      <c r="E658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658" t="str">
        <f>""</f>
        <v/>
      </c>
      <c r="G658" t="str">
        <f>""</f>
        <v/>
      </c>
      <c r="H658" t="str">
        <f>""</f>
        <v/>
      </c>
      <c r="I658" s="2">
        <v>54430866632.059998</v>
      </c>
    </row>
    <row r="659" spans="1:9" x14ac:dyDescent="0.25">
      <c r="A659">
        <v>559</v>
      </c>
      <c r="B659" s="1">
        <v>45289</v>
      </c>
      <c r="C659">
        <v>25</v>
      </c>
      <c r="D659" t="str">
        <f>"4453"</f>
        <v>4453</v>
      </c>
      <c r="E659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659" t="str">
        <f>""</f>
        <v/>
      </c>
      <c r="G659" t="str">
        <f>""</f>
        <v/>
      </c>
      <c r="H659" t="str">
        <f>""</f>
        <v/>
      </c>
      <c r="I659" s="2">
        <v>18372399087.18</v>
      </c>
    </row>
    <row r="660" spans="1:9" x14ac:dyDescent="0.25">
      <c r="A660">
        <v>777</v>
      </c>
      <c r="B660" s="1">
        <v>45289</v>
      </c>
      <c r="C660">
        <v>25</v>
      </c>
      <c r="D660" t="str">
        <f>"4465"</f>
        <v>4465</v>
      </c>
      <c r="E660" t="str">
        <f>"Доходы по операциям «РЕПО» с ценными бумагами"</f>
        <v>Доходы по операциям «РЕПО» с ценными бумагами</v>
      </c>
      <c r="F660" t="str">
        <f>""</f>
        <v/>
      </c>
      <c r="G660" t="str">
        <f>""</f>
        <v/>
      </c>
      <c r="H660" t="str">
        <f>""</f>
        <v/>
      </c>
      <c r="I660" s="2">
        <v>9088102736.7199993</v>
      </c>
    </row>
    <row r="661" spans="1:9" x14ac:dyDescent="0.25">
      <c r="A661">
        <v>334</v>
      </c>
      <c r="B661" s="1">
        <v>45289</v>
      </c>
      <c r="C661">
        <v>25</v>
      </c>
      <c r="D661" t="str">
        <f>"4471"</f>
        <v>4471</v>
      </c>
      <c r="E661" t="str">
        <f>"Дивиденды, полученные по акциям дочерних организаций"</f>
        <v>Дивиденды, полученные по акциям дочерних организаций</v>
      </c>
      <c r="F661" t="str">
        <f>""</f>
        <v/>
      </c>
      <c r="G661" t="str">
        <f>""</f>
        <v/>
      </c>
      <c r="H661" t="str">
        <f>""</f>
        <v/>
      </c>
      <c r="I661" s="2">
        <v>1550000000</v>
      </c>
    </row>
    <row r="662" spans="1:9" x14ac:dyDescent="0.25">
      <c r="A662">
        <v>338</v>
      </c>
      <c r="B662" s="1">
        <v>45289</v>
      </c>
      <c r="C662">
        <v>25</v>
      </c>
      <c r="D662" t="str">
        <f>"4476"</f>
        <v>4476</v>
      </c>
      <c r="E662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662" t="str">
        <f>""</f>
        <v/>
      </c>
      <c r="G662" t="str">
        <f>""</f>
        <v/>
      </c>
      <c r="H662" t="str">
        <f>""</f>
        <v/>
      </c>
      <c r="I662" s="2">
        <v>301808392</v>
      </c>
    </row>
    <row r="663" spans="1:9" x14ac:dyDescent="0.25">
      <c r="A663">
        <v>450</v>
      </c>
      <c r="B663" s="1">
        <v>45289</v>
      </c>
      <c r="C663">
        <v>25</v>
      </c>
      <c r="D663" t="str">
        <f>"4481"</f>
        <v>4481</v>
      </c>
      <c r="E663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663" t="str">
        <f>""</f>
        <v/>
      </c>
      <c r="G663" t="str">
        <f>""</f>
        <v/>
      </c>
      <c r="H663" t="str">
        <f>""</f>
        <v/>
      </c>
      <c r="I663" s="2">
        <v>19305704514.09</v>
      </c>
    </row>
    <row r="664" spans="1:9" x14ac:dyDescent="0.25">
      <c r="A664">
        <v>174</v>
      </c>
      <c r="B664" s="1">
        <v>45289</v>
      </c>
      <c r="C664">
        <v>25</v>
      </c>
      <c r="D664" t="str">
        <f>"4482"</f>
        <v>4482</v>
      </c>
      <c r="E664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664" t="str">
        <f>""</f>
        <v/>
      </c>
      <c r="G664" t="str">
        <f>""</f>
        <v/>
      </c>
      <c r="H664" t="str">
        <f>""</f>
        <v/>
      </c>
      <c r="I664" s="2">
        <v>33021889.539999999</v>
      </c>
    </row>
    <row r="665" spans="1:9" x14ac:dyDescent="0.25">
      <c r="A665">
        <v>4</v>
      </c>
      <c r="B665" s="1">
        <v>45289</v>
      </c>
      <c r="C665">
        <v>25</v>
      </c>
      <c r="D665" t="str">
        <f>"4510"</f>
        <v>4510</v>
      </c>
      <c r="E665" t="str">
        <f>"Доходы по купле-продаже ценных бумаг"</f>
        <v>Доходы по купле-продаже ценных бумаг</v>
      </c>
      <c r="F665" t="str">
        <f>""</f>
        <v/>
      </c>
      <c r="G665" t="str">
        <f>""</f>
        <v/>
      </c>
      <c r="H665" t="str">
        <f>""</f>
        <v/>
      </c>
      <c r="I665" s="2">
        <v>125368744.26000001</v>
      </c>
    </row>
    <row r="666" spans="1:9" x14ac:dyDescent="0.25">
      <c r="A666">
        <v>179</v>
      </c>
      <c r="B666" s="1">
        <v>45289</v>
      </c>
      <c r="C666">
        <v>25</v>
      </c>
      <c r="D666" t="str">
        <f>"4530"</f>
        <v>4530</v>
      </c>
      <c r="E666" t="str">
        <f>"Доходы по купле-продаже иностранной валюты"</f>
        <v>Доходы по купле-продаже иностранной валюты</v>
      </c>
      <c r="F666" t="str">
        <f>""</f>
        <v/>
      </c>
      <c r="G666" t="str">
        <f>""</f>
        <v/>
      </c>
      <c r="H666" t="str">
        <f>""</f>
        <v/>
      </c>
      <c r="I666" s="2">
        <v>63572583113.980003</v>
      </c>
    </row>
    <row r="667" spans="1:9" x14ac:dyDescent="0.25">
      <c r="A667">
        <v>343</v>
      </c>
      <c r="B667" s="1">
        <v>45289</v>
      </c>
      <c r="C667">
        <v>25</v>
      </c>
      <c r="D667" t="str">
        <f>"4570"</f>
        <v>4570</v>
      </c>
      <c r="E667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667" t="str">
        <f>""</f>
        <v/>
      </c>
      <c r="G667" t="str">
        <f>""</f>
        <v/>
      </c>
      <c r="H667" t="str">
        <f>""</f>
        <v/>
      </c>
      <c r="I667" s="2">
        <v>216744958.34999999</v>
      </c>
    </row>
    <row r="668" spans="1:9" x14ac:dyDescent="0.25">
      <c r="A668">
        <v>337</v>
      </c>
      <c r="B668" s="1">
        <v>45289</v>
      </c>
      <c r="C668">
        <v>25</v>
      </c>
      <c r="D668" t="str">
        <f>"4593"</f>
        <v>4593</v>
      </c>
      <c r="E668" t="str">
        <f>"Доходы от переоценки операций своп"</f>
        <v>Доходы от переоценки операций своп</v>
      </c>
      <c r="F668" t="str">
        <f>""</f>
        <v/>
      </c>
      <c r="G668" t="str">
        <f>""</f>
        <v/>
      </c>
      <c r="H668" t="str">
        <f>""</f>
        <v/>
      </c>
      <c r="I668" s="2">
        <v>4454016.46</v>
      </c>
    </row>
    <row r="669" spans="1:9" x14ac:dyDescent="0.25">
      <c r="A669">
        <v>339</v>
      </c>
      <c r="B669" s="1">
        <v>45289</v>
      </c>
      <c r="C669">
        <v>25</v>
      </c>
      <c r="D669" t="str">
        <f>"4601"</f>
        <v>4601</v>
      </c>
      <c r="E669" t="str">
        <f>"Комиссионные доходы за услуги по переводным операциям"</f>
        <v>Комиссионные доходы за услуги по переводным операциям</v>
      </c>
      <c r="F669" t="str">
        <f>""</f>
        <v/>
      </c>
      <c r="G669" t="str">
        <f>""</f>
        <v/>
      </c>
      <c r="H669" t="str">
        <f>""</f>
        <v/>
      </c>
      <c r="I669" s="2">
        <v>6968451987.1099997</v>
      </c>
    </row>
    <row r="670" spans="1:9" x14ac:dyDescent="0.25">
      <c r="A670">
        <v>83</v>
      </c>
      <c r="B670" s="1">
        <v>45289</v>
      </c>
      <c r="C670">
        <v>25</v>
      </c>
      <c r="D670" t="str">
        <f>"4602"</f>
        <v>4602</v>
      </c>
      <c r="E670" t="str">
        <f>"Комиссионные доходы за агентские услуги"</f>
        <v>Комиссионные доходы за агентские услуги</v>
      </c>
      <c r="F670" t="str">
        <f>""</f>
        <v/>
      </c>
      <c r="G670" t="str">
        <f>""</f>
        <v/>
      </c>
      <c r="H670" t="str">
        <f>""</f>
        <v/>
      </c>
      <c r="I670" s="2">
        <v>2443574</v>
      </c>
    </row>
    <row r="671" spans="1:9" x14ac:dyDescent="0.25">
      <c r="A671">
        <v>772</v>
      </c>
      <c r="B671" s="1">
        <v>45289</v>
      </c>
      <c r="C671">
        <v>25</v>
      </c>
      <c r="D671" t="str">
        <f>"4604"</f>
        <v>4604</v>
      </c>
      <c r="E671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671" t="str">
        <f>""</f>
        <v/>
      </c>
      <c r="G671" t="str">
        <f>""</f>
        <v/>
      </c>
      <c r="H671" t="str">
        <f>""</f>
        <v/>
      </c>
      <c r="I671" s="2">
        <v>498914522.5</v>
      </c>
    </row>
    <row r="672" spans="1:9" x14ac:dyDescent="0.25">
      <c r="A672">
        <v>779</v>
      </c>
      <c r="B672" s="1">
        <v>45289</v>
      </c>
      <c r="C672">
        <v>25</v>
      </c>
      <c r="D672" t="str">
        <f>"4605"</f>
        <v>4605</v>
      </c>
      <c r="E672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672" t="str">
        <f>""</f>
        <v/>
      </c>
      <c r="G672" t="str">
        <f>""</f>
        <v/>
      </c>
      <c r="H672" t="str">
        <f>""</f>
        <v/>
      </c>
      <c r="I672" s="2">
        <v>101352483.01000001</v>
      </c>
    </row>
    <row r="673" spans="1:9" x14ac:dyDescent="0.25">
      <c r="A673">
        <v>81</v>
      </c>
      <c r="B673" s="1">
        <v>45289</v>
      </c>
      <c r="C673">
        <v>25</v>
      </c>
      <c r="D673" t="str">
        <f>"4606"</f>
        <v>4606</v>
      </c>
      <c r="E673" t="str">
        <f>"Комиссионные доходы за услуги по операциям с гарантиями"</f>
        <v>Комиссионные доходы за услуги по операциям с гарантиями</v>
      </c>
      <c r="F673" t="str">
        <f>""</f>
        <v/>
      </c>
      <c r="G673" t="str">
        <f>""</f>
        <v/>
      </c>
      <c r="H673" t="str">
        <f>""</f>
        <v/>
      </c>
      <c r="I673" s="2">
        <v>3380401682.3499999</v>
      </c>
    </row>
    <row r="674" spans="1:9" x14ac:dyDescent="0.25">
      <c r="A674">
        <v>775</v>
      </c>
      <c r="B674" s="1">
        <v>45289</v>
      </c>
      <c r="C674">
        <v>25</v>
      </c>
      <c r="D674" t="str">
        <f>"4607"</f>
        <v>4607</v>
      </c>
      <c r="E674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674" t="str">
        <f>""</f>
        <v/>
      </c>
      <c r="G674" t="str">
        <f>""</f>
        <v/>
      </c>
      <c r="H674" t="str">
        <f>""</f>
        <v/>
      </c>
      <c r="I674" s="2">
        <v>2355414226.02</v>
      </c>
    </row>
    <row r="675" spans="1:9" x14ac:dyDescent="0.25">
      <c r="A675">
        <v>776</v>
      </c>
      <c r="B675" s="1">
        <v>45289</v>
      </c>
      <c r="C675">
        <v>25</v>
      </c>
      <c r="D675" t="str">
        <f>"4608"</f>
        <v>4608</v>
      </c>
      <c r="E675" t="str">
        <f>"Прочие комиссионные доходы"</f>
        <v>Прочие комиссионные доходы</v>
      </c>
      <c r="F675" t="str">
        <f>""</f>
        <v/>
      </c>
      <c r="G675" t="str">
        <f>""</f>
        <v/>
      </c>
      <c r="H675" t="str">
        <f>""</f>
        <v/>
      </c>
      <c r="I675" s="2">
        <v>1178595091.9200001</v>
      </c>
    </row>
    <row r="676" spans="1:9" x14ac:dyDescent="0.25">
      <c r="A676">
        <v>564</v>
      </c>
      <c r="B676" s="1">
        <v>45289</v>
      </c>
      <c r="C676">
        <v>25</v>
      </c>
      <c r="D676" t="str">
        <f>"4611"</f>
        <v>4611</v>
      </c>
      <c r="E676" t="str">
        <f>"Комиссионные доходы за услуги по кассовым операциям"</f>
        <v>Комиссионные доходы за услуги по кассовым операциям</v>
      </c>
      <c r="F676" t="str">
        <f>""</f>
        <v/>
      </c>
      <c r="G676" t="str">
        <f>""</f>
        <v/>
      </c>
      <c r="H676" t="str">
        <f>""</f>
        <v/>
      </c>
      <c r="I676" s="2">
        <v>5485422813.6499996</v>
      </c>
    </row>
    <row r="677" spans="1:9" x14ac:dyDescent="0.25">
      <c r="A677">
        <v>778</v>
      </c>
      <c r="B677" s="1">
        <v>45289</v>
      </c>
      <c r="C677">
        <v>25</v>
      </c>
      <c r="D677" t="str">
        <f>"4612"</f>
        <v>4612</v>
      </c>
      <c r="E677" t="str">
        <f>"Комиссионные доходы по документарным расчетам"</f>
        <v>Комиссионные доходы по документарным расчетам</v>
      </c>
      <c r="F677" t="str">
        <f>""</f>
        <v/>
      </c>
      <c r="G677" t="str">
        <f>""</f>
        <v/>
      </c>
      <c r="H677" t="str">
        <f>""</f>
        <v/>
      </c>
      <c r="I677" s="2">
        <v>69496401.739999995</v>
      </c>
    </row>
    <row r="678" spans="1:9" x14ac:dyDescent="0.25">
      <c r="A678">
        <v>452</v>
      </c>
      <c r="B678" s="1">
        <v>45289</v>
      </c>
      <c r="C678">
        <v>25</v>
      </c>
      <c r="D678" t="str">
        <f>"4617"</f>
        <v>4617</v>
      </c>
      <c r="E678" t="str">
        <f>"Комиссионные доходы за услуги по сейфовым операциям"</f>
        <v>Комиссионные доходы за услуги по сейфовым операциям</v>
      </c>
      <c r="F678" t="str">
        <f>""</f>
        <v/>
      </c>
      <c r="G678" t="str">
        <f>""</f>
        <v/>
      </c>
      <c r="H678" t="str">
        <f>""</f>
        <v/>
      </c>
      <c r="I678" s="2">
        <v>65215154.890000001</v>
      </c>
    </row>
    <row r="679" spans="1:9" x14ac:dyDescent="0.25">
      <c r="A679">
        <v>567</v>
      </c>
      <c r="B679" s="1">
        <v>45289</v>
      </c>
      <c r="C679">
        <v>25</v>
      </c>
      <c r="D679" t="str">
        <f>"4619"</f>
        <v>4619</v>
      </c>
      <c r="E679" t="str">
        <f>"Комиссионные доходы за обслуживание платежных карточек"</f>
        <v>Комиссионные доходы за обслуживание платежных карточек</v>
      </c>
      <c r="F679" t="str">
        <f>""</f>
        <v/>
      </c>
      <c r="G679" t="str">
        <f>""</f>
        <v/>
      </c>
      <c r="H679" t="str">
        <f>""</f>
        <v/>
      </c>
      <c r="I679" s="2">
        <v>17300366280.060001</v>
      </c>
    </row>
    <row r="680" spans="1:9" x14ac:dyDescent="0.25">
      <c r="A680">
        <v>340</v>
      </c>
      <c r="B680" s="1">
        <v>45289</v>
      </c>
      <c r="C680">
        <v>25</v>
      </c>
      <c r="D680" t="str">
        <f>"4703"</f>
        <v>4703</v>
      </c>
      <c r="E680" t="str">
        <f>"Доход от переоценки иностранной валюты"</f>
        <v>Доход от переоценки иностранной валюты</v>
      </c>
      <c r="F680" t="str">
        <f>""</f>
        <v/>
      </c>
      <c r="G680" t="str">
        <f>""</f>
        <v/>
      </c>
      <c r="H680" t="str">
        <f>""</f>
        <v/>
      </c>
      <c r="I680" s="2">
        <v>6953102657615.1602</v>
      </c>
    </row>
    <row r="681" spans="1:9" x14ac:dyDescent="0.25">
      <c r="A681">
        <v>342</v>
      </c>
      <c r="B681" s="1">
        <v>45289</v>
      </c>
      <c r="C681">
        <v>25</v>
      </c>
      <c r="D681" t="str">
        <f>"4709"</f>
        <v>4709</v>
      </c>
      <c r="E681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681" t="str">
        <f>""</f>
        <v/>
      </c>
      <c r="G681" t="str">
        <f>""</f>
        <v/>
      </c>
      <c r="H681" t="str">
        <f>""</f>
        <v/>
      </c>
      <c r="I681" s="2">
        <v>25036711.890000001</v>
      </c>
    </row>
    <row r="682" spans="1:9" x14ac:dyDescent="0.25">
      <c r="A682">
        <v>177</v>
      </c>
      <c r="B682" s="1">
        <v>45289</v>
      </c>
      <c r="C682">
        <v>25</v>
      </c>
      <c r="D682" t="str">
        <f>"4733"</f>
        <v>4733</v>
      </c>
      <c r="E682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682" t="str">
        <f>""</f>
        <v/>
      </c>
      <c r="G682" t="str">
        <f>""</f>
        <v/>
      </c>
      <c r="H682" t="str">
        <f>""</f>
        <v/>
      </c>
      <c r="I682" s="2">
        <v>1013204469.26</v>
      </c>
    </row>
    <row r="683" spans="1:9" x14ac:dyDescent="0.25">
      <c r="A683">
        <v>82</v>
      </c>
      <c r="B683" s="1">
        <v>45289</v>
      </c>
      <c r="C683">
        <v>25</v>
      </c>
      <c r="D683" t="str">
        <f>"4734"</f>
        <v>4734</v>
      </c>
      <c r="E683" t="str">
        <f>"Доходы от прочей переоценки"</f>
        <v>Доходы от прочей переоценки</v>
      </c>
      <c r="F683" t="str">
        <f>""</f>
        <v/>
      </c>
      <c r="G683" t="str">
        <f>""</f>
        <v/>
      </c>
      <c r="H683" t="str">
        <f>""</f>
        <v/>
      </c>
      <c r="I683" s="2">
        <v>42648148030.610001</v>
      </c>
    </row>
    <row r="684" spans="1:9" x14ac:dyDescent="0.25">
      <c r="A684">
        <v>180</v>
      </c>
      <c r="B684" s="1">
        <v>45289</v>
      </c>
      <c r="C684">
        <v>25</v>
      </c>
      <c r="D684" t="str">
        <f>"4852"</f>
        <v>4852</v>
      </c>
      <c r="E684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84" t="str">
        <f>""</f>
        <v/>
      </c>
      <c r="G684" t="str">
        <f>""</f>
        <v/>
      </c>
      <c r="H684" t="str">
        <f>""</f>
        <v/>
      </c>
      <c r="I684" s="2">
        <v>228185814.56999999</v>
      </c>
    </row>
    <row r="685" spans="1:9" x14ac:dyDescent="0.25">
      <c r="A685">
        <v>175</v>
      </c>
      <c r="B685" s="1">
        <v>45289</v>
      </c>
      <c r="C685">
        <v>25</v>
      </c>
      <c r="D685" t="str">
        <f>"4853"</f>
        <v>4853</v>
      </c>
      <c r="E685" t="str">
        <f>"Доходы от реализации запасов"</f>
        <v>Доходы от реализации запасов</v>
      </c>
      <c r="F685" t="str">
        <f>""</f>
        <v/>
      </c>
      <c r="G685" t="str">
        <f>""</f>
        <v/>
      </c>
      <c r="H685" t="str">
        <f>""</f>
        <v/>
      </c>
      <c r="I685" s="2">
        <v>955999669.76999998</v>
      </c>
    </row>
    <row r="686" spans="1:9" x14ac:dyDescent="0.25">
      <c r="A686">
        <v>345</v>
      </c>
      <c r="B686" s="1">
        <v>45289</v>
      </c>
      <c r="C686">
        <v>25</v>
      </c>
      <c r="D686" t="str">
        <f>"4892"</f>
        <v>4892</v>
      </c>
      <c r="E686" t="str">
        <f>"Доходы по операциям форвард"</f>
        <v>Доходы по операциям форвард</v>
      </c>
      <c r="F686" t="str">
        <f>""</f>
        <v/>
      </c>
      <c r="G686" t="str">
        <f>""</f>
        <v/>
      </c>
      <c r="H686" t="str">
        <f>""</f>
        <v/>
      </c>
      <c r="I686" s="2">
        <v>496260436.75999999</v>
      </c>
    </row>
    <row r="687" spans="1:9" x14ac:dyDescent="0.25">
      <c r="A687">
        <v>347</v>
      </c>
      <c r="B687" s="1">
        <v>45289</v>
      </c>
      <c r="C687">
        <v>25</v>
      </c>
      <c r="D687" t="str">
        <f>"4895"</f>
        <v>4895</v>
      </c>
      <c r="E687" t="str">
        <f>"Доходы по операциям своп"</f>
        <v>Доходы по операциям своп</v>
      </c>
      <c r="F687" t="str">
        <f>""</f>
        <v/>
      </c>
      <c r="G687" t="str">
        <f>""</f>
        <v/>
      </c>
      <c r="H687" t="str">
        <f>""</f>
        <v/>
      </c>
      <c r="I687" s="2">
        <v>24134971787.950001</v>
      </c>
    </row>
    <row r="688" spans="1:9" x14ac:dyDescent="0.25">
      <c r="A688">
        <v>566</v>
      </c>
      <c r="B688" s="1">
        <v>45289</v>
      </c>
      <c r="C688">
        <v>25</v>
      </c>
      <c r="D688" t="str">
        <f>"4900"</f>
        <v>4900</v>
      </c>
      <c r="E688" t="str">
        <f>"Неустойка (штраф, пеня)"</f>
        <v>Неустойка (штраф, пеня)</v>
      </c>
      <c r="F688" t="str">
        <f>""</f>
        <v/>
      </c>
      <c r="G688" t="str">
        <f>""</f>
        <v/>
      </c>
      <c r="H688" t="str">
        <f>""</f>
        <v/>
      </c>
      <c r="I688" s="2">
        <v>1697733039.1199999</v>
      </c>
    </row>
    <row r="689" spans="1:9" x14ac:dyDescent="0.25">
      <c r="A689">
        <v>785</v>
      </c>
      <c r="B689" s="1">
        <v>45289</v>
      </c>
      <c r="C689">
        <v>25</v>
      </c>
      <c r="D689" t="str">
        <f>"4921"</f>
        <v>4921</v>
      </c>
      <c r="E689" t="str">
        <f>"Прочие доходы от банковской деятельности"</f>
        <v>Прочие доходы от банковской деятельности</v>
      </c>
      <c r="F689" t="str">
        <f>""</f>
        <v/>
      </c>
      <c r="G689" t="str">
        <f>""</f>
        <v/>
      </c>
      <c r="H689" t="str">
        <f>""</f>
        <v/>
      </c>
      <c r="I689" s="2">
        <v>45684615958.970001</v>
      </c>
    </row>
    <row r="690" spans="1:9" x14ac:dyDescent="0.25">
      <c r="A690">
        <v>784</v>
      </c>
      <c r="B690" s="1">
        <v>45289</v>
      </c>
      <c r="C690">
        <v>25</v>
      </c>
      <c r="D690" t="str">
        <f>"4922"</f>
        <v>4922</v>
      </c>
      <c r="E690" t="str">
        <f>"Прочие доходы от неосновной деятельности"</f>
        <v>Прочие доходы от неосновной деятельности</v>
      </c>
      <c r="F690" t="str">
        <f>""</f>
        <v/>
      </c>
      <c r="G690" t="str">
        <f>""</f>
        <v/>
      </c>
      <c r="H690" t="str">
        <f>""</f>
        <v/>
      </c>
      <c r="I690" s="2">
        <v>2862598567.3299999</v>
      </c>
    </row>
    <row r="691" spans="1:9" x14ac:dyDescent="0.25">
      <c r="A691">
        <v>781</v>
      </c>
      <c r="B691" s="1">
        <v>45289</v>
      </c>
      <c r="C691">
        <v>25</v>
      </c>
      <c r="D691" t="str">
        <f>"4951"</f>
        <v>4951</v>
      </c>
      <c r="E69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91" t="str">
        <f>""</f>
        <v/>
      </c>
      <c r="G691" t="str">
        <f>""</f>
        <v/>
      </c>
      <c r="H691" t="str">
        <f>""</f>
        <v/>
      </c>
      <c r="I691" s="2">
        <v>297399960.69</v>
      </c>
    </row>
    <row r="692" spans="1:9" x14ac:dyDescent="0.25">
      <c r="A692">
        <v>178</v>
      </c>
      <c r="B692" s="1">
        <v>45289</v>
      </c>
      <c r="C692">
        <v>25</v>
      </c>
      <c r="D692" t="str">
        <f>"4953"</f>
        <v>4953</v>
      </c>
      <c r="E692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92" t="str">
        <f>""</f>
        <v/>
      </c>
      <c r="G692" t="str">
        <f>""</f>
        <v/>
      </c>
      <c r="H692" t="str">
        <f>""</f>
        <v/>
      </c>
      <c r="I692" s="2">
        <v>669874966.75999999</v>
      </c>
    </row>
    <row r="693" spans="1:9" x14ac:dyDescent="0.25">
      <c r="A693">
        <v>346</v>
      </c>
      <c r="B693" s="1">
        <v>45289</v>
      </c>
      <c r="C693">
        <v>25</v>
      </c>
      <c r="D693" t="str">
        <f>"4954"</f>
        <v>4954</v>
      </c>
      <c r="E693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93" t="str">
        <f>""</f>
        <v/>
      </c>
      <c r="G693" t="str">
        <f>""</f>
        <v/>
      </c>
      <c r="H693" t="str">
        <f>""</f>
        <v/>
      </c>
      <c r="I693" s="2">
        <v>823096272.44000006</v>
      </c>
    </row>
    <row r="694" spans="1:9" x14ac:dyDescent="0.25">
      <c r="A694">
        <v>565</v>
      </c>
      <c r="B694" s="1">
        <v>45289</v>
      </c>
      <c r="C694">
        <v>25</v>
      </c>
      <c r="D694" t="str">
        <f>"4955"</f>
        <v>4955</v>
      </c>
      <c r="E694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94" t="str">
        <f>""</f>
        <v/>
      </c>
      <c r="G694" t="str">
        <f>""</f>
        <v/>
      </c>
      <c r="H694" t="str">
        <f>""</f>
        <v/>
      </c>
      <c r="I694" s="2">
        <v>86799456751.649994</v>
      </c>
    </row>
    <row r="695" spans="1:9" x14ac:dyDescent="0.25">
      <c r="A695">
        <v>176</v>
      </c>
      <c r="B695" s="1">
        <v>45289</v>
      </c>
      <c r="C695">
        <v>25</v>
      </c>
      <c r="D695" t="str">
        <f>"4956"</f>
        <v>4956</v>
      </c>
      <c r="E695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95" t="str">
        <f>""</f>
        <v/>
      </c>
      <c r="G695" t="str">
        <f>""</f>
        <v/>
      </c>
      <c r="H695" t="str">
        <f>""</f>
        <v/>
      </c>
      <c r="I695" s="2">
        <v>25727033.52</v>
      </c>
    </row>
    <row r="696" spans="1:9" x14ac:dyDescent="0.25">
      <c r="A696">
        <v>181</v>
      </c>
      <c r="B696" s="1">
        <v>45289</v>
      </c>
      <c r="C696">
        <v>25</v>
      </c>
      <c r="D696" t="str">
        <f>"4957"</f>
        <v>4957</v>
      </c>
      <c r="E696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96" t="str">
        <f>""</f>
        <v/>
      </c>
      <c r="G696" t="str">
        <f>""</f>
        <v/>
      </c>
      <c r="H696" t="str">
        <f>""</f>
        <v/>
      </c>
      <c r="I696" s="2">
        <v>1098785039.26</v>
      </c>
    </row>
    <row r="697" spans="1:9" x14ac:dyDescent="0.25">
      <c r="A697">
        <v>344</v>
      </c>
      <c r="B697" s="1">
        <v>45289</v>
      </c>
      <c r="C697">
        <v>25</v>
      </c>
      <c r="D697" t="str">
        <f>"4958"</f>
        <v>4958</v>
      </c>
      <c r="E697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97" t="str">
        <f>""</f>
        <v/>
      </c>
      <c r="G697" t="str">
        <f>""</f>
        <v/>
      </c>
      <c r="H697" t="str">
        <f>""</f>
        <v/>
      </c>
      <c r="I697" s="2">
        <v>226379812.78</v>
      </c>
    </row>
    <row r="698" spans="1:9" x14ac:dyDescent="0.25">
      <c r="A698">
        <v>783</v>
      </c>
      <c r="B698" s="1">
        <v>45289</v>
      </c>
      <c r="C698">
        <v>25</v>
      </c>
      <c r="D698" t="str">
        <f>"4959"</f>
        <v>4959</v>
      </c>
      <c r="E698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698" t="str">
        <f>""</f>
        <v/>
      </c>
      <c r="G698" t="str">
        <f>""</f>
        <v/>
      </c>
      <c r="H698" t="str">
        <f>""</f>
        <v/>
      </c>
      <c r="I698" s="2">
        <v>11487991.789999999</v>
      </c>
    </row>
    <row r="699" spans="1:9" x14ac:dyDescent="0.25">
      <c r="A699">
        <v>451</v>
      </c>
      <c r="B699" s="1">
        <v>45289</v>
      </c>
      <c r="C699">
        <v>25</v>
      </c>
      <c r="D699" t="str">
        <f>"4960"</f>
        <v>4960</v>
      </c>
      <c r="E699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699" t="str">
        <f>""</f>
        <v/>
      </c>
      <c r="G699" t="str">
        <f>""</f>
        <v/>
      </c>
      <c r="H699" t="str">
        <f>""</f>
        <v/>
      </c>
      <c r="I699" s="2">
        <v>4088016.29</v>
      </c>
    </row>
    <row r="700" spans="1:9" x14ac:dyDescent="0.25">
      <c r="A700">
        <v>782</v>
      </c>
      <c r="B700" s="1">
        <v>45289</v>
      </c>
      <c r="C700">
        <v>25</v>
      </c>
      <c r="D700" t="str">
        <f>"5036"</f>
        <v>5036</v>
      </c>
      <c r="E700" t="s">
        <v>9</v>
      </c>
      <c r="F700" t="str">
        <f>""</f>
        <v/>
      </c>
      <c r="G700" t="str">
        <f>""</f>
        <v/>
      </c>
      <c r="H700" t="str">
        <f>""</f>
        <v/>
      </c>
      <c r="I700" s="2">
        <v>686801738.48000002</v>
      </c>
    </row>
    <row r="701" spans="1:9" x14ac:dyDescent="0.25">
      <c r="A701">
        <v>182</v>
      </c>
      <c r="B701" s="1">
        <v>45289</v>
      </c>
      <c r="C701">
        <v>25</v>
      </c>
      <c r="D701" t="str">
        <f>"5056"</f>
        <v>5056</v>
      </c>
      <c r="E70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701" t="str">
        <f>""</f>
        <v/>
      </c>
      <c r="G701" t="str">
        <f>""</f>
        <v/>
      </c>
      <c r="H701" t="str">
        <f>""</f>
        <v/>
      </c>
      <c r="I701" s="2">
        <v>270994840.31999999</v>
      </c>
    </row>
    <row r="702" spans="1:9" x14ac:dyDescent="0.25">
      <c r="A702">
        <v>568</v>
      </c>
      <c r="B702" s="1">
        <v>45289</v>
      </c>
      <c r="C702">
        <v>25</v>
      </c>
      <c r="D702" t="str">
        <f>"5066"</f>
        <v>5066</v>
      </c>
      <c r="E702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702" t="str">
        <f>""</f>
        <v/>
      </c>
      <c r="G702" t="str">
        <f>""</f>
        <v/>
      </c>
      <c r="H702" t="str">
        <f>""</f>
        <v/>
      </c>
      <c r="I702" s="2">
        <v>150000000</v>
      </c>
    </row>
    <row r="703" spans="1:9" x14ac:dyDescent="0.25">
      <c r="A703">
        <v>185</v>
      </c>
      <c r="B703" s="1">
        <v>45289</v>
      </c>
      <c r="C703">
        <v>25</v>
      </c>
      <c r="D703" t="str">
        <f>"5069"</f>
        <v>5069</v>
      </c>
      <c r="E703" t="str">
        <f>"Расходы по амортизации дисконта по полученным займам"</f>
        <v>Расходы по амортизации дисконта по полученным займам</v>
      </c>
      <c r="F703" t="str">
        <f>""</f>
        <v/>
      </c>
      <c r="G703" t="str">
        <f>""</f>
        <v/>
      </c>
      <c r="H703" t="str">
        <f>""</f>
        <v/>
      </c>
      <c r="I703" s="2">
        <v>3330894220.54</v>
      </c>
    </row>
    <row r="704" spans="1:9" x14ac:dyDescent="0.25">
      <c r="A704">
        <v>348</v>
      </c>
      <c r="B704" s="1">
        <v>45289</v>
      </c>
      <c r="C704">
        <v>25</v>
      </c>
      <c r="D704" t="str">
        <f>"5203"</f>
        <v>5203</v>
      </c>
      <c r="E704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704" t="str">
        <f>""</f>
        <v/>
      </c>
      <c r="G704" t="str">
        <f>""</f>
        <v/>
      </c>
      <c r="H704" t="str">
        <f>""</f>
        <v/>
      </c>
      <c r="I704" s="2">
        <v>762231.64</v>
      </c>
    </row>
    <row r="705" spans="1:9" x14ac:dyDescent="0.25">
      <c r="A705">
        <v>84</v>
      </c>
      <c r="B705" s="1">
        <v>45289</v>
      </c>
      <c r="C705">
        <v>25</v>
      </c>
      <c r="D705" t="str">
        <f>"5215"</f>
        <v>5215</v>
      </c>
      <c r="E705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705" t="str">
        <f>""</f>
        <v/>
      </c>
      <c r="G705" t="str">
        <f>""</f>
        <v/>
      </c>
      <c r="H705" t="str">
        <f>""</f>
        <v/>
      </c>
      <c r="I705" s="2">
        <v>102319761073.17999</v>
      </c>
    </row>
    <row r="706" spans="1:9" x14ac:dyDescent="0.25">
      <c r="A706">
        <v>186</v>
      </c>
      <c r="B706" s="1">
        <v>45289</v>
      </c>
      <c r="C706">
        <v>25</v>
      </c>
      <c r="D706" t="str">
        <f>"5217"</f>
        <v>5217</v>
      </c>
      <c r="E706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706" t="str">
        <f>""</f>
        <v/>
      </c>
      <c r="G706" t="str">
        <f>""</f>
        <v/>
      </c>
      <c r="H706" t="str">
        <f>""</f>
        <v/>
      </c>
      <c r="I706" s="2">
        <v>11503494455.200001</v>
      </c>
    </row>
    <row r="707" spans="1:9" x14ac:dyDescent="0.25">
      <c r="A707">
        <v>85</v>
      </c>
      <c r="B707" s="1">
        <v>45289</v>
      </c>
      <c r="C707">
        <v>25</v>
      </c>
      <c r="D707" t="str">
        <f>"5218"</f>
        <v>5218</v>
      </c>
      <c r="E707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707" t="str">
        <f>""</f>
        <v/>
      </c>
      <c r="G707" t="str">
        <f>""</f>
        <v/>
      </c>
      <c r="H707" t="str">
        <f>""</f>
        <v/>
      </c>
      <c r="I707" s="2">
        <v>10739120335.15</v>
      </c>
    </row>
    <row r="708" spans="1:9" x14ac:dyDescent="0.25">
      <c r="A708">
        <v>350</v>
      </c>
      <c r="B708" s="1">
        <v>45289</v>
      </c>
      <c r="C708">
        <v>25</v>
      </c>
      <c r="D708" t="str">
        <f>"5219"</f>
        <v>5219</v>
      </c>
      <c r="E708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708" t="str">
        <f>""</f>
        <v/>
      </c>
      <c r="G708" t="str">
        <f>""</f>
        <v/>
      </c>
      <c r="H708" t="str">
        <f>""</f>
        <v/>
      </c>
      <c r="I708" s="2">
        <v>268762065.12</v>
      </c>
    </row>
    <row r="709" spans="1:9" x14ac:dyDescent="0.25">
      <c r="A709">
        <v>819</v>
      </c>
      <c r="B709" s="1">
        <v>45289</v>
      </c>
      <c r="C709">
        <v>25</v>
      </c>
      <c r="D709" t="str">
        <f>"5220"</f>
        <v>5220</v>
      </c>
      <c r="E709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709" t="str">
        <f>""</f>
        <v/>
      </c>
      <c r="G709" t="str">
        <f>""</f>
        <v/>
      </c>
      <c r="H709" t="str">
        <f>""</f>
        <v/>
      </c>
      <c r="I709" s="2">
        <v>7221270.1600000001</v>
      </c>
    </row>
    <row r="710" spans="1:9" x14ac:dyDescent="0.25">
      <c r="A710">
        <v>789</v>
      </c>
      <c r="B710" s="1">
        <v>45289</v>
      </c>
      <c r="C710">
        <v>25</v>
      </c>
      <c r="D710" t="str">
        <f>"5223"</f>
        <v>5223</v>
      </c>
      <c r="E710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710" t="str">
        <f>""</f>
        <v/>
      </c>
      <c r="G710" t="str">
        <f>""</f>
        <v/>
      </c>
      <c r="H710" t="str">
        <f>""</f>
        <v/>
      </c>
      <c r="I710" s="2">
        <v>3993236206.6500001</v>
      </c>
    </row>
    <row r="711" spans="1:9" x14ac:dyDescent="0.25">
      <c r="A711">
        <v>571</v>
      </c>
      <c r="B711" s="1">
        <v>45289</v>
      </c>
      <c r="C711">
        <v>25</v>
      </c>
      <c r="D711" t="str">
        <f>"5227"</f>
        <v>5227</v>
      </c>
      <c r="E711" t="str">
        <f>"Процентные расходы по обязательствам по аренде"</f>
        <v>Процентные расходы по обязательствам по аренде</v>
      </c>
      <c r="F711" t="str">
        <f>""</f>
        <v/>
      </c>
      <c r="G711" t="str">
        <f>""</f>
        <v/>
      </c>
      <c r="H711" t="str">
        <f>""</f>
        <v/>
      </c>
      <c r="I711" s="2">
        <v>169353774.38999999</v>
      </c>
    </row>
    <row r="712" spans="1:9" x14ac:dyDescent="0.25">
      <c r="A712">
        <v>569</v>
      </c>
      <c r="B712" s="1">
        <v>45289</v>
      </c>
      <c r="C712">
        <v>25</v>
      </c>
      <c r="D712" t="str">
        <f>"5229"</f>
        <v>5229</v>
      </c>
      <c r="E712" t="str">
        <f>"Расходы, связанные с выплатой вознаграждения на сумму денег, принятых в качестве обеспечения (заклад, задаток) обязательств клиентов"</f>
        <v>Расходы, связанные с выплатой вознаграждения на сумму денег, принятых в качестве обеспечения (заклад, задаток) обязательств клиентов</v>
      </c>
      <c r="F712" t="str">
        <f>""</f>
        <v/>
      </c>
      <c r="G712" t="str">
        <f>""</f>
        <v/>
      </c>
      <c r="H712" t="str">
        <f>""</f>
        <v/>
      </c>
      <c r="I712" s="2">
        <v>861096.17</v>
      </c>
    </row>
    <row r="713" spans="1:9" x14ac:dyDescent="0.25">
      <c r="A713">
        <v>786</v>
      </c>
      <c r="B713" s="1">
        <v>45289</v>
      </c>
      <c r="C713">
        <v>25</v>
      </c>
      <c r="D713" t="str">
        <f>"5232"</f>
        <v>5232</v>
      </c>
      <c r="E713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F713" t="str">
        <f>""</f>
        <v/>
      </c>
      <c r="G713" t="str">
        <f>""</f>
        <v/>
      </c>
      <c r="H713" t="str">
        <f>""</f>
        <v/>
      </c>
      <c r="I713" s="2">
        <v>474530.76</v>
      </c>
    </row>
    <row r="714" spans="1:9" x14ac:dyDescent="0.25">
      <c r="A714">
        <v>788</v>
      </c>
      <c r="B714" s="1">
        <v>45289</v>
      </c>
      <c r="C714">
        <v>25</v>
      </c>
      <c r="D714" t="str">
        <f>"5236"</f>
        <v>5236</v>
      </c>
      <c r="E714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714" t="str">
        <f>""</f>
        <v/>
      </c>
      <c r="G714" t="str">
        <f>""</f>
        <v/>
      </c>
      <c r="H714" t="str">
        <f>""</f>
        <v/>
      </c>
      <c r="I714" s="2">
        <v>380616198.63999999</v>
      </c>
    </row>
    <row r="715" spans="1:9" x14ac:dyDescent="0.25">
      <c r="A715">
        <v>570</v>
      </c>
      <c r="B715" s="1">
        <v>45289</v>
      </c>
      <c r="C715">
        <v>25</v>
      </c>
      <c r="D715" t="str">
        <f>"5240"</f>
        <v>5240</v>
      </c>
      <c r="E715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715" t="str">
        <f>""</f>
        <v/>
      </c>
      <c r="G715" t="str">
        <f>""</f>
        <v/>
      </c>
      <c r="H715" t="str">
        <f>""</f>
        <v/>
      </c>
      <c r="I715" s="2">
        <v>570717314.72000003</v>
      </c>
    </row>
    <row r="716" spans="1:9" x14ac:dyDescent="0.25">
      <c r="A716">
        <v>380</v>
      </c>
      <c r="B716" s="1">
        <v>45289</v>
      </c>
      <c r="C716">
        <v>25</v>
      </c>
      <c r="D716" t="str">
        <f>"5241"</f>
        <v>5241</v>
      </c>
      <c r="E716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716" t="str">
        <f>""</f>
        <v/>
      </c>
      <c r="G716" t="str">
        <f>""</f>
        <v/>
      </c>
      <c r="H716" t="str">
        <f>""</f>
        <v/>
      </c>
      <c r="I716" s="2">
        <v>20389570274.75</v>
      </c>
    </row>
    <row r="717" spans="1:9" x14ac:dyDescent="0.25">
      <c r="A717">
        <v>790</v>
      </c>
      <c r="B717" s="1">
        <v>45289</v>
      </c>
      <c r="C717">
        <v>25</v>
      </c>
      <c r="D717" t="str">
        <f>"5250"</f>
        <v>5250</v>
      </c>
      <c r="E717" t="s">
        <v>10</v>
      </c>
      <c r="F717" t="str">
        <f>""</f>
        <v/>
      </c>
      <c r="G717" t="str">
        <f>""</f>
        <v/>
      </c>
      <c r="H717" t="str">
        <f>""</f>
        <v/>
      </c>
      <c r="I717" s="2">
        <v>14114183691.610001</v>
      </c>
    </row>
    <row r="718" spans="1:9" x14ac:dyDescent="0.25">
      <c r="A718">
        <v>86</v>
      </c>
      <c r="B718" s="1">
        <v>45289</v>
      </c>
      <c r="C718">
        <v>25</v>
      </c>
      <c r="D718" t="str">
        <f>"5301"</f>
        <v>5301</v>
      </c>
      <c r="E718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718" t="str">
        <f>""</f>
        <v/>
      </c>
      <c r="G718" t="str">
        <f>""</f>
        <v/>
      </c>
      <c r="H718" t="str">
        <f>""</f>
        <v/>
      </c>
      <c r="I718" s="2">
        <v>14234375525.469999</v>
      </c>
    </row>
    <row r="719" spans="1:9" x14ac:dyDescent="0.25">
      <c r="A719">
        <v>787</v>
      </c>
      <c r="B719" s="1">
        <v>45289</v>
      </c>
      <c r="C719">
        <v>25</v>
      </c>
      <c r="D719" t="str">
        <f>"5306"</f>
        <v>5306</v>
      </c>
      <c r="E719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719" t="str">
        <f>""</f>
        <v/>
      </c>
      <c r="G719" t="str">
        <f>""</f>
        <v/>
      </c>
      <c r="H719" t="str">
        <f>""</f>
        <v/>
      </c>
      <c r="I719" s="2">
        <v>911529655.94000006</v>
      </c>
    </row>
    <row r="720" spans="1:9" x14ac:dyDescent="0.25">
      <c r="A720">
        <v>349</v>
      </c>
      <c r="B720" s="1">
        <v>45289</v>
      </c>
      <c r="C720">
        <v>25</v>
      </c>
      <c r="D720" t="str">
        <f>"5307"</f>
        <v>5307</v>
      </c>
      <c r="E720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720" t="str">
        <f>""</f>
        <v/>
      </c>
      <c r="G720" t="str">
        <f>""</f>
        <v/>
      </c>
      <c r="H720" t="str">
        <f>""</f>
        <v/>
      </c>
      <c r="I720" s="2">
        <v>16922214087.459999</v>
      </c>
    </row>
    <row r="721" spans="1:9" x14ac:dyDescent="0.25">
      <c r="A721">
        <v>183</v>
      </c>
      <c r="B721" s="1">
        <v>45289</v>
      </c>
      <c r="C721">
        <v>25</v>
      </c>
      <c r="D721" t="str">
        <f>"5308"</f>
        <v>5308</v>
      </c>
      <c r="E721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721" t="str">
        <f>""</f>
        <v/>
      </c>
      <c r="G721" t="str">
        <f>""</f>
        <v/>
      </c>
      <c r="H721" t="str">
        <f>""</f>
        <v/>
      </c>
      <c r="I721" s="2">
        <v>2140852596.0699999</v>
      </c>
    </row>
    <row r="722" spans="1:9" x14ac:dyDescent="0.25">
      <c r="A722">
        <v>453</v>
      </c>
      <c r="B722" s="1">
        <v>45289</v>
      </c>
      <c r="C722">
        <v>25</v>
      </c>
      <c r="D722" t="str">
        <f>"5404"</f>
        <v>5404</v>
      </c>
      <c r="E722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722" t="str">
        <f>""</f>
        <v/>
      </c>
      <c r="G722" t="str">
        <f>""</f>
        <v/>
      </c>
      <c r="H722" t="str">
        <f>""</f>
        <v/>
      </c>
      <c r="I722" s="2">
        <v>9687.4500000000007</v>
      </c>
    </row>
    <row r="723" spans="1:9" x14ac:dyDescent="0.25">
      <c r="A723">
        <v>572</v>
      </c>
      <c r="B723" s="1">
        <v>45289</v>
      </c>
      <c r="C723">
        <v>25</v>
      </c>
      <c r="D723" t="str">
        <f>"5406"</f>
        <v>5406</v>
      </c>
      <c r="E723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723" t="str">
        <f>""</f>
        <v/>
      </c>
      <c r="G723" t="str">
        <f>""</f>
        <v/>
      </c>
      <c r="H723" t="str">
        <f>""</f>
        <v/>
      </c>
      <c r="I723" s="2">
        <v>1136445976.6400001</v>
      </c>
    </row>
    <row r="724" spans="1:9" x14ac:dyDescent="0.25">
      <c r="A724">
        <v>354</v>
      </c>
      <c r="B724" s="1">
        <v>45289</v>
      </c>
      <c r="C724">
        <v>25</v>
      </c>
      <c r="D724" t="str">
        <f>"5451"</f>
        <v>5451</v>
      </c>
      <c r="E724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724" t="str">
        <f>""</f>
        <v/>
      </c>
      <c r="G724" t="str">
        <f>""</f>
        <v/>
      </c>
      <c r="H724" t="str">
        <f>""</f>
        <v/>
      </c>
      <c r="I724" s="2">
        <v>350473207.89999998</v>
      </c>
    </row>
    <row r="725" spans="1:9" x14ac:dyDescent="0.25">
      <c r="A725">
        <v>793</v>
      </c>
      <c r="B725" s="1">
        <v>45289</v>
      </c>
      <c r="C725">
        <v>25</v>
      </c>
      <c r="D725" t="str">
        <f>"5453"</f>
        <v>5453</v>
      </c>
      <c r="E725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725" t="str">
        <f>""</f>
        <v/>
      </c>
      <c r="G725" t="str">
        <f>""</f>
        <v/>
      </c>
      <c r="H725" t="str">
        <f>""</f>
        <v/>
      </c>
      <c r="I725" s="2">
        <v>1332462725.6199999</v>
      </c>
    </row>
    <row r="726" spans="1:9" x14ac:dyDescent="0.25">
      <c r="A726">
        <v>352</v>
      </c>
      <c r="B726" s="1">
        <v>45289</v>
      </c>
      <c r="C726">
        <v>25</v>
      </c>
      <c r="D726" t="str">
        <f>"5455"</f>
        <v>5455</v>
      </c>
      <c r="E726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726" t="str">
        <f>""</f>
        <v/>
      </c>
      <c r="G726" t="str">
        <f>""</f>
        <v/>
      </c>
      <c r="H726" t="str">
        <f>""</f>
        <v/>
      </c>
      <c r="I726" s="2">
        <v>125614420647.91</v>
      </c>
    </row>
    <row r="727" spans="1:9" x14ac:dyDescent="0.25">
      <c r="A727">
        <v>351</v>
      </c>
      <c r="B727" s="1">
        <v>45289</v>
      </c>
      <c r="C727">
        <v>25</v>
      </c>
      <c r="D727" t="str">
        <f>"5456"</f>
        <v>5456</v>
      </c>
      <c r="E727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727" t="str">
        <f>""</f>
        <v/>
      </c>
      <c r="G727" t="str">
        <f>""</f>
        <v/>
      </c>
      <c r="H727" t="str">
        <f>""</f>
        <v/>
      </c>
      <c r="I727" s="2">
        <v>23549600.129999999</v>
      </c>
    </row>
    <row r="728" spans="1:9" x14ac:dyDescent="0.25">
      <c r="A728">
        <v>454</v>
      </c>
      <c r="B728" s="1">
        <v>45289</v>
      </c>
      <c r="C728">
        <v>25</v>
      </c>
      <c r="D728" t="str">
        <f>"5457"</f>
        <v>5457</v>
      </c>
      <c r="E728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728" t="str">
        <f>""</f>
        <v/>
      </c>
      <c r="G728" t="str">
        <f>""</f>
        <v/>
      </c>
      <c r="H728" t="str">
        <f>""</f>
        <v/>
      </c>
      <c r="I728" s="2">
        <v>1354257838.45</v>
      </c>
    </row>
    <row r="729" spans="1:9" x14ac:dyDescent="0.25">
      <c r="A729">
        <v>791</v>
      </c>
      <c r="B729" s="1">
        <v>45289</v>
      </c>
      <c r="C729">
        <v>25</v>
      </c>
      <c r="D729" t="str">
        <f>"5464"</f>
        <v>5464</v>
      </c>
      <c r="E729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729" t="str">
        <f>""</f>
        <v/>
      </c>
      <c r="G729" t="str">
        <f>""</f>
        <v/>
      </c>
      <c r="H729" t="str">
        <f>""</f>
        <v/>
      </c>
      <c r="I729" s="2">
        <v>950175195.02999997</v>
      </c>
    </row>
    <row r="730" spans="1:9" x14ac:dyDescent="0.25">
      <c r="A730">
        <v>353</v>
      </c>
      <c r="B730" s="1">
        <v>45289</v>
      </c>
      <c r="C730">
        <v>25</v>
      </c>
      <c r="D730" t="str">
        <f>"5465"</f>
        <v>5465</v>
      </c>
      <c r="E730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730" t="str">
        <f>""</f>
        <v/>
      </c>
      <c r="G730" t="str">
        <f>""</f>
        <v/>
      </c>
      <c r="H730" t="str">
        <f>""</f>
        <v/>
      </c>
      <c r="I730" s="2">
        <v>708869661.45000005</v>
      </c>
    </row>
    <row r="731" spans="1:9" x14ac:dyDescent="0.25">
      <c r="A731">
        <v>457</v>
      </c>
      <c r="B731" s="1">
        <v>45289</v>
      </c>
      <c r="C731">
        <v>25</v>
      </c>
      <c r="D731" t="str">
        <f>"5469"</f>
        <v>5469</v>
      </c>
      <c r="E731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731" t="str">
        <f>""</f>
        <v/>
      </c>
      <c r="G731" t="str">
        <f>""</f>
        <v/>
      </c>
      <c r="H731" t="str">
        <f>""</f>
        <v/>
      </c>
      <c r="I731" s="2">
        <v>4859339.97</v>
      </c>
    </row>
    <row r="732" spans="1:9" x14ac:dyDescent="0.25">
      <c r="A732">
        <v>359</v>
      </c>
      <c r="B732" s="1">
        <v>45289</v>
      </c>
      <c r="C732">
        <v>25</v>
      </c>
      <c r="D732" t="str">
        <f>"5510"</f>
        <v>5510</v>
      </c>
      <c r="E732" t="str">
        <f>"Расходы по купле-продаже ценных бумаг"</f>
        <v>Расходы по купле-продаже ценных бумаг</v>
      </c>
      <c r="F732" t="str">
        <f>""</f>
        <v/>
      </c>
      <c r="G732" t="str">
        <f>""</f>
        <v/>
      </c>
      <c r="H732" t="str">
        <f>""</f>
        <v/>
      </c>
      <c r="I732" s="2">
        <v>123274982.81999999</v>
      </c>
    </row>
    <row r="733" spans="1:9" x14ac:dyDescent="0.25">
      <c r="A733">
        <v>87</v>
      </c>
      <c r="B733" s="1">
        <v>45289</v>
      </c>
      <c r="C733">
        <v>25</v>
      </c>
      <c r="D733" t="str">
        <f>"5530"</f>
        <v>5530</v>
      </c>
      <c r="E733" t="str">
        <f>"Расходы по купле-продаже иностранной валюты"</f>
        <v>Расходы по купле-продаже иностранной валюты</v>
      </c>
      <c r="F733" t="str">
        <f>""</f>
        <v/>
      </c>
      <c r="G733" t="str">
        <f>""</f>
        <v/>
      </c>
      <c r="H733" t="str">
        <f>""</f>
        <v/>
      </c>
      <c r="I733" s="2">
        <v>33281017637.25</v>
      </c>
    </row>
    <row r="734" spans="1:9" x14ac:dyDescent="0.25">
      <c r="A734">
        <v>372</v>
      </c>
      <c r="B734" s="1">
        <v>45289</v>
      </c>
      <c r="C734">
        <v>25</v>
      </c>
      <c r="D734" t="str">
        <f>"5570"</f>
        <v>5570</v>
      </c>
      <c r="E734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734" t="str">
        <f>""</f>
        <v/>
      </c>
      <c r="G734" t="str">
        <f>""</f>
        <v/>
      </c>
      <c r="H734" t="str">
        <f>""</f>
        <v/>
      </c>
      <c r="I734" s="2">
        <v>155982019.53</v>
      </c>
    </row>
    <row r="735" spans="1:9" x14ac:dyDescent="0.25">
      <c r="A735">
        <v>355</v>
      </c>
      <c r="B735" s="1">
        <v>45289</v>
      </c>
      <c r="C735">
        <v>25</v>
      </c>
      <c r="D735" t="str">
        <f>"5593"</f>
        <v>5593</v>
      </c>
      <c r="E735" t="str">
        <f>"Расходы от переоценки операций своп"</f>
        <v>Расходы от переоценки операций своп</v>
      </c>
      <c r="F735" t="str">
        <f>""</f>
        <v/>
      </c>
      <c r="G735" t="str">
        <f>""</f>
        <v/>
      </c>
      <c r="H735" t="str">
        <f>""</f>
        <v/>
      </c>
      <c r="I735" s="2">
        <v>7091846.0499999998</v>
      </c>
    </row>
    <row r="736" spans="1:9" x14ac:dyDescent="0.25">
      <c r="A736">
        <v>456</v>
      </c>
      <c r="B736" s="1">
        <v>45289</v>
      </c>
      <c r="C736">
        <v>25</v>
      </c>
      <c r="D736" t="str">
        <f>"5601"</f>
        <v>5601</v>
      </c>
      <c r="E736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736" t="str">
        <f>""</f>
        <v/>
      </c>
      <c r="G736" t="str">
        <f>""</f>
        <v/>
      </c>
      <c r="H736" t="str">
        <f>""</f>
        <v/>
      </c>
      <c r="I736" s="2">
        <v>659580755.46000004</v>
      </c>
    </row>
    <row r="737" spans="1:9" x14ac:dyDescent="0.25">
      <c r="A737">
        <v>356</v>
      </c>
      <c r="B737" s="1">
        <v>45289</v>
      </c>
      <c r="C737">
        <v>25</v>
      </c>
      <c r="D737" t="str">
        <f>"5602"</f>
        <v>5602</v>
      </c>
      <c r="E737" t="str">
        <f>"Комиссионные расходы по полученным агентским услугам"</f>
        <v>Комиссионные расходы по полученным агентским услугам</v>
      </c>
      <c r="F737" t="str">
        <f>""</f>
        <v/>
      </c>
      <c r="G737" t="str">
        <f>""</f>
        <v/>
      </c>
      <c r="H737" t="str">
        <f>""</f>
        <v/>
      </c>
      <c r="I737" s="2">
        <v>911475706.99000001</v>
      </c>
    </row>
    <row r="738" spans="1:9" x14ac:dyDescent="0.25">
      <c r="A738">
        <v>357</v>
      </c>
      <c r="B738" s="1">
        <v>45289</v>
      </c>
      <c r="C738">
        <v>25</v>
      </c>
      <c r="D738" t="str">
        <f>"5603"</f>
        <v>5603</v>
      </c>
      <c r="E738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738" t="str">
        <f>""</f>
        <v/>
      </c>
      <c r="G738" t="str">
        <f>""</f>
        <v/>
      </c>
      <c r="H738" t="str">
        <f>""</f>
        <v/>
      </c>
      <c r="I738" s="2">
        <v>47195583.82</v>
      </c>
    </row>
    <row r="739" spans="1:9" x14ac:dyDescent="0.25">
      <c r="A739">
        <v>792</v>
      </c>
      <c r="B739" s="1">
        <v>45289</v>
      </c>
      <c r="C739">
        <v>25</v>
      </c>
      <c r="D739" t="str">
        <f>"5604"</f>
        <v>5604</v>
      </c>
      <c r="E739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739" t="str">
        <f>""</f>
        <v/>
      </c>
      <c r="G739" t="str">
        <f>""</f>
        <v/>
      </c>
      <c r="H739" t="str">
        <f>""</f>
        <v/>
      </c>
      <c r="I739" s="2">
        <v>645270.96</v>
      </c>
    </row>
    <row r="740" spans="1:9" x14ac:dyDescent="0.25">
      <c r="A740">
        <v>358</v>
      </c>
      <c r="B740" s="1">
        <v>45289</v>
      </c>
      <c r="C740">
        <v>25</v>
      </c>
      <c r="D740" t="str">
        <f>"5606"</f>
        <v>5606</v>
      </c>
      <c r="E740" t="str">
        <f>"Комиссионные расходы по полученным услугам по гарантиям"</f>
        <v>Комиссионные расходы по полученным услугам по гарантиям</v>
      </c>
      <c r="F740" t="str">
        <f>""</f>
        <v/>
      </c>
      <c r="G740" t="str">
        <f>""</f>
        <v/>
      </c>
      <c r="H740" t="str">
        <f>""</f>
        <v/>
      </c>
      <c r="I740" s="2">
        <v>161914683.28</v>
      </c>
    </row>
    <row r="741" spans="1:9" x14ac:dyDescent="0.25">
      <c r="A741">
        <v>794</v>
      </c>
      <c r="B741" s="1">
        <v>45289</v>
      </c>
      <c r="C741">
        <v>25</v>
      </c>
      <c r="D741" t="str">
        <f>"5607"</f>
        <v>5607</v>
      </c>
      <c r="E741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741" t="str">
        <f>""</f>
        <v/>
      </c>
      <c r="G741" t="str">
        <f>""</f>
        <v/>
      </c>
      <c r="H741" t="str">
        <f>""</f>
        <v/>
      </c>
      <c r="I741" s="2">
        <v>9934246489.6700001</v>
      </c>
    </row>
    <row r="742" spans="1:9" x14ac:dyDescent="0.25">
      <c r="A742">
        <v>88</v>
      </c>
      <c r="B742" s="1">
        <v>45289</v>
      </c>
      <c r="C742">
        <v>25</v>
      </c>
      <c r="D742" t="str">
        <f>"5608"</f>
        <v>5608</v>
      </c>
      <c r="E742" t="str">
        <f>"Прочие комиссионные расходы"</f>
        <v>Прочие комиссионные расходы</v>
      </c>
      <c r="F742" t="str">
        <f>""</f>
        <v/>
      </c>
      <c r="G742" t="str">
        <f>""</f>
        <v/>
      </c>
      <c r="H742" t="str">
        <f>""</f>
        <v/>
      </c>
      <c r="I742" s="2">
        <v>1251079350.49</v>
      </c>
    </row>
    <row r="743" spans="1:9" x14ac:dyDescent="0.25">
      <c r="A743">
        <v>361</v>
      </c>
      <c r="B743" s="1">
        <v>45289</v>
      </c>
      <c r="C743">
        <v>25</v>
      </c>
      <c r="D743" t="str">
        <f>"5609"</f>
        <v>5609</v>
      </c>
      <c r="E743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743" t="str">
        <f>""</f>
        <v/>
      </c>
      <c r="G743" t="str">
        <f>""</f>
        <v/>
      </c>
      <c r="H743" t="str">
        <f>""</f>
        <v/>
      </c>
      <c r="I743" s="2">
        <v>126130972.67</v>
      </c>
    </row>
    <row r="744" spans="1:9" x14ac:dyDescent="0.25">
      <c r="A744">
        <v>802</v>
      </c>
      <c r="B744" s="1">
        <v>45289</v>
      </c>
      <c r="C744">
        <v>25</v>
      </c>
      <c r="D744" t="str">
        <f>"5610"</f>
        <v>5610</v>
      </c>
      <c r="E744" t="str">
        <f>"Комиссионные расходы по документарным расчетам"</f>
        <v>Комиссионные расходы по документарным расчетам</v>
      </c>
      <c r="F744" t="str">
        <f>""</f>
        <v/>
      </c>
      <c r="G744" t="str">
        <f>""</f>
        <v/>
      </c>
      <c r="H744" t="str">
        <f>""</f>
        <v/>
      </c>
      <c r="I744" s="2">
        <v>23185724.43</v>
      </c>
    </row>
    <row r="745" spans="1:9" x14ac:dyDescent="0.25">
      <c r="A745">
        <v>89</v>
      </c>
      <c r="B745" s="1">
        <v>45289</v>
      </c>
      <c r="C745">
        <v>25</v>
      </c>
      <c r="D745" t="str">
        <f>"5703"</f>
        <v>5703</v>
      </c>
      <c r="E745" t="str">
        <f>"Расходы от переоценки иностранной валюты"</f>
        <v>Расходы от переоценки иностранной валюты</v>
      </c>
      <c r="F745" t="str">
        <f>""</f>
        <v/>
      </c>
      <c r="G745" t="str">
        <f>""</f>
        <v/>
      </c>
      <c r="H745" t="str">
        <f>""</f>
        <v/>
      </c>
      <c r="I745" s="2">
        <v>6951781949069.3398</v>
      </c>
    </row>
    <row r="746" spans="1:9" x14ac:dyDescent="0.25">
      <c r="A746">
        <v>184</v>
      </c>
      <c r="B746" s="1">
        <v>45289</v>
      </c>
      <c r="C746">
        <v>25</v>
      </c>
      <c r="D746" t="str">
        <f>"5709"</f>
        <v>5709</v>
      </c>
      <c r="E746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746" t="str">
        <f>""</f>
        <v/>
      </c>
      <c r="G746" t="str">
        <f>""</f>
        <v/>
      </c>
      <c r="H746" t="str">
        <f>""</f>
        <v/>
      </c>
      <c r="I746" s="2">
        <v>19116234.68</v>
      </c>
    </row>
    <row r="747" spans="1:9" x14ac:dyDescent="0.25">
      <c r="A747">
        <v>455</v>
      </c>
      <c r="B747" s="1">
        <v>45289</v>
      </c>
      <c r="C747">
        <v>25</v>
      </c>
      <c r="D747" t="str">
        <f>"5711"</f>
        <v>5711</v>
      </c>
      <c r="E747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747" t="str">
        <f>""</f>
        <v/>
      </c>
      <c r="G747" t="str">
        <f>""</f>
        <v/>
      </c>
      <c r="H747" t="str">
        <f>""</f>
        <v/>
      </c>
      <c r="I747" s="2">
        <v>182025113.03</v>
      </c>
    </row>
    <row r="748" spans="1:9" x14ac:dyDescent="0.25">
      <c r="A748">
        <v>573</v>
      </c>
      <c r="B748" s="1">
        <v>45289</v>
      </c>
      <c r="C748">
        <v>25</v>
      </c>
      <c r="D748" t="str">
        <f>"5721"</f>
        <v>5721</v>
      </c>
      <c r="E748" t="str">
        <f>"Расходы по оплате труда"</f>
        <v>Расходы по оплате труда</v>
      </c>
      <c r="F748" t="str">
        <f>""</f>
        <v/>
      </c>
      <c r="G748" t="str">
        <f>""</f>
        <v/>
      </c>
      <c r="H748" t="str">
        <f>""</f>
        <v/>
      </c>
      <c r="I748" s="2">
        <v>36417849615.849998</v>
      </c>
    </row>
    <row r="749" spans="1:9" x14ac:dyDescent="0.25">
      <c r="A749">
        <v>190</v>
      </c>
      <c r="B749" s="1">
        <v>45289</v>
      </c>
      <c r="C749">
        <v>25</v>
      </c>
      <c r="D749" t="str">
        <f>"5722"</f>
        <v>5722</v>
      </c>
      <c r="E749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749" t="str">
        <f>""</f>
        <v/>
      </c>
      <c r="G749" t="str">
        <f>""</f>
        <v/>
      </c>
      <c r="H749" t="str">
        <f>""</f>
        <v/>
      </c>
      <c r="I749" s="2">
        <v>1180077318</v>
      </c>
    </row>
    <row r="750" spans="1:9" x14ac:dyDescent="0.25">
      <c r="A750">
        <v>371</v>
      </c>
      <c r="B750" s="1">
        <v>45289</v>
      </c>
      <c r="C750">
        <v>25</v>
      </c>
      <c r="D750" t="str">
        <f>"5729"</f>
        <v>5729</v>
      </c>
      <c r="E750" t="str">
        <f>"Прочие выплаты"</f>
        <v>Прочие выплаты</v>
      </c>
      <c r="F750" t="str">
        <f>""</f>
        <v/>
      </c>
      <c r="G750" t="str">
        <f>""</f>
        <v/>
      </c>
      <c r="H750" t="str">
        <f>""</f>
        <v/>
      </c>
      <c r="I750" s="2">
        <v>701036540.47000003</v>
      </c>
    </row>
    <row r="751" spans="1:9" x14ac:dyDescent="0.25">
      <c r="A751">
        <v>188</v>
      </c>
      <c r="B751" s="1">
        <v>45289</v>
      </c>
      <c r="C751">
        <v>25</v>
      </c>
      <c r="D751" t="str">
        <f>"5733"</f>
        <v>5733</v>
      </c>
      <c r="E751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751" t="str">
        <f>""</f>
        <v/>
      </c>
      <c r="G751" t="str">
        <f>""</f>
        <v/>
      </c>
      <c r="H751" t="str">
        <f>""</f>
        <v/>
      </c>
      <c r="I751" s="2">
        <v>255835694.94999999</v>
      </c>
    </row>
    <row r="752" spans="1:9" x14ac:dyDescent="0.25">
      <c r="A752">
        <v>458</v>
      </c>
      <c r="B752" s="1">
        <v>45289</v>
      </c>
      <c r="C752">
        <v>25</v>
      </c>
      <c r="D752" t="str">
        <f>"5734"</f>
        <v>5734</v>
      </c>
      <c r="E752" t="str">
        <f>"Расходы от прочей переоценки"</f>
        <v>Расходы от прочей переоценки</v>
      </c>
      <c r="F752" t="str">
        <f>""</f>
        <v/>
      </c>
      <c r="G752" t="str">
        <f>""</f>
        <v/>
      </c>
      <c r="H752" t="str">
        <f>""</f>
        <v/>
      </c>
      <c r="I752" s="2">
        <v>43955401721.010002</v>
      </c>
    </row>
    <row r="753" spans="1:9" x14ac:dyDescent="0.25">
      <c r="A753">
        <v>360</v>
      </c>
      <c r="B753" s="1">
        <v>45289</v>
      </c>
      <c r="C753">
        <v>25</v>
      </c>
      <c r="D753" t="str">
        <f>"5741"</f>
        <v>5741</v>
      </c>
      <c r="E753" t="str">
        <f>"Транспортные расходы"</f>
        <v>Транспортные расходы</v>
      </c>
      <c r="F753" t="str">
        <f>""</f>
        <v/>
      </c>
      <c r="G753" t="str">
        <f>""</f>
        <v/>
      </c>
      <c r="H753" t="str">
        <f>""</f>
        <v/>
      </c>
      <c r="I753" s="2">
        <v>512823600.14999998</v>
      </c>
    </row>
    <row r="754" spans="1:9" x14ac:dyDescent="0.25">
      <c r="A754">
        <v>370</v>
      </c>
      <c r="B754" s="1">
        <v>45289</v>
      </c>
      <c r="C754">
        <v>25</v>
      </c>
      <c r="D754" t="str">
        <f>"5742"</f>
        <v>5742</v>
      </c>
      <c r="E754" t="str">
        <f>"Административные расходы"</f>
        <v>Административные расходы</v>
      </c>
      <c r="F754" t="str">
        <f>""</f>
        <v/>
      </c>
      <c r="G754" t="str">
        <f>""</f>
        <v/>
      </c>
      <c r="H754" t="str">
        <f>""</f>
        <v/>
      </c>
      <c r="I754" s="2">
        <v>7059413240.3999996</v>
      </c>
    </row>
    <row r="755" spans="1:9" x14ac:dyDescent="0.25">
      <c r="A755">
        <v>799</v>
      </c>
      <c r="B755" s="1">
        <v>45289</v>
      </c>
      <c r="C755">
        <v>25</v>
      </c>
      <c r="D755" t="str">
        <f>"5743"</f>
        <v>5743</v>
      </c>
      <c r="E755" t="str">
        <f>"Расходы на инкассацию"</f>
        <v>Расходы на инкассацию</v>
      </c>
      <c r="F755" t="str">
        <f>""</f>
        <v/>
      </c>
      <c r="G755" t="str">
        <f>""</f>
        <v/>
      </c>
      <c r="H755" t="str">
        <f>""</f>
        <v/>
      </c>
      <c r="I755" s="2">
        <v>564732752.23000002</v>
      </c>
    </row>
    <row r="756" spans="1:9" x14ac:dyDescent="0.25">
      <c r="A756">
        <v>367</v>
      </c>
      <c r="B756" s="1">
        <v>45289</v>
      </c>
      <c r="C756">
        <v>25</v>
      </c>
      <c r="D756" t="str">
        <f>"5744"</f>
        <v>5744</v>
      </c>
      <c r="E756" t="str">
        <f>"Расходы на ремонт"</f>
        <v>Расходы на ремонт</v>
      </c>
      <c r="F756" t="str">
        <f>""</f>
        <v/>
      </c>
      <c r="G756" t="str">
        <f>""</f>
        <v/>
      </c>
      <c r="H756" t="str">
        <f>""</f>
        <v/>
      </c>
      <c r="I756" s="2">
        <v>367560389.81999999</v>
      </c>
    </row>
    <row r="757" spans="1:9" x14ac:dyDescent="0.25">
      <c r="A757">
        <v>90</v>
      </c>
      <c r="B757" s="1">
        <v>45289</v>
      </c>
      <c r="C757">
        <v>25</v>
      </c>
      <c r="D757" t="str">
        <f>"5745"</f>
        <v>5745</v>
      </c>
      <c r="E757" t="str">
        <f>"Расходы на рекламу"</f>
        <v>Расходы на рекламу</v>
      </c>
      <c r="F757" t="str">
        <f>""</f>
        <v/>
      </c>
      <c r="G757" t="str">
        <f>""</f>
        <v/>
      </c>
      <c r="H757" t="str">
        <f>""</f>
        <v/>
      </c>
      <c r="I757" s="2">
        <v>2996445216.3600001</v>
      </c>
    </row>
    <row r="758" spans="1:9" x14ac:dyDescent="0.25">
      <c r="A758">
        <v>375</v>
      </c>
      <c r="B758" s="1">
        <v>45289</v>
      </c>
      <c r="C758">
        <v>25</v>
      </c>
      <c r="D758" t="str">
        <f>"5746"</f>
        <v>5746</v>
      </c>
      <c r="E758" t="str">
        <f>"Расходы на охрану и сигнализацию"</f>
        <v>Расходы на охрану и сигнализацию</v>
      </c>
      <c r="F758" t="str">
        <f>""</f>
        <v/>
      </c>
      <c r="G758" t="str">
        <f>""</f>
        <v/>
      </c>
      <c r="H758" t="str">
        <f>""</f>
        <v/>
      </c>
      <c r="I758" s="2">
        <v>973644120.20000005</v>
      </c>
    </row>
    <row r="759" spans="1:9" x14ac:dyDescent="0.25">
      <c r="A759">
        <v>368</v>
      </c>
      <c r="B759" s="1">
        <v>45289</v>
      </c>
      <c r="C759">
        <v>25</v>
      </c>
      <c r="D759" t="str">
        <f>"5747"</f>
        <v>5747</v>
      </c>
      <c r="E759" t="str">
        <f>"Представительские расходы"</f>
        <v>Представительские расходы</v>
      </c>
      <c r="F759" t="str">
        <f>""</f>
        <v/>
      </c>
      <c r="G759" t="str">
        <f>""</f>
        <v/>
      </c>
      <c r="H759" t="str">
        <f>""</f>
        <v/>
      </c>
      <c r="I759" s="2">
        <v>17917907.960000001</v>
      </c>
    </row>
    <row r="760" spans="1:9" x14ac:dyDescent="0.25">
      <c r="A760">
        <v>795</v>
      </c>
      <c r="B760" s="1">
        <v>45289</v>
      </c>
      <c r="C760">
        <v>25</v>
      </c>
      <c r="D760" t="str">
        <f>"5748"</f>
        <v>5748</v>
      </c>
      <c r="E760" t="str">
        <f>"Прочие общехозяйственные расходы"</f>
        <v>Прочие общехозяйственные расходы</v>
      </c>
      <c r="F760" t="str">
        <f>""</f>
        <v/>
      </c>
      <c r="G760" t="str">
        <f>""</f>
        <v/>
      </c>
      <c r="H760" t="str">
        <f>""</f>
        <v/>
      </c>
      <c r="I760" s="2">
        <v>1468991478.8900001</v>
      </c>
    </row>
    <row r="761" spans="1:9" x14ac:dyDescent="0.25">
      <c r="A761">
        <v>362</v>
      </c>
      <c r="B761" s="1">
        <v>45289</v>
      </c>
      <c r="C761">
        <v>25</v>
      </c>
      <c r="D761" t="str">
        <f>"5749"</f>
        <v>5749</v>
      </c>
      <c r="E761" t="str">
        <f>"Расходы на служебные командировки"</f>
        <v>Расходы на служебные командировки</v>
      </c>
      <c r="F761" t="str">
        <f>""</f>
        <v/>
      </c>
      <c r="G761" t="str">
        <f>""</f>
        <v/>
      </c>
      <c r="H761" t="str">
        <f>""</f>
        <v/>
      </c>
      <c r="I761" s="2">
        <v>477090771.17000002</v>
      </c>
    </row>
    <row r="762" spans="1:9" x14ac:dyDescent="0.25">
      <c r="A762">
        <v>366</v>
      </c>
      <c r="B762" s="1">
        <v>45289</v>
      </c>
      <c r="C762">
        <v>25</v>
      </c>
      <c r="D762" t="str">
        <f>"5750"</f>
        <v>5750</v>
      </c>
      <c r="E762" t="str">
        <f>"Расходы по аудиту и консультационным услугам"</f>
        <v>Расходы по аудиту и консультационным услугам</v>
      </c>
      <c r="F762" t="str">
        <f>""</f>
        <v/>
      </c>
      <c r="G762" t="str">
        <f>""</f>
        <v/>
      </c>
      <c r="H762" t="str">
        <f>""</f>
        <v/>
      </c>
      <c r="I762" s="2">
        <v>368135117.38</v>
      </c>
    </row>
    <row r="763" spans="1:9" x14ac:dyDescent="0.25">
      <c r="A763">
        <v>363</v>
      </c>
      <c r="B763" s="1">
        <v>45289</v>
      </c>
      <c r="C763">
        <v>25</v>
      </c>
      <c r="D763" t="str">
        <f>"5752"</f>
        <v>5752</v>
      </c>
      <c r="E763" t="str">
        <f>"Расходы по страхованию"</f>
        <v>Расходы по страхованию</v>
      </c>
      <c r="F763" t="str">
        <f>""</f>
        <v/>
      </c>
      <c r="G763" t="str">
        <f>""</f>
        <v/>
      </c>
      <c r="H763" t="str">
        <f>""</f>
        <v/>
      </c>
      <c r="I763" s="2">
        <v>373365594.91000003</v>
      </c>
    </row>
    <row r="764" spans="1:9" x14ac:dyDescent="0.25">
      <c r="A764">
        <v>796</v>
      </c>
      <c r="B764" s="1">
        <v>45289</v>
      </c>
      <c r="C764">
        <v>25</v>
      </c>
      <c r="D764" t="str">
        <f>"5753"</f>
        <v>5753</v>
      </c>
      <c r="E764" t="str">
        <f>"Расходы по услугам связи"</f>
        <v>Расходы по услугам связи</v>
      </c>
      <c r="F764" t="str">
        <f>""</f>
        <v/>
      </c>
      <c r="G764" t="str">
        <f>""</f>
        <v/>
      </c>
      <c r="H764" t="str">
        <f>""</f>
        <v/>
      </c>
      <c r="I764" s="2">
        <v>1454414503.3599999</v>
      </c>
    </row>
    <row r="765" spans="1:9" x14ac:dyDescent="0.25">
      <c r="A765">
        <v>364</v>
      </c>
      <c r="B765" s="1">
        <v>45289</v>
      </c>
      <c r="C765">
        <v>25</v>
      </c>
      <c r="D765" t="str">
        <f>"5754"</f>
        <v>5754</v>
      </c>
      <c r="E765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765" t="str">
        <f>""</f>
        <v/>
      </c>
      <c r="G765" t="str">
        <f>""</f>
        <v/>
      </c>
      <c r="H765" t="str">
        <f>""</f>
        <v/>
      </c>
      <c r="I765" s="2">
        <v>1207888547</v>
      </c>
    </row>
    <row r="766" spans="1:9" x14ac:dyDescent="0.25">
      <c r="A766">
        <v>187</v>
      </c>
      <c r="B766" s="1">
        <v>45289</v>
      </c>
      <c r="C766">
        <v>25</v>
      </c>
      <c r="D766" t="str">
        <f>"5761"</f>
        <v>5761</v>
      </c>
      <c r="E766" t="str">
        <f>"Налог на добавленную стоимость"</f>
        <v>Налог на добавленную стоимость</v>
      </c>
      <c r="F766" t="str">
        <f>""</f>
        <v/>
      </c>
      <c r="G766" t="str">
        <f>""</f>
        <v/>
      </c>
      <c r="H766" t="str">
        <f>""</f>
        <v/>
      </c>
      <c r="I766" s="2">
        <v>2017624355.98</v>
      </c>
    </row>
    <row r="767" spans="1:9" x14ac:dyDescent="0.25">
      <c r="A767">
        <v>365</v>
      </c>
      <c r="B767" s="1">
        <v>45289</v>
      </c>
      <c r="C767">
        <v>25</v>
      </c>
      <c r="D767" t="str">
        <f>"5763"</f>
        <v>5763</v>
      </c>
      <c r="E767" t="str">
        <f>"Социальный налог"</f>
        <v>Социальный налог</v>
      </c>
      <c r="F767" t="str">
        <f>""</f>
        <v/>
      </c>
      <c r="G767" t="str">
        <f>""</f>
        <v/>
      </c>
      <c r="H767" t="str">
        <f>""</f>
        <v/>
      </c>
      <c r="I767" s="2">
        <v>2502904221.8899999</v>
      </c>
    </row>
    <row r="768" spans="1:9" x14ac:dyDescent="0.25">
      <c r="A768">
        <v>803</v>
      </c>
      <c r="B768" s="1">
        <v>45289</v>
      </c>
      <c r="C768">
        <v>25</v>
      </c>
      <c r="D768" t="str">
        <f>"5764"</f>
        <v>5764</v>
      </c>
      <c r="E768" t="str">
        <f>"Земельный налог"</f>
        <v>Земельный налог</v>
      </c>
      <c r="F768" t="str">
        <f>""</f>
        <v/>
      </c>
      <c r="G768" t="str">
        <f>""</f>
        <v/>
      </c>
      <c r="H768" t="str">
        <f>""</f>
        <v/>
      </c>
      <c r="I768" s="2">
        <v>26031390</v>
      </c>
    </row>
    <row r="769" spans="1:9" x14ac:dyDescent="0.25">
      <c r="A769">
        <v>798</v>
      </c>
      <c r="B769" s="1">
        <v>45289</v>
      </c>
      <c r="C769">
        <v>25</v>
      </c>
      <c r="D769" t="str">
        <f>"5765"</f>
        <v>5765</v>
      </c>
      <c r="E769" t="str">
        <f>"Налог на имущество юридических лиц"</f>
        <v>Налог на имущество юридических лиц</v>
      </c>
      <c r="F769" t="str">
        <f>""</f>
        <v/>
      </c>
      <c r="G769" t="str">
        <f>""</f>
        <v/>
      </c>
      <c r="H769" t="str">
        <f>""</f>
        <v/>
      </c>
      <c r="I769" s="2">
        <v>966499127</v>
      </c>
    </row>
    <row r="770" spans="1:9" x14ac:dyDescent="0.25">
      <c r="A770">
        <v>574</v>
      </c>
      <c r="B770" s="1">
        <v>45289</v>
      </c>
      <c r="C770">
        <v>25</v>
      </c>
      <c r="D770" t="str">
        <f>"5766"</f>
        <v>5766</v>
      </c>
      <c r="E770" t="str">
        <f>"Налог на транспортные средства"</f>
        <v>Налог на транспортные средства</v>
      </c>
      <c r="F770" t="str">
        <f>""</f>
        <v/>
      </c>
      <c r="G770" t="str">
        <f>""</f>
        <v/>
      </c>
      <c r="H770" t="str">
        <f>""</f>
        <v/>
      </c>
      <c r="I770" s="2">
        <v>9856878</v>
      </c>
    </row>
    <row r="771" spans="1:9" x14ac:dyDescent="0.25">
      <c r="A771">
        <v>807</v>
      </c>
      <c r="B771" s="1">
        <v>45289</v>
      </c>
      <c r="C771">
        <v>25</v>
      </c>
      <c r="D771" t="str">
        <f>"5768"</f>
        <v>5768</v>
      </c>
      <c r="E771" t="str">
        <f>"Прочие налоги и обязательные платежи в бюджет"</f>
        <v>Прочие налоги и обязательные платежи в бюджет</v>
      </c>
      <c r="F771" t="str">
        <f>""</f>
        <v/>
      </c>
      <c r="G771" t="str">
        <f>""</f>
        <v/>
      </c>
      <c r="H771" t="str">
        <f>""</f>
        <v/>
      </c>
      <c r="I771" s="2">
        <v>25424665.670000002</v>
      </c>
    </row>
    <row r="772" spans="1:9" x14ac:dyDescent="0.25">
      <c r="A772">
        <v>800</v>
      </c>
      <c r="B772" s="1">
        <v>45289</v>
      </c>
      <c r="C772">
        <v>25</v>
      </c>
      <c r="D772" t="str">
        <f>"5781"</f>
        <v>5781</v>
      </c>
      <c r="E772" t="str">
        <f>"Расходы по амортизации зданий и сооружений"</f>
        <v>Расходы по амортизации зданий и сооружений</v>
      </c>
      <c r="F772" t="str">
        <f>""</f>
        <v/>
      </c>
      <c r="G772" t="str">
        <f>""</f>
        <v/>
      </c>
      <c r="H772" t="str">
        <f>""</f>
        <v/>
      </c>
      <c r="I772" s="2">
        <v>1084692876.6800001</v>
      </c>
    </row>
    <row r="773" spans="1:9" x14ac:dyDescent="0.25">
      <c r="A773">
        <v>575</v>
      </c>
      <c r="B773" s="1">
        <v>45289</v>
      </c>
      <c r="C773">
        <v>25</v>
      </c>
      <c r="D773" t="str">
        <f>"5782"</f>
        <v>5782</v>
      </c>
      <c r="E773" t="str">
        <f>"Расходы по амортизации компьютерного оборудования"</f>
        <v>Расходы по амортизации компьютерного оборудования</v>
      </c>
      <c r="F773" t="str">
        <f>""</f>
        <v/>
      </c>
      <c r="G773" t="str">
        <f>""</f>
        <v/>
      </c>
      <c r="H773" t="str">
        <f>""</f>
        <v/>
      </c>
      <c r="I773" s="2">
        <v>736994180.39999998</v>
      </c>
    </row>
    <row r="774" spans="1:9" x14ac:dyDescent="0.25">
      <c r="A774">
        <v>808</v>
      </c>
      <c r="B774" s="1">
        <v>45289</v>
      </c>
      <c r="C774">
        <v>25</v>
      </c>
      <c r="D774" t="str">
        <f>"5783"</f>
        <v>5783</v>
      </c>
      <c r="E774" t="str">
        <f>"Расходы по амортизации прочих основных средств"</f>
        <v>Расходы по амортизации прочих основных средств</v>
      </c>
      <c r="F774" t="str">
        <f>""</f>
        <v/>
      </c>
      <c r="G774" t="str">
        <f>""</f>
        <v/>
      </c>
      <c r="H774" t="str">
        <f>""</f>
        <v/>
      </c>
      <c r="I774" s="2">
        <v>2924121981.4499998</v>
      </c>
    </row>
    <row r="775" spans="1:9" x14ac:dyDescent="0.25">
      <c r="A775">
        <v>91</v>
      </c>
      <c r="B775" s="1">
        <v>45289</v>
      </c>
      <c r="C775">
        <v>25</v>
      </c>
      <c r="D775" t="str">
        <f>"5784"</f>
        <v>5784</v>
      </c>
      <c r="E775" t="str">
        <f>"Расходы по амортизации активов в форме права пользования"</f>
        <v>Расходы по амортизации активов в форме права пользования</v>
      </c>
      <c r="F775" t="str">
        <f>""</f>
        <v/>
      </c>
      <c r="G775" t="str">
        <f>""</f>
        <v/>
      </c>
      <c r="H775" t="str">
        <f>""</f>
        <v/>
      </c>
      <c r="I775" s="2">
        <v>549500039.53999996</v>
      </c>
    </row>
    <row r="776" spans="1:9" x14ac:dyDescent="0.25">
      <c r="A776">
        <v>797</v>
      </c>
      <c r="B776" s="1">
        <v>45289</v>
      </c>
      <c r="C776">
        <v>25</v>
      </c>
      <c r="D776" t="str">
        <f>"5786"</f>
        <v>5786</v>
      </c>
      <c r="E776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776" t="str">
        <f>""</f>
        <v/>
      </c>
      <c r="G776" t="str">
        <f>""</f>
        <v/>
      </c>
      <c r="H776" t="str">
        <f>""</f>
        <v/>
      </c>
      <c r="I776" s="2">
        <v>323721430</v>
      </c>
    </row>
    <row r="777" spans="1:9" x14ac:dyDescent="0.25">
      <c r="A777">
        <v>189</v>
      </c>
      <c r="B777" s="1">
        <v>45289</v>
      </c>
      <c r="C777">
        <v>25</v>
      </c>
      <c r="D777" t="str">
        <f>"5787"</f>
        <v>5787</v>
      </c>
      <c r="E777" t="str">
        <f>"Расходы по амортизации транспортных средств"</f>
        <v>Расходы по амортизации транспортных средств</v>
      </c>
      <c r="F777" t="str">
        <f>""</f>
        <v/>
      </c>
      <c r="G777" t="str">
        <f>""</f>
        <v/>
      </c>
      <c r="H777" t="str">
        <f>""</f>
        <v/>
      </c>
      <c r="I777" s="2">
        <v>82205157.400000006</v>
      </c>
    </row>
    <row r="778" spans="1:9" x14ac:dyDescent="0.25">
      <c r="A778">
        <v>5</v>
      </c>
      <c r="B778" s="1">
        <v>45289</v>
      </c>
      <c r="C778">
        <v>25</v>
      </c>
      <c r="D778" t="str">
        <f>"5788"</f>
        <v>5788</v>
      </c>
      <c r="E778" t="str">
        <f>"Расходы по амортизации нематериальных активов"</f>
        <v>Расходы по амортизации нематериальных активов</v>
      </c>
      <c r="F778" t="str">
        <f>""</f>
        <v/>
      </c>
      <c r="G778" t="str">
        <f>""</f>
        <v/>
      </c>
      <c r="H778" t="str">
        <f>""</f>
        <v/>
      </c>
      <c r="I778" s="2">
        <v>3044244427.8200002</v>
      </c>
    </row>
    <row r="779" spans="1:9" x14ac:dyDescent="0.25">
      <c r="A779">
        <v>191</v>
      </c>
      <c r="B779" s="1">
        <v>45289</v>
      </c>
      <c r="C779">
        <v>25</v>
      </c>
      <c r="D779" t="str">
        <f>"5852"</f>
        <v>5852</v>
      </c>
      <c r="E779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779" t="str">
        <f>""</f>
        <v/>
      </c>
      <c r="G779" t="str">
        <f>""</f>
        <v/>
      </c>
      <c r="H779" t="str">
        <f>""</f>
        <v/>
      </c>
      <c r="I779" s="2">
        <v>152845486.00999999</v>
      </c>
    </row>
    <row r="780" spans="1:9" x14ac:dyDescent="0.25">
      <c r="A780">
        <v>809</v>
      </c>
      <c r="B780" s="1">
        <v>45289</v>
      </c>
      <c r="C780">
        <v>25</v>
      </c>
      <c r="D780" t="str">
        <f>"5854"</f>
        <v>5854</v>
      </c>
      <c r="E780" t="str">
        <f>"Расходы от реализации запасов"</f>
        <v>Расходы от реализации запасов</v>
      </c>
      <c r="F780" t="str">
        <f>""</f>
        <v/>
      </c>
      <c r="G780" t="str">
        <f>""</f>
        <v/>
      </c>
      <c r="H780" t="str">
        <f>""</f>
        <v/>
      </c>
      <c r="I780" s="2">
        <v>196444999.78999999</v>
      </c>
    </row>
    <row r="781" spans="1:9" x14ac:dyDescent="0.25">
      <c r="A781">
        <v>810</v>
      </c>
      <c r="B781" s="1">
        <v>45289</v>
      </c>
      <c r="C781">
        <v>25</v>
      </c>
      <c r="D781" t="str">
        <f>"5892"</f>
        <v>5892</v>
      </c>
      <c r="E781" t="str">
        <f>"Расходы по операциям форвард"</f>
        <v>Расходы по операциям форвард</v>
      </c>
      <c r="F781" t="str">
        <f>""</f>
        <v/>
      </c>
      <c r="G781" t="str">
        <f>""</f>
        <v/>
      </c>
      <c r="H781" t="str">
        <f>""</f>
        <v/>
      </c>
      <c r="I781" s="2">
        <v>312117964.39999998</v>
      </c>
    </row>
    <row r="782" spans="1:9" x14ac:dyDescent="0.25">
      <c r="A782">
        <v>192</v>
      </c>
      <c r="B782" s="1">
        <v>45289</v>
      </c>
      <c r="C782">
        <v>25</v>
      </c>
      <c r="D782" t="str">
        <f>"5895"</f>
        <v>5895</v>
      </c>
      <c r="E782" t="str">
        <f>"Расходы по операциям своп"</f>
        <v>Расходы по операциям своп</v>
      </c>
      <c r="F782" t="str">
        <f>""</f>
        <v/>
      </c>
      <c r="G782" t="str">
        <f>""</f>
        <v/>
      </c>
      <c r="H782" t="str">
        <f>""</f>
        <v/>
      </c>
      <c r="I782" s="2">
        <v>25387874916.130001</v>
      </c>
    </row>
    <row r="783" spans="1:9" x14ac:dyDescent="0.25">
      <c r="A783">
        <v>804</v>
      </c>
      <c r="B783" s="1">
        <v>45289</v>
      </c>
      <c r="C783">
        <v>25</v>
      </c>
      <c r="D783" t="str">
        <f>"5900"</f>
        <v>5900</v>
      </c>
      <c r="E783" t="str">
        <f>"Неустойка (штраф, пеня)"</f>
        <v>Неустойка (штраф, пеня)</v>
      </c>
      <c r="F783" t="str">
        <f>""</f>
        <v/>
      </c>
      <c r="G783" t="str">
        <f>""</f>
        <v/>
      </c>
      <c r="H783" t="str">
        <f>""</f>
        <v/>
      </c>
      <c r="I783" s="2">
        <v>48756722.689999998</v>
      </c>
    </row>
    <row r="784" spans="1:9" x14ac:dyDescent="0.25">
      <c r="A784">
        <v>373</v>
      </c>
      <c r="B784" s="1">
        <v>45289</v>
      </c>
      <c r="C784">
        <v>25</v>
      </c>
      <c r="D784" t="str">
        <f>"5921"</f>
        <v>5921</v>
      </c>
      <c r="E784" t="str">
        <f>"Прочие расходы от банковской деятельности"</f>
        <v>Прочие расходы от банковской деятельности</v>
      </c>
      <c r="F784" t="str">
        <f>""</f>
        <v/>
      </c>
      <c r="G784" t="str">
        <f>""</f>
        <v/>
      </c>
      <c r="H784" t="str">
        <f>""</f>
        <v/>
      </c>
      <c r="I784" s="2">
        <v>24060031797.529999</v>
      </c>
    </row>
    <row r="785" spans="1:9" x14ac:dyDescent="0.25">
      <c r="A785">
        <v>193</v>
      </c>
      <c r="B785" s="1">
        <v>45289</v>
      </c>
      <c r="C785">
        <v>25</v>
      </c>
      <c r="D785" t="str">
        <f>"5922"</f>
        <v>5922</v>
      </c>
      <c r="E785" t="str">
        <f>"Прочие расходы от неосновной деятельности"</f>
        <v>Прочие расходы от неосновной деятельности</v>
      </c>
      <c r="F785" t="str">
        <f>""</f>
        <v/>
      </c>
      <c r="G785" t="str">
        <f>""</f>
        <v/>
      </c>
      <c r="H785" t="str">
        <f>""</f>
        <v/>
      </c>
      <c r="I785" s="2">
        <v>8111897856.0900002</v>
      </c>
    </row>
    <row r="786" spans="1:9" x14ac:dyDescent="0.25">
      <c r="A786">
        <v>806</v>
      </c>
      <c r="B786" s="1">
        <v>45289</v>
      </c>
      <c r="C786">
        <v>25</v>
      </c>
      <c r="D786" t="str">
        <f>"5923"</f>
        <v>5923</v>
      </c>
      <c r="E786" t="str">
        <f>"Расходы по аренде"</f>
        <v>Расходы по аренде</v>
      </c>
      <c r="F786" t="str">
        <f>""</f>
        <v/>
      </c>
      <c r="G786" t="str">
        <f>""</f>
        <v/>
      </c>
      <c r="H786" t="str">
        <f>""</f>
        <v/>
      </c>
      <c r="I786" s="2">
        <v>294221810.63999999</v>
      </c>
    </row>
    <row r="787" spans="1:9" x14ac:dyDescent="0.25">
      <c r="A787">
        <v>801</v>
      </c>
      <c r="B787" s="1">
        <v>45289</v>
      </c>
      <c r="C787">
        <v>25</v>
      </c>
      <c r="D787" t="str">
        <f>"5999"</f>
        <v>5999</v>
      </c>
      <c r="E787" t="str">
        <f>"Корпоративный подоходный налог"</f>
        <v>Корпоративный подоходный налог</v>
      </c>
      <c r="F787" t="str">
        <f>""</f>
        <v/>
      </c>
      <c r="G787" t="str">
        <f>""</f>
        <v/>
      </c>
      <c r="H787" t="str">
        <f>""</f>
        <v/>
      </c>
      <c r="I787" s="2">
        <v>3746579714</v>
      </c>
    </row>
    <row r="788" spans="1:9" x14ac:dyDescent="0.25">
      <c r="A788">
        <v>459</v>
      </c>
      <c r="B788" s="1">
        <v>45289</v>
      </c>
      <c r="C788">
        <v>25</v>
      </c>
      <c r="D788" t="str">
        <f>"6005"</f>
        <v>6005</v>
      </c>
      <c r="E788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788" t="str">
        <f>""</f>
        <v/>
      </c>
      <c r="G788" t="str">
        <f>""</f>
        <v/>
      </c>
      <c r="H788" t="str">
        <f>""</f>
        <v/>
      </c>
      <c r="I788" s="2">
        <v>1293290897.0999999</v>
      </c>
    </row>
    <row r="789" spans="1:9" x14ac:dyDescent="0.25">
      <c r="A789">
        <v>369</v>
      </c>
      <c r="B789" s="1">
        <v>45289</v>
      </c>
      <c r="C789">
        <v>25</v>
      </c>
      <c r="D789" t="str">
        <f>"6020"</f>
        <v>6020</v>
      </c>
      <c r="E789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789" t="str">
        <f>""</f>
        <v/>
      </c>
      <c r="G789" t="str">
        <f>""</f>
        <v/>
      </c>
      <c r="H789" t="str">
        <f>""</f>
        <v/>
      </c>
      <c r="I789" s="2">
        <v>452103325</v>
      </c>
    </row>
    <row r="790" spans="1:9" x14ac:dyDescent="0.25">
      <c r="A790">
        <v>811</v>
      </c>
      <c r="B790" s="1">
        <v>45289</v>
      </c>
      <c r="C790">
        <v>25</v>
      </c>
      <c r="D790" t="str">
        <f>"6055"</f>
        <v>6055</v>
      </c>
      <c r="E790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790" t="str">
        <f>""</f>
        <v/>
      </c>
      <c r="G790" t="str">
        <f>""</f>
        <v/>
      </c>
      <c r="H790" t="str">
        <f>""</f>
        <v/>
      </c>
      <c r="I790" s="2">
        <v>105329336597.49001</v>
      </c>
    </row>
    <row r="791" spans="1:9" x14ac:dyDescent="0.25">
      <c r="A791">
        <v>576</v>
      </c>
      <c r="B791" s="1">
        <v>45289</v>
      </c>
      <c r="C791">
        <v>25</v>
      </c>
      <c r="D791" t="str">
        <f>"6075"</f>
        <v>6075</v>
      </c>
      <c r="E791" t="str">
        <f>"Возможные требования по принятым гарантиям"</f>
        <v>Возможные требования по принятым гарантиям</v>
      </c>
      <c r="F791" t="str">
        <f>""</f>
        <v/>
      </c>
      <c r="G791" t="str">
        <f>""</f>
        <v/>
      </c>
      <c r="H791" t="str">
        <f>""</f>
        <v/>
      </c>
      <c r="I791" s="2">
        <v>4022888010095.1099</v>
      </c>
    </row>
    <row r="792" spans="1:9" x14ac:dyDescent="0.25">
      <c r="A792">
        <v>805</v>
      </c>
      <c r="B792" s="1">
        <v>45289</v>
      </c>
      <c r="C792">
        <v>25</v>
      </c>
      <c r="D792" t="str">
        <f>"6105"</f>
        <v>6105</v>
      </c>
      <c r="E792" t="str">
        <f>"Будущие требования по размещаемым вкладам"</f>
        <v>Будущие требования по размещаемым вкладам</v>
      </c>
      <c r="F792" t="str">
        <f>""</f>
        <v/>
      </c>
      <c r="G792" t="str">
        <f>""</f>
        <v/>
      </c>
      <c r="H792" t="str">
        <f>""</f>
        <v/>
      </c>
      <c r="I792" s="2">
        <v>350000000000</v>
      </c>
    </row>
    <row r="793" spans="1:9" x14ac:dyDescent="0.25">
      <c r="A793">
        <v>374</v>
      </c>
      <c r="B793" s="1">
        <v>45289</v>
      </c>
      <c r="C793">
        <v>25</v>
      </c>
      <c r="D793" t="str">
        <f>"6126"</f>
        <v>6126</v>
      </c>
      <c r="E793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793" t="str">
        <f>""</f>
        <v/>
      </c>
      <c r="G793" t="str">
        <f>""</f>
        <v/>
      </c>
      <c r="H793" t="str">
        <f>""</f>
        <v/>
      </c>
      <c r="I793" s="2">
        <v>503297687414.67999</v>
      </c>
    </row>
    <row r="794" spans="1:9" x14ac:dyDescent="0.25">
      <c r="A794">
        <v>92</v>
      </c>
      <c r="B794" s="1">
        <v>45289</v>
      </c>
      <c r="C794">
        <v>25</v>
      </c>
      <c r="D794" t="str">
        <f>"6155"</f>
        <v>6155</v>
      </c>
      <c r="E794" t="str">
        <f>"Условные требования по получению вкладов в будущем"</f>
        <v>Условные требования по получению вкладов в будущем</v>
      </c>
      <c r="F794" t="str">
        <f>""</f>
        <v/>
      </c>
      <c r="G794" t="str">
        <f>""</f>
        <v/>
      </c>
      <c r="H794" t="str">
        <f>""</f>
        <v/>
      </c>
      <c r="I794" s="2">
        <v>37617489692.480003</v>
      </c>
    </row>
    <row r="795" spans="1:9" x14ac:dyDescent="0.25">
      <c r="A795">
        <v>376</v>
      </c>
      <c r="B795" s="1">
        <v>45289</v>
      </c>
      <c r="C795">
        <v>25</v>
      </c>
      <c r="D795" t="str">
        <f>"6177"</f>
        <v>6177</v>
      </c>
      <c r="E795" t="str">
        <f>"Условные требования по предоставленным займам"</f>
        <v>Условные требования по предоставленным займам</v>
      </c>
      <c r="F795" t="str">
        <f>""</f>
        <v/>
      </c>
      <c r="G795" t="str">
        <f>""</f>
        <v/>
      </c>
      <c r="H795" t="str">
        <f>""</f>
        <v/>
      </c>
      <c r="I795" s="2">
        <v>25588870.649999999</v>
      </c>
    </row>
    <row r="796" spans="1:9" x14ac:dyDescent="0.25">
      <c r="A796">
        <v>577</v>
      </c>
      <c r="B796" s="1">
        <v>45289</v>
      </c>
      <c r="C796">
        <v>25</v>
      </c>
      <c r="D796" t="str">
        <f>"6205"</f>
        <v>6205</v>
      </c>
      <c r="E796" t="str">
        <f>"Условные требования по покупке ценных бумаг"</f>
        <v>Условные требования по покупке ценных бумаг</v>
      </c>
      <c r="F796" t="str">
        <f>""</f>
        <v/>
      </c>
      <c r="G796" t="str">
        <f>""</f>
        <v/>
      </c>
      <c r="H796" t="str">
        <f>""</f>
        <v/>
      </c>
      <c r="I796" s="2">
        <v>470000</v>
      </c>
    </row>
    <row r="797" spans="1:9" x14ac:dyDescent="0.25">
      <c r="A797">
        <v>93</v>
      </c>
      <c r="B797" s="1">
        <v>45289</v>
      </c>
      <c r="C797">
        <v>25</v>
      </c>
      <c r="D797" t="str">
        <f>"6405"</f>
        <v>6405</v>
      </c>
      <c r="E797" t="str">
        <f>"Условные требования по купле-продаже иностранной валюты"</f>
        <v>Условные требования по купле-продаже иностранной валюты</v>
      </c>
      <c r="F797" t="str">
        <f>""</f>
        <v/>
      </c>
      <c r="G797" t="str">
        <f>""</f>
        <v/>
      </c>
      <c r="H797" t="str">
        <f>""</f>
        <v/>
      </c>
      <c r="I797" s="2">
        <v>5156174224.6700001</v>
      </c>
    </row>
    <row r="798" spans="1:9" x14ac:dyDescent="0.25">
      <c r="A798">
        <v>377</v>
      </c>
      <c r="B798" s="1">
        <v>45289</v>
      </c>
      <c r="C798">
        <v>25</v>
      </c>
      <c r="D798" t="str">
        <f>"6505"</f>
        <v>6505</v>
      </c>
      <c r="E798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798" t="str">
        <f>""</f>
        <v/>
      </c>
      <c r="G798" t="str">
        <f>""</f>
        <v/>
      </c>
      <c r="H798" t="str">
        <f>""</f>
        <v/>
      </c>
      <c r="I798" s="2">
        <v>1293290897.0999999</v>
      </c>
    </row>
    <row r="799" spans="1:9" x14ac:dyDescent="0.25">
      <c r="A799">
        <v>812</v>
      </c>
      <c r="B799" s="1">
        <v>45289</v>
      </c>
      <c r="C799">
        <v>25</v>
      </c>
      <c r="D799" t="str">
        <f>"6520"</f>
        <v>6520</v>
      </c>
      <c r="E799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799" t="str">
        <f>""</f>
        <v/>
      </c>
      <c r="G799" t="str">
        <f>""</f>
        <v/>
      </c>
      <c r="H799" t="str">
        <f>""</f>
        <v/>
      </c>
      <c r="I799" s="2">
        <v>452103325</v>
      </c>
    </row>
    <row r="800" spans="1:9" x14ac:dyDescent="0.25">
      <c r="A800">
        <v>194</v>
      </c>
      <c r="B800" s="1">
        <v>45289</v>
      </c>
      <c r="C800">
        <v>25</v>
      </c>
      <c r="D800" t="str">
        <f>"6555"</f>
        <v>6555</v>
      </c>
      <c r="E800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800" t="str">
        <f>""</f>
        <v/>
      </c>
      <c r="G800" t="str">
        <f>""</f>
        <v/>
      </c>
      <c r="H800" t="str">
        <f>""</f>
        <v/>
      </c>
      <c r="I800" s="2">
        <v>105329336597.49001</v>
      </c>
    </row>
    <row r="801" spans="1:9" x14ac:dyDescent="0.25">
      <c r="A801">
        <v>813</v>
      </c>
      <c r="B801" s="1">
        <v>45289</v>
      </c>
      <c r="C801">
        <v>25</v>
      </c>
      <c r="D801" t="str">
        <f>"6575"</f>
        <v>6575</v>
      </c>
      <c r="E801" t="str">
        <f>"Возможное уменьшение требований по принятым гарантиям"</f>
        <v>Возможное уменьшение требований по принятым гарантиям</v>
      </c>
      <c r="F801" t="str">
        <f>""</f>
        <v/>
      </c>
      <c r="G801" t="str">
        <f>""</f>
        <v/>
      </c>
      <c r="H801" t="str">
        <f>""</f>
        <v/>
      </c>
      <c r="I801" s="2">
        <v>4022888010095.1099</v>
      </c>
    </row>
    <row r="802" spans="1:9" x14ac:dyDescent="0.25">
      <c r="A802">
        <v>578</v>
      </c>
      <c r="B802" s="1">
        <v>45289</v>
      </c>
      <c r="C802">
        <v>25</v>
      </c>
      <c r="D802" t="str">
        <f>"6605"</f>
        <v>6605</v>
      </c>
      <c r="E802" t="str">
        <f>"Условные обязательства по размещению вкладов в будущем"</f>
        <v>Условные обязательства по размещению вкладов в будущем</v>
      </c>
      <c r="F802" t="str">
        <f>""</f>
        <v/>
      </c>
      <c r="G802" t="str">
        <f>""</f>
        <v/>
      </c>
      <c r="H802" t="str">
        <f>""</f>
        <v/>
      </c>
      <c r="I802" s="2">
        <v>350000000000</v>
      </c>
    </row>
    <row r="803" spans="1:9" x14ac:dyDescent="0.25">
      <c r="A803">
        <v>195</v>
      </c>
      <c r="B803" s="1">
        <v>45289</v>
      </c>
      <c r="C803">
        <v>25</v>
      </c>
      <c r="D803" t="str">
        <f>"6626"</f>
        <v>6626</v>
      </c>
      <c r="E803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803" t="str">
        <f>""</f>
        <v/>
      </c>
      <c r="G803" t="str">
        <f>""</f>
        <v/>
      </c>
      <c r="H803" t="str">
        <f>""</f>
        <v/>
      </c>
      <c r="I803" s="2">
        <v>503297687414.67999</v>
      </c>
    </row>
    <row r="804" spans="1:9" x14ac:dyDescent="0.25">
      <c r="A804">
        <v>94</v>
      </c>
      <c r="B804" s="1">
        <v>45289</v>
      </c>
      <c r="C804">
        <v>25</v>
      </c>
      <c r="D804" t="str">
        <f>"6655"</f>
        <v>6655</v>
      </c>
      <c r="E804" t="str">
        <f>"Будущие обязательства по получаемым вкладам"</f>
        <v>Будущие обязательства по получаемым вкладам</v>
      </c>
      <c r="F804" t="str">
        <f>""</f>
        <v/>
      </c>
      <c r="G804" t="str">
        <f>""</f>
        <v/>
      </c>
      <c r="H804" t="str">
        <f>""</f>
        <v/>
      </c>
      <c r="I804" s="2">
        <v>37617489692.480003</v>
      </c>
    </row>
    <row r="805" spans="1:9" x14ac:dyDescent="0.25">
      <c r="A805">
        <v>196</v>
      </c>
      <c r="B805" s="1">
        <v>45289</v>
      </c>
      <c r="C805">
        <v>25</v>
      </c>
      <c r="D805" t="str">
        <f>"6677"</f>
        <v>6677</v>
      </c>
      <c r="E805" t="str">
        <f>"Условные обязательства по предоставленным займам"</f>
        <v>Условные обязательства по предоставленным займам</v>
      </c>
      <c r="F805" t="str">
        <f>""</f>
        <v/>
      </c>
      <c r="G805" t="str">
        <f>""</f>
        <v/>
      </c>
      <c r="H805" t="str">
        <f>""</f>
        <v/>
      </c>
      <c r="I805" s="2">
        <v>25588870.649999999</v>
      </c>
    </row>
    <row r="806" spans="1:9" x14ac:dyDescent="0.25">
      <c r="A806">
        <v>197</v>
      </c>
      <c r="B806" s="1">
        <v>45289</v>
      </c>
      <c r="C806">
        <v>25</v>
      </c>
      <c r="D806" t="str">
        <f>"6705"</f>
        <v>6705</v>
      </c>
      <c r="E806" t="str">
        <f>"Условные обязательства по покупке ценных бумаг"</f>
        <v>Условные обязательства по покупке ценных бумаг</v>
      </c>
      <c r="F806" t="str">
        <f>""</f>
        <v/>
      </c>
      <c r="G806" t="str">
        <f>""</f>
        <v/>
      </c>
      <c r="H806" t="str">
        <f>""</f>
        <v/>
      </c>
      <c r="I806" s="2">
        <v>470000</v>
      </c>
    </row>
    <row r="807" spans="1:9" x14ac:dyDescent="0.25">
      <c r="A807">
        <v>198</v>
      </c>
      <c r="B807" s="1">
        <v>45289</v>
      </c>
      <c r="C807">
        <v>25</v>
      </c>
      <c r="D807" t="str">
        <f>"6905"</f>
        <v>6905</v>
      </c>
      <c r="E807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807" t="str">
        <f>""</f>
        <v/>
      </c>
      <c r="G807" t="str">
        <f>""</f>
        <v/>
      </c>
      <c r="H807" t="str">
        <f>""</f>
        <v/>
      </c>
      <c r="I807" s="2">
        <v>5016942324.71</v>
      </c>
    </row>
    <row r="808" spans="1:9" x14ac:dyDescent="0.25">
      <c r="A808">
        <v>199</v>
      </c>
      <c r="B808" s="1">
        <v>45289</v>
      </c>
      <c r="C808">
        <v>25</v>
      </c>
      <c r="D808" t="str">
        <f>"6999"</f>
        <v>6999</v>
      </c>
      <c r="E808" t="str">
        <f>"Позиция по сделкам с иностранной валютой"</f>
        <v>Позиция по сделкам с иностранной валютой</v>
      </c>
      <c r="F808" t="str">
        <f>""</f>
        <v/>
      </c>
      <c r="G808" t="str">
        <f>""</f>
        <v/>
      </c>
      <c r="H808" t="str">
        <f>""</f>
        <v/>
      </c>
      <c r="I808" s="2">
        <v>139231899.96000001</v>
      </c>
    </row>
    <row r="809" spans="1:9" x14ac:dyDescent="0.25">
      <c r="A809">
        <v>818</v>
      </c>
      <c r="B809" s="1">
        <v>45289</v>
      </c>
      <c r="C809">
        <v>25</v>
      </c>
      <c r="D809" t="str">
        <f>"7110"</f>
        <v>7110</v>
      </c>
      <c r="E809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809" t="str">
        <f>""</f>
        <v/>
      </c>
      <c r="G809" t="str">
        <f>""</f>
        <v/>
      </c>
      <c r="H809" t="str">
        <f>""</f>
        <v/>
      </c>
      <c r="I809" s="2">
        <v>5</v>
      </c>
    </row>
    <row r="810" spans="1:9" x14ac:dyDescent="0.25">
      <c r="A810">
        <v>816</v>
      </c>
      <c r="B810" s="1">
        <v>45289</v>
      </c>
      <c r="C810">
        <v>25</v>
      </c>
      <c r="D810" t="str">
        <f>"7150"</f>
        <v>7150</v>
      </c>
      <c r="E810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810" t="str">
        <f>""</f>
        <v/>
      </c>
      <c r="G810" t="str">
        <f>""</f>
        <v/>
      </c>
      <c r="H810" t="str">
        <f>""</f>
        <v/>
      </c>
      <c r="I810" s="2">
        <v>252</v>
      </c>
    </row>
    <row r="811" spans="1:9" x14ac:dyDescent="0.25">
      <c r="A811">
        <v>817</v>
      </c>
      <c r="B811" s="1">
        <v>45289</v>
      </c>
      <c r="C811">
        <v>25</v>
      </c>
      <c r="D811" t="str">
        <f>"7220"</f>
        <v>7220</v>
      </c>
      <c r="E811" t="str">
        <f>"Арендованные активы"</f>
        <v>Арендованные активы</v>
      </c>
      <c r="F811" t="str">
        <f>""</f>
        <v/>
      </c>
      <c r="G811" t="str">
        <f>""</f>
        <v/>
      </c>
      <c r="H811" t="str">
        <f>""</f>
        <v/>
      </c>
      <c r="I811" s="2">
        <v>249360797.13</v>
      </c>
    </row>
    <row r="812" spans="1:9" x14ac:dyDescent="0.25">
      <c r="A812">
        <v>814</v>
      </c>
      <c r="B812" s="1">
        <v>45289</v>
      </c>
      <c r="C812">
        <v>25</v>
      </c>
      <c r="D812" t="str">
        <f>"7240"</f>
        <v>7240</v>
      </c>
      <c r="E812" t="str">
        <f>"Документы и ценности, принятые на инкассо"</f>
        <v>Документы и ценности, принятые на инкассо</v>
      </c>
      <c r="F812" t="str">
        <f>""</f>
        <v/>
      </c>
      <c r="G812" t="str">
        <f>""</f>
        <v/>
      </c>
      <c r="H812" t="str">
        <f>""</f>
        <v/>
      </c>
      <c r="I812" s="2">
        <v>949</v>
      </c>
    </row>
    <row r="813" spans="1:9" x14ac:dyDescent="0.25">
      <c r="A813">
        <v>579</v>
      </c>
      <c r="B813" s="1">
        <v>45289</v>
      </c>
      <c r="C813">
        <v>25</v>
      </c>
      <c r="D813" t="str">
        <f>"7250"</f>
        <v>7250</v>
      </c>
      <c r="E813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813" t="str">
        <f>""</f>
        <v/>
      </c>
      <c r="G813" t="str">
        <f>""</f>
        <v/>
      </c>
      <c r="H813" t="str">
        <f>""</f>
        <v/>
      </c>
      <c r="I813" s="2">
        <v>2018211015080.0801</v>
      </c>
    </row>
    <row r="814" spans="1:9" x14ac:dyDescent="0.25">
      <c r="A814">
        <v>815</v>
      </c>
      <c r="B814" s="1">
        <v>45289</v>
      </c>
      <c r="C814">
        <v>25</v>
      </c>
      <c r="D814" t="str">
        <f>"7303"</f>
        <v>7303</v>
      </c>
      <c r="E814" t="str">
        <f>"Платежные документы, не оплаченные в срок"</f>
        <v>Платежные документы, не оплаченные в срок</v>
      </c>
      <c r="F814" t="str">
        <f>""</f>
        <v/>
      </c>
      <c r="G814" t="str">
        <f>""</f>
        <v/>
      </c>
      <c r="H814" t="str">
        <f>""</f>
        <v/>
      </c>
      <c r="I814" s="2">
        <v>2774738718858.5498</v>
      </c>
    </row>
    <row r="815" spans="1:9" x14ac:dyDescent="0.25">
      <c r="A815">
        <v>462</v>
      </c>
      <c r="B815" s="1">
        <v>45289</v>
      </c>
      <c r="C815">
        <v>25</v>
      </c>
      <c r="D815" t="str">
        <f>"7339"</f>
        <v>7339</v>
      </c>
      <c r="E815" t="str">
        <f>"Разные ценности и документы"</f>
        <v>Разные ценности и документы</v>
      </c>
      <c r="F815" t="str">
        <f>""</f>
        <v/>
      </c>
      <c r="G815" t="str">
        <f>""</f>
        <v/>
      </c>
      <c r="H815" t="str">
        <f>""</f>
        <v/>
      </c>
      <c r="I815" s="2">
        <v>149670638246.70001</v>
      </c>
    </row>
    <row r="816" spans="1:9" x14ac:dyDescent="0.25">
      <c r="A816">
        <v>461</v>
      </c>
      <c r="B816" s="1">
        <v>45289</v>
      </c>
      <c r="C816">
        <v>25</v>
      </c>
      <c r="D816" t="str">
        <f>"7342"</f>
        <v>7342</v>
      </c>
      <c r="E816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816" t="str">
        <f>""</f>
        <v/>
      </c>
      <c r="G816" t="str">
        <f>""</f>
        <v/>
      </c>
      <c r="H816" t="str">
        <f>""</f>
        <v/>
      </c>
      <c r="I816" s="2">
        <v>334170</v>
      </c>
    </row>
    <row r="817" spans="1:9" x14ac:dyDescent="0.25">
      <c r="A817">
        <v>95</v>
      </c>
      <c r="B817" s="1">
        <v>45289</v>
      </c>
      <c r="C817">
        <v>25</v>
      </c>
      <c r="D817" t="str">
        <f>"7535"</f>
        <v>7535</v>
      </c>
      <c r="E817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817" t="str">
        <f>""</f>
        <v/>
      </c>
      <c r="G817" t="str">
        <f>""</f>
        <v/>
      </c>
      <c r="H817" t="str">
        <f>""</f>
        <v/>
      </c>
      <c r="I817" s="2">
        <v>25176335.890000001</v>
      </c>
    </row>
    <row r="818" spans="1:9" x14ac:dyDescent="0.25">
      <c r="A818">
        <v>378</v>
      </c>
      <c r="B818" s="1">
        <v>45289</v>
      </c>
      <c r="C818">
        <v>25</v>
      </c>
      <c r="D818" t="str">
        <f>"7536"</f>
        <v>7536</v>
      </c>
      <c r="E818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818" t="str">
        <f>""</f>
        <v/>
      </c>
      <c r="G818" t="str">
        <f>""</f>
        <v/>
      </c>
      <c r="H818" t="str">
        <f>""</f>
        <v/>
      </c>
      <c r="I818" s="2">
        <v>312042.78000000003</v>
      </c>
    </row>
    <row r="819" spans="1:9" x14ac:dyDescent="0.25">
      <c r="A819">
        <v>96</v>
      </c>
      <c r="B819" s="1">
        <v>45289</v>
      </c>
      <c r="C819">
        <v>25</v>
      </c>
      <c r="D819" t="str">
        <f>"7544"</f>
        <v>7544</v>
      </c>
      <c r="E819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819" t="str">
        <f>""</f>
        <v/>
      </c>
      <c r="G819" t="str">
        <f>""</f>
        <v/>
      </c>
      <c r="H819" t="str">
        <f>""</f>
        <v/>
      </c>
      <c r="I819" s="2">
        <v>100491.98</v>
      </c>
    </row>
    <row r="820" spans="1:9" x14ac:dyDescent="0.25">
      <c r="A820">
        <v>460</v>
      </c>
      <c r="B820" s="1">
        <v>45289</v>
      </c>
      <c r="C820">
        <v>25</v>
      </c>
      <c r="D820" t="str">
        <f>"7611"</f>
        <v>7611</v>
      </c>
      <c r="E820" t="str">
        <f>"Прочие требования"</f>
        <v>Прочие требования</v>
      </c>
      <c r="F820" t="str">
        <f>""</f>
        <v/>
      </c>
      <c r="G820" t="str">
        <f>""</f>
        <v/>
      </c>
      <c r="H820" t="str">
        <f>""</f>
        <v/>
      </c>
      <c r="I820" s="2">
        <v>61671786282.199997</v>
      </c>
    </row>
    <row r="821" spans="1:9" x14ac:dyDescent="0.25">
      <c r="A821">
        <v>379</v>
      </c>
      <c r="B821" s="1">
        <v>45289</v>
      </c>
      <c r="C821">
        <v>25</v>
      </c>
      <c r="D821" t="str">
        <f>"7811"</f>
        <v>7811</v>
      </c>
      <c r="E821" t="str">
        <f>"Требования по активам, переданным в лизинг (аренду)"</f>
        <v>Требования по активам, переданным в лизинг (аренду)</v>
      </c>
      <c r="F821" t="str">
        <f>""</f>
        <v/>
      </c>
      <c r="G821" t="str">
        <f>""</f>
        <v/>
      </c>
      <c r="H821" t="str">
        <f>""</f>
        <v/>
      </c>
      <c r="I821" s="2">
        <v>895255861.46000004</v>
      </c>
    </row>
  </sheetData>
  <sortState ref="A2:J858">
    <sortCondition ref="D2:D858"/>
    <sortCondition ref="F2:F858"/>
    <sortCondition ref="G2:G858"/>
    <sortCondition ref="H2:H8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Azatova, Aygul (Fortebank)</dc:creator>
  <cp:lastModifiedBy>Mussazhanova, Gulim (Fortebank)</cp:lastModifiedBy>
  <dcterms:created xsi:type="dcterms:W3CDTF">2022-02-17T06:00:11Z</dcterms:created>
  <dcterms:modified xsi:type="dcterms:W3CDTF">2024-01-15T08:41:22Z</dcterms:modified>
</cp:coreProperties>
</file>