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0309\Desktop\Farida_2022\is2in\"/>
    </mc:Choice>
  </mc:AlternateContent>
  <bookViews>
    <workbookView xWindow="0" yWindow="0" windowWidth="28800" windowHeight="11700"/>
  </bookViews>
  <sheets>
    <sheet name="working" sheetId="1" r:id="rId1"/>
  </sheets>
  <definedNames>
    <definedName name="_xlnm._FilterDatabase" localSheetId="0" hidden="1">working!$A$1:$I$187</definedName>
  </definedNames>
  <calcPr calcId="162913"/>
</workbook>
</file>

<file path=xl/calcChain.xml><?xml version="1.0" encoding="utf-8"?>
<calcChain xmlns="http://schemas.openxmlformats.org/spreadsheetml/2006/main">
  <c r="I188" i="1" l="1"/>
  <c r="D16" i="1" l="1"/>
  <c r="E16" i="1"/>
  <c r="F16" i="1"/>
  <c r="G16" i="1"/>
  <c r="H16" i="1"/>
  <c r="D41" i="1"/>
  <c r="E41" i="1"/>
  <c r="F41" i="1"/>
  <c r="G41" i="1"/>
  <c r="H41" i="1"/>
  <c r="D26" i="1"/>
  <c r="E26" i="1"/>
  <c r="F26" i="1"/>
  <c r="G26" i="1"/>
  <c r="H26" i="1"/>
  <c r="D185" i="1"/>
  <c r="E185" i="1"/>
  <c r="F185" i="1"/>
  <c r="G185" i="1"/>
  <c r="H185" i="1"/>
  <c r="D40" i="1"/>
  <c r="E40" i="1"/>
  <c r="F40" i="1"/>
  <c r="G40" i="1"/>
  <c r="H40" i="1"/>
  <c r="D126" i="1"/>
  <c r="E126" i="1"/>
  <c r="F126" i="1"/>
  <c r="G126" i="1"/>
  <c r="H126" i="1"/>
  <c r="D45" i="1"/>
  <c r="E45" i="1"/>
  <c r="F45" i="1"/>
  <c r="G45" i="1"/>
  <c r="H45" i="1"/>
  <c r="D17" i="1"/>
  <c r="E17" i="1"/>
  <c r="F17" i="1"/>
  <c r="G17" i="1"/>
  <c r="H17" i="1"/>
  <c r="D110" i="1"/>
  <c r="E110" i="1"/>
  <c r="F110" i="1"/>
  <c r="G110" i="1"/>
  <c r="H110" i="1"/>
  <c r="D120" i="1"/>
  <c r="E120" i="1"/>
  <c r="F120" i="1"/>
  <c r="G120" i="1"/>
  <c r="H120" i="1"/>
  <c r="D18" i="1"/>
  <c r="E18" i="1"/>
  <c r="F18" i="1"/>
  <c r="G18" i="1"/>
  <c r="H18" i="1"/>
  <c r="D21" i="1"/>
  <c r="E21" i="1"/>
  <c r="F21" i="1"/>
  <c r="G21" i="1"/>
  <c r="H21" i="1"/>
  <c r="D53" i="1"/>
  <c r="E53" i="1"/>
  <c r="F53" i="1"/>
  <c r="G53" i="1"/>
  <c r="H53" i="1"/>
  <c r="D95" i="1"/>
  <c r="E95" i="1"/>
  <c r="F95" i="1"/>
  <c r="G95" i="1"/>
  <c r="H95" i="1"/>
  <c r="D2" i="1"/>
  <c r="E2" i="1"/>
  <c r="F2" i="1"/>
  <c r="G2" i="1"/>
  <c r="H2" i="1"/>
  <c r="D144" i="1"/>
  <c r="E144" i="1"/>
  <c r="F144" i="1"/>
  <c r="G144" i="1"/>
  <c r="H144" i="1"/>
  <c r="D136" i="1"/>
  <c r="E136" i="1"/>
  <c r="F136" i="1"/>
  <c r="G136" i="1"/>
  <c r="H136" i="1"/>
  <c r="D154" i="1"/>
  <c r="E154" i="1"/>
  <c r="F154" i="1"/>
  <c r="G154" i="1"/>
  <c r="H154" i="1"/>
  <c r="D79" i="1"/>
  <c r="E79" i="1"/>
  <c r="F79" i="1"/>
  <c r="G79" i="1"/>
  <c r="H79" i="1"/>
  <c r="D116" i="1"/>
  <c r="E116" i="1"/>
  <c r="F116" i="1"/>
  <c r="G116" i="1"/>
  <c r="H116" i="1"/>
  <c r="D92" i="1"/>
  <c r="E92" i="1"/>
  <c r="F92" i="1"/>
  <c r="G92" i="1"/>
  <c r="H92" i="1"/>
  <c r="D153" i="1"/>
  <c r="E153" i="1"/>
  <c r="F153" i="1"/>
  <c r="G153" i="1"/>
  <c r="H153" i="1"/>
  <c r="D158" i="1"/>
  <c r="E158" i="1"/>
  <c r="F158" i="1"/>
  <c r="G158" i="1"/>
  <c r="H158" i="1"/>
  <c r="D81" i="1"/>
  <c r="E81" i="1"/>
  <c r="F81" i="1"/>
  <c r="G81" i="1"/>
  <c r="H81" i="1"/>
  <c r="D173" i="1"/>
  <c r="E173" i="1"/>
  <c r="F173" i="1"/>
  <c r="G173" i="1"/>
  <c r="H173" i="1"/>
  <c r="D111" i="1"/>
  <c r="E111" i="1"/>
  <c r="F111" i="1"/>
  <c r="G111" i="1"/>
  <c r="H111" i="1"/>
  <c r="D46" i="1"/>
  <c r="E46" i="1"/>
  <c r="F46" i="1"/>
  <c r="G46" i="1"/>
  <c r="H46" i="1"/>
  <c r="D163" i="1"/>
  <c r="E163" i="1"/>
  <c r="F163" i="1"/>
  <c r="G163" i="1"/>
  <c r="H163" i="1"/>
  <c r="D183" i="1"/>
  <c r="E183" i="1"/>
  <c r="F183" i="1"/>
  <c r="G183" i="1"/>
  <c r="H183" i="1"/>
  <c r="D129" i="1"/>
  <c r="E129" i="1"/>
  <c r="F129" i="1"/>
  <c r="G129" i="1"/>
  <c r="H129" i="1"/>
  <c r="D22" i="1"/>
  <c r="E22" i="1"/>
  <c r="F22" i="1"/>
  <c r="G22" i="1"/>
  <c r="H22" i="1"/>
  <c r="D54" i="1"/>
  <c r="E54" i="1"/>
  <c r="F54" i="1"/>
  <c r="G54" i="1"/>
  <c r="H54" i="1"/>
  <c r="D38" i="1"/>
  <c r="E38" i="1"/>
  <c r="F38" i="1"/>
  <c r="G38" i="1"/>
  <c r="H38" i="1"/>
  <c r="D82" i="1"/>
  <c r="E82" i="1"/>
  <c r="F82" i="1"/>
  <c r="G82" i="1"/>
  <c r="H82" i="1"/>
  <c r="D55" i="1"/>
  <c r="E55" i="1"/>
  <c r="F55" i="1"/>
  <c r="G55" i="1"/>
  <c r="H55" i="1"/>
  <c r="D145" i="1"/>
  <c r="E145" i="1"/>
  <c r="F145" i="1"/>
  <c r="G145" i="1"/>
  <c r="H145" i="1"/>
  <c r="D147" i="1"/>
  <c r="E147" i="1"/>
  <c r="F147" i="1"/>
  <c r="G147" i="1"/>
  <c r="H147" i="1"/>
  <c r="D175" i="1"/>
  <c r="E175" i="1"/>
  <c r="F175" i="1"/>
  <c r="G175" i="1"/>
  <c r="H175" i="1"/>
  <c r="D11" i="1"/>
  <c r="E11" i="1"/>
  <c r="F11" i="1"/>
  <c r="G11" i="1"/>
  <c r="H11" i="1"/>
  <c r="D157" i="1"/>
  <c r="E157" i="1"/>
  <c r="F157" i="1"/>
  <c r="G157" i="1"/>
  <c r="H157" i="1"/>
  <c r="D56" i="1"/>
  <c r="E56" i="1"/>
  <c r="F56" i="1"/>
  <c r="G56" i="1"/>
  <c r="H56" i="1"/>
  <c r="D169" i="1"/>
  <c r="E169" i="1"/>
  <c r="F169" i="1"/>
  <c r="G169" i="1"/>
  <c r="H169" i="1"/>
  <c r="D122" i="1"/>
  <c r="E122" i="1"/>
  <c r="F122" i="1"/>
  <c r="G122" i="1"/>
  <c r="H122" i="1"/>
  <c r="D84" i="1"/>
  <c r="E84" i="1"/>
  <c r="F84" i="1"/>
  <c r="G84" i="1"/>
  <c r="H84" i="1"/>
  <c r="D68" i="1"/>
  <c r="E68" i="1"/>
  <c r="F68" i="1"/>
  <c r="G68" i="1"/>
  <c r="H68" i="1"/>
  <c r="D113" i="1"/>
  <c r="E113" i="1"/>
  <c r="F113" i="1"/>
  <c r="G113" i="1"/>
  <c r="H113" i="1"/>
  <c r="D149" i="1"/>
  <c r="E149" i="1"/>
  <c r="F149" i="1"/>
  <c r="G149" i="1"/>
  <c r="H149" i="1"/>
  <c r="D118" i="1"/>
  <c r="E118" i="1"/>
  <c r="F118" i="1"/>
  <c r="G118" i="1"/>
  <c r="H118" i="1"/>
  <c r="D42" i="1"/>
  <c r="E42" i="1"/>
  <c r="F42" i="1"/>
  <c r="G42" i="1"/>
  <c r="H42" i="1"/>
  <c r="D100" i="1"/>
  <c r="E100" i="1"/>
  <c r="F100" i="1"/>
  <c r="G100" i="1"/>
  <c r="H100" i="1"/>
  <c r="D29" i="1"/>
  <c r="E29" i="1"/>
  <c r="F29" i="1"/>
  <c r="G29" i="1"/>
  <c r="H29" i="1"/>
  <c r="D131" i="1"/>
  <c r="E131" i="1"/>
  <c r="F131" i="1"/>
  <c r="G131" i="1"/>
  <c r="H131" i="1"/>
  <c r="D69" i="1"/>
  <c r="E69" i="1"/>
  <c r="F69" i="1"/>
  <c r="G69" i="1"/>
  <c r="H69" i="1"/>
  <c r="D159" i="1"/>
  <c r="E159" i="1"/>
  <c r="F159" i="1"/>
  <c r="G159" i="1"/>
  <c r="H159" i="1"/>
  <c r="D23" i="1"/>
  <c r="E23" i="1"/>
  <c r="F23" i="1"/>
  <c r="G23" i="1"/>
  <c r="H23" i="1"/>
  <c r="D168" i="1"/>
  <c r="E168" i="1"/>
  <c r="F168" i="1"/>
  <c r="G168" i="1"/>
  <c r="H168" i="1"/>
  <c r="D160" i="1"/>
  <c r="E160" i="1"/>
  <c r="F160" i="1"/>
  <c r="G160" i="1"/>
  <c r="H160" i="1"/>
  <c r="D181" i="1"/>
  <c r="E181" i="1"/>
  <c r="F181" i="1"/>
  <c r="G181" i="1"/>
  <c r="H181" i="1"/>
  <c r="D73" i="1"/>
  <c r="E73" i="1"/>
  <c r="F73" i="1"/>
  <c r="G73" i="1"/>
  <c r="H73" i="1"/>
  <c r="D176" i="1"/>
  <c r="E176" i="1"/>
  <c r="F176" i="1"/>
  <c r="G176" i="1"/>
  <c r="H176" i="1"/>
  <c r="D186" i="1"/>
  <c r="E186" i="1"/>
  <c r="F186" i="1"/>
  <c r="G186" i="1"/>
  <c r="H186" i="1"/>
  <c r="D70" i="1"/>
  <c r="E70" i="1"/>
  <c r="F70" i="1"/>
  <c r="G70" i="1"/>
  <c r="H70" i="1"/>
  <c r="D57" i="1"/>
  <c r="E57" i="1"/>
  <c r="F57" i="1"/>
  <c r="G57" i="1"/>
  <c r="H57" i="1"/>
  <c r="D114" i="1"/>
  <c r="E114" i="1"/>
  <c r="F114" i="1"/>
  <c r="G114" i="1"/>
  <c r="H114" i="1"/>
  <c r="D35" i="1"/>
  <c r="E35" i="1"/>
  <c r="F35" i="1"/>
  <c r="G35" i="1"/>
  <c r="H35" i="1"/>
  <c r="D74" i="1"/>
  <c r="E74" i="1"/>
  <c r="F74" i="1"/>
  <c r="G74" i="1"/>
  <c r="H74" i="1"/>
  <c r="D152" i="1"/>
  <c r="E152" i="1"/>
  <c r="F152" i="1"/>
  <c r="G152" i="1"/>
  <c r="H152" i="1"/>
  <c r="D58" i="1"/>
  <c r="E58" i="1"/>
  <c r="F58" i="1"/>
  <c r="G58" i="1"/>
  <c r="H58" i="1"/>
  <c r="D30" i="1"/>
  <c r="E30" i="1"/>
  <c r="F30" i="1"/>
  <c r="G30" i="1"/>
  <c r="H30" i="1"/>
  <c r="D124" i="1"/>
  <c r="E124" i="1"/>
  <c r="F124" i="1"/>
  <c r="G124" i="1"/>
  <c r="H124" i="1"/>
  <c r="D59" i="1"/>
  <c r="E59" i="1"/>
  <c r="F59" i="1"/>
  <c r="G59" i="1"/>
  <c r="H59" i="1"/>
  <c r="D119" i="1"/>
  <c r="E119" i="1"/>
  <c r="F119" i="1"/>
  <c r="G119" i="1"/>
  <c r="H119" i="1"/>
  <c r="D151" i="1"/>
  <c r="E151" i="1"/>
  <c r="F151" i="1"/>
  <c r="G151" i="1"/>
  <c r="H151" i="1"/>
  <c r="D25" i="1"/>
  <c r="E25" i="1"/>
  <c r="F25" i="1"/>
  <c r="G25" i="1"/>
  <c r="H25" i="1"/>
  <c r="D125" i="1"/>
  <c r="E125" i="1"/>
  <c r="F125" i="1"/>
  <c r="G125" i="1"/>
  <c r="H125" i="1"/>
  <c r="D12" i="1"/>
  <c r="E12" i="1"/>
  <c r="F12" i="1"/>
  <c r="G12" i="1"/>
  <c r="H12" i="1"/>
  <c r="D121" i="1"/>
  <c r="E121" i="1"/>
  <c r="F121" i="1"/>
  <c r="G121" i="1"/>
  <c r="H121" i="1"/>
  <c r="D90" i="1"/>
  <c r="E90" i="1"/>
  <c r="F90" i="1"/>
  <c r="G90" i="1"/>
  <c r="H90" i="1"/>
  <c r="D7" i="1"/>
  <c r="E7" i="1"/>
  <c r="F7" i="1"/>
  <c r="G7" i="1"/>
  <c r="H7" i="1"/>
  <c r="D109" i="1"/>
  <c r="E109" i="1"/>
  <c r="F109" i="1"/>
  <c r="G109" i="1"/>
  <c r="H109" i="1"/>
  <c r="D140" i="1"/>
  <c r="E140" i="1"/>
  <c r="F140" i="1"/>
  <c r="G140" i="1"/>
  <c r="H140" i="1"/>
  <c r="D27" i="1"/>
  <c r="E27" i="1"/>
  <c r="F27" i="1"/>
  <c r="G27" i="1"/>
  <c r="H27" i="1"/>
  <c r="D177" i="1"/>
  <c r="E177" i="1"/>
  <c r="F177" i="1"/>
  <c r="G177" i="1"/>
  <c r="H177" i="1"/>
  <c r="D178" i="1"/>
  <c r="E178" i="1"/>
  <c r="F178" i="1"/>
  <c r="G178" i="1"/>
  <c r="H178" i="1"/>
  <c r="D3" i="1"/>
  <c r="E3" i="1"/>
  <c r="F3" i="1"/>
  <c r="G3" i="1"/>
  <c r="H3" i="1"/>
  <c r="D102" i="1"/>
  <c r="E102" i="1"/>
  <c r="F102" i="1"/>
  <c r="G102" i="1"/>
  <c r="H102" i="1"/>
  <c r="D5" i="1"/>
  <c r="E5" i="1"/>
  <c r="F5" i="1"/>
  <c r="G5" i="1"/>
  <c r="H5" i="1"/>
  <c r="D97" i="1"/>
  <c r="E97" i="1"/>
  <c r="F97" i="1"/>
  <c r="G97" i="1"/>
  <c r="H97" i="1"/>
  <c r="D117" i="1"/>
  <c r="E117" i="1"/>
  <c r="F117" i="1"/>
  <c r="G117" i="1"/>
  <c r="H117" i="1"/>
  <c r="D49" i="1"/>
  <c r="E49" i="1"/>
  <c r="F49" i="1"/>
  <c r="G49" i="1"/>
  <c r="H49" i="1"/>
  <c r="D138" i="1"/>
  <c r="E138" i="1"/>
  <c r="F138" i="1"/>
  <c r="G138" i="1"/>
  <c r="H138" i="1"/>
  <c r="D105" i="1"/>
  <c r="E105" i="1"/>
  <c r="F105" i="1"/>
  <c r="G105" i="1"/>
  <c r="H105" i="1"/>
  <c r="D127" i="1"/>
  <c r="E127" i="1"/>
  <c r="F127" i="1"/>
  <c r="G127" i="1"/>
  <c r="H127" i="1"/>
  <c r="D36" i="1"/>
  <c r="E36" i="1"/>
  <c r="F36" i="1"/>
  <c r="G36" i="1"/>
  <c r="H36" i="1"/>
  <c r="D133" i="1"/>
  <c r="E133" i="1"/>
  <c r="F133" i="1"/>
  <c r="G133" i="1"/>
  <c r="H133" i="1"/>
  <c r="D99" i="1"/>
  <c r="E99" i="1"/>
  <c r="F99" i="1"/>
  <c r="G99" i="1"/>
  <c r="H99" i="1"/>
  <c r="D87" i="1"/>
  <c r="E87" i="1"/>
  <c r="F87" i="1"/>
  <c r="G87" i="1"/>
  <c r="H87" i="1"/>
  <c r="D50" i="1"/>
  <c r="E50" i="1"/>
  <c r="F50" i="1"/>
  <c r="G50" i="1"/>
  <c r="H50" i="1"/>
  <c r="D156" i="1"/>
  <c r="E156" i="1"/>
  <c r="F156" i="1"/>
  <c r="G156" i="1"/>
  <c r="H156" i="1"/>
  <c r="D150" i="1"/>
  <c r="E150" i="1"/>
  <c r="F150" i="1"/>
  <c r="G150" i="1"/>
  <c r="H150" i="1"/>
  <c r="D184" i="1"/>
  <c r="E184" i="1"/>
  <c r="F184" i="1"/>
  <c r="G184" i="1"/>
  <c r="H184" i="1"/>
  <c r="D39" i="1"/>
  <c r="E39" i="1"/>
  <c r="F39" i="1"/>
  <c r="G39" i="1"/>
  <c r="H39" i="1"/>
  <c r="D130" i="1"/>
  <c r="E130" i="1"/>
  <c r="F130" i="1"/>
  <c r="G130" i="1"/>
  <c r="H130" i="1"/>
  <c r="D13" i="1"/>
  <c r="E13" i="1"/>
  <c r="F13" i="1"/>
  <c r="G13" i="1"/>
  <c r="H13" i="1"/>
  <c r="D123" i="1"/>
  <c r="E123" i="1"/>
  <c r="F123" i="1"/>
  <c r="G123" i="1"/>
  <c r="H123" i="1"/>
  <c r="D78" i="1"/>
  <c r="E78" i="1"/>
  <c r="F78" i="1"/>
  <c r="G78" i="1"/>
  <c r="H78" i="1"/>
  <c r="D51" i="1"/>
  <c r="E51" i="1"/>
  <c r="F51" i="1"/>
  <c r="G51" i="1"/>
  <c r="H51" i="1"/>
  <c r="D86" i="1"/>
  <c r="E86" i="1"/>
  <c r="F86" i="1"/>
  <c r="G86" i="1"/>
  <c r="H86" i="1"/>
  <c r="D34" i="1"/>
  <c r="E34" i="1"/>
  <c r="F34" i="1"/>
  <c r="G34" i="1"/>
  <c r="H34" i="1"/>
  <c r="D104" i="1"/>
  <c r="E104" i="1"/>
  <c r="F104" i="1"/>
  <c r="G104" i="1"/>
  <c r="H104" i="1"/>
  <c r="D96" i="1"/>
  <c r="E96" i="1"/>
  <c r="F96" i="1"/>
  <c r="G96" i="1"/>
  <c r="H96" i="1"/>
  <c r="D161" i="1"/>
  <c r="E161" i="1"/>
  <c r="F161" i="1"/>
  <c r="G161" i="1"/>
  <c r="H161" i="1"/>
  <c r="D48" i="1"/>
  <c r="E48" i="1"/>
  <c r="F48" i="1"/>
  <c r="G48" i="1"/>
  <c r="H48" i="1"/>
  <c r="D179" i="1"/>
  <c r="E179" i="1"/>
  <c r="F179" i="1"/>
  <c r="G179" i="1"/>
  <c r="H179" i="1"/>
  <c r="D80" i="1"/>
  <c r="E80" i="1"/>
  <c r="F80" i="1"/>
  <c r="G80" i="1"/>
  <c r="H80" i="1"/>
  <c r="D19" i="1"/>
  <c r="E19" i="1"/>
  <c r="F19" i="1"/>
  <c r="G19" i="1"/>
  <c r="H19" i="1"/>
  <c r="D137" i="1"/>
  <c r="E137" i="1"/>
  <c r="F137" i="1"/>
  <c r="G137" i="1"/>
  <c r="H137" i="1"/>
  <c r="D75" i="1"/>
  <c r="E75" i="1"/>
  <c r="F75" i="1"/>
  <c r="G75" i="1"/>
  <c r="H75" i="1"/>
  <c r="D180" i="1"/>
  <c r="E180" i="1"/>
  <c r="F180" i="1"/>
  <c r="G180" i="1"/>
  <c r="H180" i="1"/>
  <c r="D143" i="1"/>
  <c r="E143" i="1"/>
  <c r="F143" i="1"/>
  <c r="G143" i="1"/>
  <c r="H143" i="1"/>
  <c r="D141" i="1"/>
  <c r="E141" i="1"/>
  <c r="F141" i="1"/>
  <c r="G141" i="1"/>
  <c r="H141" i="1"/>
  <c r="D139" i="1"/>
  <c r="E139" i="1"/>
  <c r="F139" i="1"/>
  <c r="G139" i="1"/>
  <c r="H139" i="1"/>
  <c r="D85" i="1"/>
  <c r="E85" i="1"/>
  <c r="F85" i="1"/>
  <c r="G85" i="1"/>
  <c r="H85" i="1"/>
  <c r="D15" i="1"/>
  <c r="E15" i="1"/>
  <c r="F15" i="1"/>
  <c r="G15" i="1"/>
  <c r="H15" i="1"/>
  <c r="D146" i="1"/>
  <c r="E146" i="1"/>
  <c r="F146" i="1"/>
  <c r="G146" i="1"/>
  <c r="H146" i="1"/>
  <c r="D8" i="1"/>
  <c r="E8" i="1"/>
  <c r="F8" i="1"/>
  <c r="G8" i="1"/>
  <c r="H8" i="1"/>
  <c r="D91" i="1"/>
  <c r="E91" i="1"/>
  <c r="F91" i="1"/>
  <c r="G91" i="1"/>
  <c r="H91" i="1"/>
  <c r="D170" i="1"/>
  <c r="E170" i="1"/>
  <c r="F170" i="1"/>
  <c r="G170" i="1"/>
  <c r="H170" i="1"/>
  <c r="D98" i="1"/>
  <c r="E98" i="1"/>
  <c r="F98" i="1"/>
  <c r="G98" i="1"/>
  <c r="H98" i="1"/>
  <c r="D60" i="1"/>
  <c r="E60" i="1"/>
  <c r="F60" i="1"/>
  <c r="G60" i="1"/>
  <c r="H60" i="1"/>
  <c r="D142" i="1"/>
  <c r="E142" i="1"/>
  <c r="F142" i="1"/>
  <c r="G142" i="1"/>
  <c r="H142" i="1"/>
  <c r="D134" i="1"/>
  <c r="E134" i="1"/>
  <c r="F134" i="1"/>
  <c r="G134" i="1"/>
  <c r="H134" i="1"/>
  <c r="D103" i="1"/>
  <c r="E103" i="1"/>
  <c r="F103" i="1"/>
  <c r="G103" i="1"/>
  <c r="H103" i="1"/>
  <c r="D31" i="1"/>
  <c r="E31" i="1"/>
  <c r="F31" i="1"/>
  <c r="G31" i="1"/>
  <c r="H31" i="1"/>
  <c r="D182" i="1"/>
  <c r="E182" i="1"/>
  <c r="F182" i="1"/>
  <c r="G182" i="1"/>
  <c r="H182" i="1"/>
  <c r="D47" i="1"/>
  <c r="E47" i="1"/>
  <c r="F47" i="1"/>
  <c r="G47" i="1"/>
  <c r="H47" i="1"/>
  <c r="D61" i="1"/>
  <c r="E61" i="1"/>
  <c r="F61" i="1"/>
  <c r="G61" i="1"/>
  <c r="H61" i="1"/>
  <c r="D62" i="1"/>
  <c r="E62" i="1"/>
  <c r="F62" i="1"/>
  <c r="G62" i="1"/>
  <c r="H62" i="1"/>
  <c r="D44" i="1"/>
  <c r="E44" i="1"/>
  <c r="F44" i="1"/>
  <c r="G44" i="1"/>
  <c r="H44" i="1"/>
  <c r="D63" i="1"/>
  <c r="E63" i="1"/>
  <c r="F63" i="1"/>
  <c r="G63" i="1"/>
  <c r="H63" i="1"/>
  <c r="D32" i="1"/>
  <c r="E32" i="1"/>
  <c r="F32" i="1"/>
  <c r="G32" i="1"/>
  <c r="H32" i="1"/>
  <c r="D128" i="1"/>
  <c r="E128" i="1"/>
  <c r="F128" i="1"/>
  <c r="G128" i="1"/>
  <c r="H128" i="1"/>
  <c r="D164" i="1"/>
  <c r="E164" i="1"/>
  <c r="F164" i="1"/>
  <c r="G164" i="1"/>
  <c r="H164" i="1"/>
  <c r="D135" i="1"/>
  <c r="E135" i="1"/>
  <c r="F135" i="1"/>
  <c r="G135" i="1"/>
  <c r="H135" i="1"/>
  <c r="D43" i="1"/>
  <c r="E43" i="1"/>
  <c r="F43" i="1"/>
  <c r="G43" i="1"/>
  <c r="H43" i="1"/>
  <c r="D9" i="1"/>
  <c r="E9" i="1"/>
  <c r="F9" i="1"/>
  <c r="G9" i="1"/>
  <c r="H9" i="1"/>
  <c r="D52" i="1"/>
  <c r="E52" i="1"/>
  <c r="F52" i="1"/>
  <c r="G52" i="1"/>
  <c r="H52" i="1"/>
  <c r="D71" i="1"/>
  <c r="E71" i="1"/>
  <c r="F71" i="1"/>
  <c r="G71" i="1"/>
  <c r="H71" i="1"/>
  <c r="D64" i="1"/>
  <c r="E64" i="1"/>
  <c r="F64" i="1"/>
  <c r="G64" i="1"/>
  <c r="H64" i="1"/>
  <c r="D106" i="1"/>
  <c r="E106" i="1"/>
  <c r="F106" i="1"/>
  <c r="G106" i="1"/>
  <c r="H106" i="1"/>
  <c r="D88" i="1"/>
  <c r="E88" i="1"/>
  <c r="F88" i="1"/>
  <c r="G88" i="1"/>
  <c r="H88" i="1"/>
  <c r="D20" i="1"/>
  <c r="E20" i="1"/>
  <c r="F20" i="1"/>
  <c r="G20" i="1"/>
  <c r="H20" i="1"/>
  <c r="D162" i="1"/>
  <c r="E162" i="1"/>
  <c r="F162" i="1"/>
  <c r="G162" i="1"/>
  <c r="H162" i="1"/>
  <c r="D6" i="1"/>
  <c r="E6" i="1"/>
  <c r="F6" i="1"/>
  <c r="G6" i="1"/>
  <c r="H6" i="1"/>
  <c r="D166" i="1"/>
  <c r="E166" i="1"/>
  <c r="F166" i="1"/>
  <c r="G166" i="1"/>
  <c r="H166" i="1"/>
  <c r="D187" i="1"/>
  <c r="E187" i="1"/>
  <c r="F187" i="1"/>
  <c r="G187" i="1"/>
  <c r="H187" i="1"/>
  <c r="D107" i="1"/>
  <c r="E107" i="1"/>
  <c r="F107" i="1"/>
  <c r="G107" i="1"/>
  <c r="H107" i="1"/>
  <c r="D65" i="1"/>
  <c r="E65" i="1"/>
  <c r="F65" i="1"/>
  <c r="G65" i="1"/>
  <c r="H65" i="1"/>
  <c r="D24" i="1"/>
  <c r="E24" i="1"/>
  <c r="F24" i="1"/>
  <c r="G24" i="1"/>
  <c r="H24" i="1"/>
  <c r="D155" i="1"/>
  <c r="E155" i="1"/>
  <c r="F155" i="1"/>
  <c r="G155" i="1"/>
  <c r="H155" i="1"/>
  <c r="D148" i="1"/>
  <c r="E148" i="1"/>
  <c r="F148" i="1"/>
  <c r="G148" i="1"/>
  <c r="H148" i="1"/>
  <c r="D115" i="1"/>
  <c r="E115" i="1"/>
  <c r="F115" i="1"/>
  <c r="G115" i="1"/>
  <c r="H115" i="1"/>
  <c r="D174" i="1"/>
  <c r="E174" i="1"/>
  <c r="F174" i="1"/>
  <c r="G174" i="1"/>
  <c r="H174" i="1"/>
  <c r="D66" i="1"/>
  <c r="E66" i="1"/>
  <c r="F66" i="1"/>
  <c r="G66" i="1"/>
  <c r="H66" i="1"/>
  <c r="D67" i="1"/>
  <c r="E67" i="1"/>
  <c r="F67" i="1"/>
  <c r="G67" i="1"/>
  <c r="H67" i="1"/>
  <c r="D89" i="1"/>
  <c r="E89" i="1"/>
  <c r="F89" i="1"/>
  <c r="G89" i="1"/>
  <c r="H89" i="1"/>
  <c r="D28" i="1"/>
  <c r="E28" i="1"/>
  <c r="F28" i="1"/>
  <c r="G28" i="1"/>
  <c r="H28" i="1"/>
  <c r="D112" i="1"/>
  <c r="E112" i="1"/>
  <c r="F112" i="1"/>
  <c r="G112" i="1"/>
  <c r="H112" i="1"/>
  <c r="D101" i="1"/>
  <c r="E101" i="1"/>
  <c r="F101" i="1"/>
  <c r="G101" i="1"/>
  <c r="H101" i="1"/>
  <c r="D4" i="1"/>
  <c r="E4" i="1"/>
  <c r="F4" i="1"/>
  <c r="G4" i="1"/>
  <c r="H4" i="1"/>
  <c r="D93" i="1"/>
  <c r="E93" i="1"/>
  <c r="F93" i="1"/>
  <c r="G93" i="1"/>
  <c r="H93" i="1"/>
  <c r="D165" i="1"/>
  <c r="E165" i="1"/>
  <c r="F165" i="1"/>
  <c r="G165" i="1"/>
  <c r="H165" i="1"/>
  <c r="D171" i="1"/>
  <c r="E171" i="1"/>
  <c r="F171" i="1"/>
  <c r="G171" i="1"/>
  <c r="H171" i="1"/>
  <c r="D172" i="1"/>
  <c r="E172" i="1"/>
  <c r="F172" i="1"/>
  <c r="G172" i="1"/>
  <c r="H172" i="1"/>
  <c r="D132" i="1"/>
  <c r="E132" i="1"/>
  <c r="F132" i="1"/>
  <c r="G132" i="1"/>
  <c r="H132" i="1"/>
  <c r="D76" i="1"/>
  <c r="E76" i="1"/>
  <c r="F76" i="1"/>
  <c r="G76" i="1"/>
  <c r="H76" i="1"/>
  <c r="D33" i="1"/>
  <c r="E33" i="1"/>
  <c r="F33" i="1"/>
  <c r="G33" i="1"/>
  <c r="H33" i="1"/>
  <c r="D94" i="1"/>
  <c r="E94" i="1"/>
  <c r="F94" i="1"/>
  <c r="G94" i="1"/>
  <c r="H94" i="1"/>
  <c r="D77" i="1"/>
  <c r="E77" i="1"/>
  <c r="F77" i="1"/>
  <c r="G77" i="1"/>
  <c r="H77" i="1"/>
  <c r="D167" i="1"/>
  <c r="E167" i="1"/>
  <c r="F167" i="1"/>
  <c r="G167" i="1"/>
  <c r="H167" i="1"/>
  <c r="D37" i="1"/>
  <c r="E37" i="1"/>
  <c r="F37" i="1"/>
  <c r="G37" i="1"/>
  <c r="H37" i="1"/>
  <c r="D108" i="1"/>
  <c r="E108" i="1"/>
  <c r="F108" i="1"/>
  <c r="G108" i="1"/>
  <c r="H108" i="1"/>
  <c r="D83" i="1"/>
  <c r="E83" i="1"/>
  <c r="F83" i="1"/>
  <c r="G83" i="1"/>
  <c r="H83" i="1"/>
  <c r="D10" i="1"/>
  <c r="E10" i="1"/>
  <c r="F10" i="1"/>
  <c r="G10" i="1"/>
  <c r="H10" i="1"/>
  <c r="D72" i="1"/>
  <c r="E72" i="1"/>
  <c r="F72" i="1"/>
  <c r="G72" i="1"/>
  <c r="H72" i="1"/>
  <c r="D14" i="1"/>
  <c r="E14" i="1"/>
  <c r="F14" i="1"/>
  <c r="G14" i="1"/>
  <c r="H14" i="1"/>
</calcChain>
</file>

<file path=xl/sharedStrings.xml><?xml version="1.0" encoding="utf-8"?>
<sst xmlns="http://schemas.openxmlformats.org/spreadsheetml/2006/main" count="9" uniqueCount="9">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</sst>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5" fontId="18" fillId="0" borderId="0" applyFont="0" applyFill="0" applyBorder="0" applyAlignment="0" applyProtection="0"/>
  </cellStyleXfs>
  <cellXfs count="6">
    <xf numFmtId="0" fontId="0" fillId="0" borderId="0" xfId="0"/>
    <xf numFmtId="0" fontId="16" fillId="0" borderId="0" xfId="0" applyFont="1" applyFill="1"/>
    <xf numFmtId="164" fontId="16" fillId="0" borderId="0" xfId="1" applyNumberFormat="1" applyFont="1" applyFill="1"/>
    <xf numFmtId="0" fontId="0" fillId="0" borderId="0" xfId="0" applyFill="1"/>
    <xf numFmtId="14" fontId="0" fillId="0" borderId="0" xfId="0" applyNumberFormat="1" applyFill="1"/>
    <xf numFmtId="164" fontId="0" fillId="0" borderId="0" xfId="1" applyNumberFormat="1" applyFont="1" applyFill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tabSelected="1" workbookViewId="0">
      <selection activeCell="N15" sqref="N15"/>
    </sheetView>
  </sheetViews>
  <sheetFormatPr defaultRowHeight="15" x14ac:dyDescent="0.25"/>
  <cols>
    <col min="1" max="1" width="9.140625" style="3"/>
    <col min="2" max="2" width="15.85546875" style="3" bestFit="1" customWidth="1"/>
    <col min="3" max="4" width="9.140625" style="3"/>
    <col min="5" max="5" width="26.7109375" style="3" customWidth="1"/>
    <col min="6" max="8" width="9.140625" style="3"/>
    <col min="9" max="9" width="19" style="5" bestFit="1" customWidth="1"/>
    <col min="10" max="16384" width="9.140625" style="3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3">
        <v>15</v>
      </c>
      <c r="B2" s="4">
        <v>44561</v>
      </c>
      <c r="C2" s="3">
        <v>13</v>
      </c>
      <c r="D2" s="3" t="str">
        <f>"1001"</f>
        <v>1001</v>
      </c>
      <c r="E2" s="3" t="str">
        <f>"Наличность в кассе"</f>
        <v>Наличность в кассе</v>
      </c>
      <c r="F2" s="3" t="str">
        <f>"1"</f>
        <v>1</v>
      </c>
      <c r="G2" s="3" t="str">
        <f>"3"</f>
        <v>3</v>
      </c>
      <c r="H2" s="3" t="str">
        <f>"1"</f>
        <v>1</v>
      </c>
      <c r="I2" s="5">
        <v>695421793</v>
      </c>
    </row>
    <row r="3" spans="1:9" x14ac:dyDescent="0.25">
      <c r="A3" s="3">
        <v>85</v>
      </c>
      <c r="B3" s="4">
        <v>44561</v>
      </c>
      <c r="C3" s="3">
        <v>13</v>
      </c>
      <c r="D3" s="3" t="str">
        <f>"1001"</f>
        <v>1001</v>
      </c>
      <c r="E3" s="3" t="str">
        <f>"Наличность в кассе"</f>
        <v>Наличность в кассе</v>
      </c>
      <c r="F3" s="3" t="str">
        <f>"2"</f>
        <v>2</v>
      </c>
      <c r="G3" s="3" t="str">
        <f>"3"</f>
        <v>3</v>
      </c>
      <c r="H3" s="3" t="str">
        <f>"3"</f>
        <v>3</v>
      </c>
      <c r="I3" s="5">
        <v>9385613.0999999996</v>
      </c>
    </row>
    <row r="4" spans="1:9" x14ac:dyDescent="0.25">
      <c r="A4" s="3">
        <v>170</v>
      </c>
      <c r="B4" s="4">
        <v>44561</v>
      </c>
      <c r="C4" s="3">
        <v>13</v>
      </c>
      <c r="D4" s="3" t="str">
        <f>"1001"</f>
        <v>1001</v>
      </c>
      <c r="E4" s="3" t="str">
        <f>"Наличность в кассе"</f>
        <v>Наличность в кассе</v>
      </c>
      <c r="F4" s="3" t="str">
        <f>"2"</f>
        <v>2</v>
      </c>
      <c r="G4" s="3" t="str">
        <f>"3"</f>
        <v>3</v>
      </c>
      <c r="H4" s="3" t="str">
        <f>"2"</f>
        <v>2</v>
      </c>
      <c r="I4" s="5">
        <v>1162603373.5</v>
      </c>
    </row>
    <row r="5" spans="1:9" x14ac:dyDescent="0.25">
      <c r="A5" s="3">
        <v>87</v>
      </c>
      <c r="B5" s="4">
        <v>44561</v>
      </c>
      <c r="C5" s="3">
        <v>13</v>
      </c>
      <c r="D5" s="3" t="str">
        <f>"1051"</f>
        <v>1051</v>
      </c>
      <c r="E5" s="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5" s="3" t="str">
        <f>"1"</f>
        <v>1</v>
      </c>
      <c r="G5" s="3" t="str">
        <f>"3"</f>
        <v>3</v>
      </c>
      <c r="H5" s="3" t="str">
        <f>"1"</f>
        <v>1</v>
      </c>
      <c r="I5" s="5">
        <v>657957869.52999997</v>
      </c>
    </row>
    <row r="6" spans="1:9" x14ac:dyDescent="0.25">
      <c r="A6" s="3">
        <v>154</v>
      </c>
      <c r="B6" s="4">
        <v>44561</v>
      </c>
      <c r="C6" s="3">
        <v>13</v>
      </c>
      <c r="D6" s="3" t="str">
        <f>"1051"</f>
        <v>1051</v>
      </c>
      <c r="E6" s="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6" s="3" t="str">
        <f>"1"</f>
        <v>1</v>
      </c>
      <c r="G6" s="3" t="str">
        <f>"3"</f>
        <v>3</v>
      </c>
      <c r="H6" s="3" t="str">
        <f>"2"</f>
        <v>2</v>
      </c>
      <c r="I6" s="5">
        <v>6477159766</v>
      </c>
    </row>
    <row r="7" spans="1:9" x14ac:dyDescent="0.25">
      <c r="A7" s="3">
        <v>79</v>
      </c>
      <c r="B7" s="4">
        <v>44561</v>
      </c>
      <c r="C7" s="3">
        <v>13</v>
      </c>
      <c r="D7" s="3" t="str">
        <f>"1052"</f>
        <v>1052</v>
      </c>
      <c r="E7" s="3" t="str">
        <f>"Корреспондентские счета в других банках"</f>
        <v>Корреспондентские счета в других банках</v>
      </c>
      <c r="F7" s="3" t="str">
        <f>"1"</f>
        <v>1</v>
      </c>
      <c r="G7" s="3" t="str">
        <f t="shared" ref="G7:G14" si="0">"4"</f>
        <v>4</v>
      </c>
      <c r="H7" s="3" t="str">
        <f>"1"</f>
        <v>1</v>
      </c>
      <c r="I7" s="5">
        <v>78472097.439999998</v>
      </c>
    </row>
    <row r="8" spans="1:9" x14ac:dyDescent="0.25">
      <c r="A8" s="3">
        <v>126</v>
      </c>
      <c r="B8" s="4">
        <v>44561</v>
      </c>
      <c r="C8" s="3">
        <v>13</v>
      </c>
      <c r="D8" s="3" t="str">
        <f>"1052"</f>
        <v>1052</v>
      </c>
      <c r="E8" s="3" t="str">
        <f>"Корреспондентские счета в других банках"</f>
        <v>Корреспондентские счета в других банках</v>
      </c>
      <c r="F8" s="3" t="str">
        <f>"2"</f>
        <v>2</v>
      </c>
      <c r="G8" s="3" t="str">
        <f t="shared" si="0"/>
        <v>4</v>
      </c>
      <c r="H8" s="3" t="str">
        <f>"2"</f>
        <v>2</v>
      </c>
      <c r="I8" s="5">
        <v>5683247034.54</v>
      </c>
    </row>
    <row r="9" spans="1:9" x14ac:dyDescent="0.25">
      <c r="A9" s="3">
        <v>146</v>
      </c>
      <c r="B9" s="4">
        <v>44561</v>
      </c>
      <c r="C9" s="3">
        <v>13</v>
      </c>
      <c r="D9" s="3" t="str">
        <f>"1052"</f>
        <v>1052</v>
      </c>
      <c r="E9" s="3" t="str">
        <f>"Корреспондентские счета в других банках"</f>
        <v>Корреспондентские счета в других банках</v>
      </c>
      <c r="F9" s="3" t="str">
        <f>"1"</f>
        <v>1</v>
      </c>
      <c r="G9" s="3" t="str">
        <f t="shared" si="0"/>
        <v>4</v>
      </c>
      <c r="H9" s="3" t="str">
        <f>"2"</f>
        <v>2</v>
      </c>
      <c r="I9" s="5">
        <v>86083788.569999993</v>
      </c>
    </row>
    <row r="10" spans="1:9" x14ac:dyDescent="0.25">
      <c r="A10" s="3">
        <v>184</v>
      </c>
      <c r="B10" s="4">
        <v>44561</v>
      </c>
      <c r="C10" s="3">
        <v>13</v>
      </c>
      <c r="D10" s="3" t="str">
        <f>"1052"</f>
        <v>1052</v>
      </c>
      <c r="E10" s="3" t="str">
        <f>"Корреспондентские счета в других банках"</f>
        <v>Корреспондентские счета в других банках</v>
      </c>
      <c r="F10" s="3" t="str">
        <f>"2"</f>
        <v>2</v>
      </c>
      <c r="G10" s="3" t="str">
        <f t="shared" si="0"/>
        <v>4</v>
      </c>
      <c r="H10" s="3" t="str">
        <f>"3"</f>
        <v>3</v>
      </c>
      <c r="I10" s="5">
        <v>84842396.510000005</v>
      </c>
    </row>
    <row r="11" spans="1:9" x14ac:dyDescent="0.25">
      <c r="A11" s="3">
        <v>39</v>
      </c>
      <c r="B11" s="4">
        <v>44561</v>
      </c>
      <c r="C11" s="3">
        <v>13</v>
      </c>
      <c r="D11" s="3" t="str">
        <f>"1054"</f>
        <v>1054</v>
      </c>
      <c r="E11" s="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1" s="3" t="str">
        <f>"2"</f>
        <v>2</v>
      </c>
      <c r="G11" s="3" t="str">
        <f t="shared" si="0"/>
        <v>4</v>
      </c>
      <c r="H11" s="3" t="str">
        <f>"2"</f>
        <v>2</v>
      </c>
      <c r="I11" s="5">
        <v>-5930031.3799999999</v>
      </c>
    </row>
    <row r="12" spans="1:9" x14ac:dyDescent="0.25">
      <c r="A12" s="3">
        <v>76</v>
      </c>
      <c r="B12" s="4">
        <v>44561</v>
      </c>
      <c r="C12" s="3">
        <v>13</v>
      </c>
      <c r="D12" s="3" t="str">
        <f>"1054"</f>
        <v>1054</v>
      </c>
      <c r="E12" s="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2" s="3" t="str">
        <f>"1"</f>
        <v>1</v>
      </c>
      <c r="G12" s="3" t="str">
        <f t="shared" si="0"/>
        <v>4</v>
      </c>
      <c r="H12" s="3" t="str">
        <f>"1"</f>
        <v>1</v>
      </c>
      <c r="I12" s="5">
        <v>-1938954.81</v>
      </c>
    </row>
    <row r="13" spans="1:9" x14ac:dyDescent="0.25">
      <c r="A13" s="3">
        <v>104</v>
      </c>
      <c r="B13" s="4">
        <v>44561</v>
      </c>
      <c r="C13" s="3">
        <v>13</v>
      </c>
      <c r="D13" s="3" t="str">
        <f>"1054"</f>
        <v>1054</v>
      </c>
      <c r="E13" s="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3" s="3" t="str">
        <f>"2"</f>
        <v>2</v>
      </c>
      <c r="G13" s="3" t="str">
        <f t="shared" si="0"/>
        <v>4</v>
      </c>
      <c r="H13" s="3" t="str">
        <f>"3"</f>
        <v>3</v>
      </c>
      <c r="I13" s="5">
        <v>-183592.61</v>
      </c>
    </row>
    <row r="14" spans="1:9" x14ac:dyDescent="0.25">
      <c r="A14" s="3">
        <v>186</v>
      </c>
      <c r="B14" s="4">
        <v>44561</v>
      </c>
      <c r="C14" s="3">
        <v>13</v>
      </c>
      <c r="D14" s="3" t="str">
        <f>"1054"</f>
        <v>1054</v>
      </c>
      <c r="E14" s="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4" s="3" t="str">
        <f t="shared" ref="F14:F22" si="1">"1"</f>
        <v>1</v>
      </c>
      <c r="G14" s="3" t="str">
        <f t="shared" si="0"/>
        <v>4</v>
      </c>
      <c r="H14" s="3" t="str">
        <f>"2"</f>
        <v>2</v>
      </c>
      <c r="I14" s="5">
        <v>-3114935.6</v>
      </c>
    </row>
    <row r="15" spans="1:9" x14ac:dyDescent="0.25">
      <c r="A15" s="3">
        <v>124</v>
      </c>
      <c r="B15" s="4">
        <v>44561</v>
      </c>
      <c r="C15" s="3">
        <v>13</v>
      </c>
      <c r="D15" s="3" t="str">
        <f>"1103"</f>
        <v>1103</v>
      </c>
      <c r="E15" s="3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15" s="3" t="str">
        <f t="shared" si="1"/>
        <v>1</v>
      </c>
      <c r="G15" s="3" t="str">
        <f>"3"</f>
        <v>3</v>
      </c>
      <c r="H15" s="3" t="str">
        <f t="shared" ref="H15:H22" si="2">"1"</f>
        <v>1</v>
      </c>
      <c r="I15" s="5">
        <v>3500850694.4400001</v>
      </c>
    </row>
    <row r="16" spans="1:9" x14ac:dyDescent="0.25">
      <c r="A16" s="3">
        <v>1</v>
      </c>
      <c r="B16" s="4">
        <v>44561</v>
      </c>
      <c r="C16" s="3">
        <v>13</v>
      </c>
      <c r="D16" s="3" t="str">
        <f>"1420"</f>
        <v>1420</v>
      </c>
      <c r="E16" s="3" t="str">
        <f>"Финансовый лизинг клиентам"</f>
        <v>Финансовый лизинг клиентам</v>
      </c>
      <c r="F16" s="3" t="str">
        <f t="shared" si="1"/>
        <v>1</v>
      </c>
      <c r="G16" s="3" t="str">
        <f>"7"</f>
        <v>7</v>
      </c>
      <c r="H16" s="3" t="str">
        <f t="shared" si="2"/>
        <v>1</v>
      </c>
      <c r="I16" s="5">
        <v>33747925.979999997</v>
      </c>
    </row>
    <row r="17" spans="1:9" x14ac:dyDescent="0.25">
      <c r="A17" s="3">
        <v>8</v>
      </c>
      <c r="B17" s="4">
        <v>44561</v>
      </c>
      <c r="C17" s="3">
        <v>13</v>
      </c>
      <c r="D17" s="3" t="str">
        <f>"1421"</f>
        <v>1421</v>
      </c>
      <c r="E17" s="3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17" s="3" t="str">
        <f t="shared" si="1"/>
        <v>1</v>
      </c>
      <c r="G17" s="3" t="str">
        <f>"7"</f>
        <v>7</v>
      </c>
      <c r="H17" s="3" t="str">
        <f t="shared" si="2"/>
        <v>1</v>
      </c>
      <c r="I17" s="5">
        <v>33224445.050000001</v>
      </c>
    </row>
    <row r="18" spans="1:9" x14ac:dyDescent="0.25">
      <c r="A18" s="3">
        <v>11</v>
      </c>
      <c r="B18" s="4">
        <v>44561</v>
      </c>
      <c r="C18" s="3">
        <v>13</v>
      </c>
      <c r="D18" s="3" t="str">
        <f>"1426"</f>
        <v>1426</v>
      </c>
      <c r="E18" s="3" t="str">
        <f>"Требования к клиенту по операциям финансирования торговой деятельности"</f>
        <v>Требования к клиенту по операциям финансирования торговой деятельности</v>
      </c>
      <c r="F18" s="3" t="str">
        <f t="shared" si="1"/>
        <v>1</v>
      </c>
      <c r="G18" s="3" t="str">
        <f>"9"</f>
        <v>9</v>
      </c>
      <c r="H18" s="3" t="str">
        <f t="shared" si="2"/>
        <v>1</v>
      </c>
      <c r="I18" s="5">
        <v>10426873136.450001</v>
      </c>
    </row>
    <row r="19" spans="1:9" x14ac:dyDescent="0.25">
      <c r="A19" s="3">
        <v>116</v>
      </c>
      <c r="B19" s="4">
        <v>44561</v>
      </c>
      <c r="C19" s="3">
        <v>13</v>
      </c>
      <c r="D19" s="3" t="str">
        <f>"1426"</f>
        <v>1426</v>
      </c>
      <c r="E19" s="3" t="str">
        <f>"Требования к клиенту по операциям финансирования торговой деятельности"</f>
        <v>Требования к клиенту по операциям финансирования торговой деятельности</v>
      </c>
      <c r="F19" s="3" t="str">
        <f t="shared" si="1"/>
        <v>1</v>
      </c>
      <c r="G19" s="3" t="str">
        <f>"7"</f>
        <v>7</v>
      </c>
      <c r="H19" s="3" t="str">
        <f t="shared" si="2"/>
        <v>1</v>
      </c>
      <c r="I19" s="5">
        <v>28613315182.040001</v>
      </c>
    </row>
    <row r="20" spans="1:9" x14ac:dyDescent="0.25">
      <c r="A20" s="3">
        <v>152</v>
      </c>
      <c r="B20" s="4">
        <v>44561</v>
      </c>
      <c r="C20" s="3">
        <v>13</v>
      </c>
      <c r="D20" s="3" t="str">
        <f>"1427"</f>
        <v>1427</v>
      </c>
      <c r="E20" s="3" t="str">
        <f>"Просроченная задолженность по операциям финансирования торговой деятельности"</f>
        <v>Просроченная задолженность по операциям финансирования торговой деятельности</v>
      </c>
      <c r="F20" s="3" t="str">
        <f t="shared" si="1"/>
        <v>1</v>
      </c>
      <c r="G20" s="3" t="str">
        <f>"7"</f>
        <v>7</v>
      </c>
      <c r="H20" s="3" t="str">
        <f t="shared" si="2"/>
        <v>1</v>
      </c>
      <c r="I20" s="5">
        <v>1313680000</v>
      </c>
    </row>
    <row r="21" spans="1:9" x14ac:dyDescent="0.25">
      <c r="A21" s="3">
        <v>12</v>
      </c>
      <c r="B21" s="4">
        <v>44561</v>
      </c>
      <c r="C21" s="3">
        <v>13</v>
      </c>
      <c r="D21" s="3" t="str">
        <f>"1428"</f>
        <v>1428</v>
      </c>
      <c r="E21" s="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1" s="3" t="str">
        <f t="shared" si="1"/>
        <v>1</v>
      </c>
      <c r="G21" s="3" t="str">
        <f>"7"</f>
        <v>7</v>
      </c>
      <c r="H21" s="3" t="str">
        <f t="shared" si="2"/>
        <v>1</v>
      </c>
      <c r="I21" s="5">
        <v>-1160269994.73</v>
      </c>
    </row>
    <row r="22" spans="1:9" x14ac:dyDescent="0.25">
      <c r="A22" s="3">
        <v>31</v>
      </c>
      <c r="B22" s="4">
        <v>44561</v>
      </c>
      <c r="C22" s="3">
        <v>13</v>
      </c>
      <c r="D22" s="3" t="str">
        <f>"1428"</f>
        <v>1428</v>
      </c>
      <c r="E22" s="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2" s="3" t="str">
        <f t="shared" si="1"/>
        <v>1</v>
      </c>
      <c r="G22" s="3" t="str">
        <f>"9"</f>
        <v>9</v>
      </c>
      <c r="H22" s="3" t="str">
        <f t="shared" si="2"/>
        <v>1</v>
      </c>
      <c r="I22" s="5">
        <v>-519594.55</v>
      </c>
    </row>
    <row r="23" spans="1:9" x14ac:dyDescent="0.25">
      <c r="A23" s="3">
        <v>55</v>
      </c>
      <c r="B23" s="4">
        <v>44561</v>
      </c>
      <c r="C23" s="3">
        <v>13</v>
      </c>
      <c r="D23" s="3" t="str">
        <f>"1652"</f>
        <v>1652</v>
      </c>
      <c r="E23" s="3" t="str">
        <f>"Земля, здания и сооружения"</f>
        <v>Земля, здания и сооружения</v>
      </c>
      <c r="F23" s="3" t="str">
        <f>""</f>
        <v/>
      </c>
      <c r="G23" s="3" t="str">
        <f>""</f>
        <v/>
      </c>
      <c r="H23" s="3" t="str">
        <f>""</f>
        <v/>
      </c>
      <c r="I23" s="5">
        <v>926769590.13999999</v>
      </c>
    </row>
    <row r="24" spans="1:9" x14ac:dyDescent="0.25">
      <c r="A24" s="3">
        <v>159</v>
      </c>
      <c r="B24" s="4">
        <v>44561</v>
      </c>
      <c r="C24" s="3">
        <v>13</v>
      </c>
      <c r="D24" s="3" t="str">
        <f>"1653"</f>
        <v>1653</v>
      </c>
      <c r="E24" s="3" t="str">
        <f>"Компьютерное оборудование"</f>
        <v>Компьютерное оборудование</v>
      </c>
      <c r="F24" s="3" t="str">
        <f>""</f>
        <v/>
      </c>
      <c r="G24" s="3" t="str">
        <f>""</f>
        <v/>
      </c>
      <c r="H24" s="3" t="str">
        <f>""</f>
        <v/>
      </c>
      <c r="I24" s="5">
        <v>400129674.18000001</v>
      </c>
    </row>
    <row r="25" spans="1:9" x14ac:dyDescent="0.25">
      <c r="A25" s="3">
        <v>74</v>
      </c>
      <c r="B25" s="4">
        <v>44561</v>
      </c>
      <c r="C25" s="3">
        <v>13</v>
      </c>
      <c r="D25" s="3" t="str">
        <f>"1654"</f>
        <v>1654</v>
      </c>
      <c r="E25" s="3" t="str">
        <f>"Прочие основные средства"</f>
        <v>Прочие основные средства</v>
      </c>
      <c r="F25" s="3" t="str">
        <f>""</f>
        <v/>
      </c>
      <c r="G25" s="3" t="str">
        <f>""</f>
        <v/>
      </c>
      <c r="H25" s="3" t="str">
        <f>""</f>
        <v/>
      </c>
      <c r="I25" s="5">
        <v>212665350.27000001</v>
      </c>
    </row>
    <row r="26" spans="1:9" x14ac:dyDescent="0.25">
      <c r="A26" s="3">
        <v>3</v>
      </c>
      <c r="B26" s="4">
        <v>44561</v>
      </c>
      <c r="C26" s="3">
        <v>13</v>
      </c>
      <c r="D26" s="3" t="str">
        <f>"1655"</f>
        <v>1655</v>
      </c>
      <c r="E26" s="3" t="str">
        <f>"Активы в форме права пользования"</f>
        <v>Активы в форме права пользования</v>
      </c>
      <c r="F26" s="3" t="str">
        <f>""</f>
        <v/>
      </c>
      <c r="G26" s="3" t="str">
        <f>""</f>
        <v/>
      </c>
      <c r="H26" s="3" t="str">
        <f>""</f>
        <v/>
      </c>
      <c r="I26" s="5">
        <v>2703614706.3400002</v>
      </c>
    </row>
    <row r="27" spans="1:9" x14ac:dyDescent="0.25">
      <c r="A27" s="3">
        <v>82</v>
      </c>
      <c r="B27" s="4">
        <v>44561</v>
      </c>
      <c r="C27" s="3">
        <v>13</v>
      </c>
      <c r="D27" s="3" t="str">
        <f>"1657"</f>
        <v>1657</v>
      </c>
      <c r="E27" s="3" t="str">
        <f>"Капитальные затраты по активам в форме права пользования"</f>
        <v>Капитальные затраты по активам в форме права пользования</v>
      </c>
      <c r="F27" s="3" t="str">
        <f>""</f>
        <v/>
      </c>
      <c r="G27" s="3" t="str">
        <f>""</f>
        <v/>
      </c>
      <c r="H27" s="3" t="str">
        <f>""</f>
        <v/>
      </c>
      <c r="I27" s="5">
        <v>500323847.57999998</v>
      </c>
    </row>
    <row r="28" spans="1:9" x14ac:dyDescent="0.25">
      <c r="A28" s="3">
        <v>167</v>
      </c>
      <c r="B28" s="4">
        <v>44561</v>
      </c>
      <c r="C28" s="3">
        <v>13</v>
      </c>
      <c r="D28" s="3" t="str">
        <f>"1658"</f>
        <v>1658</v>
      </c>
      <c r="E28" s="3" t="str">
        <f>"Транспортные средства"</f>
        <v>Транспортные средства</v>
      </c>
      <c r="F28" s="3" t="str">
        <f>""</f>
        <v/>
      </c>
      <c r="G28" s="3" t="str">
        <f>""</f>
        <v/>
      </c>
      <c r="H28" s="3" t="str">
        <f>""</f>
        <v/>
      </c>
      <c r="I28" s="5">
        <v>22557000</v>
      </c>
    </row>
    <row r="29" spans="1:9" x14ac:dyDescent="0.25">
      <c r="A29" s="3">
        <v>51</v>
      </c>
      <c r="B29" s="4">
        <v>44561</v>
      </c>
      <c r="C29" s="3">
        <v>13</v>
      </c>
      <c r="D29" s="3" t="str">
        <f>"1659"</f>
        <v>1659</v>
      </c>
      <c r="E29" s="3" t="str">
        <f>"Нематериальные активы"</f>
        <v>Нематериальные активы</v>
      </c>
      <c r="F29" s="3" t="str">
        <f>""</f>
        <v/>
      </c>
      <c r="G29" s="3" t="str">
        <f>""</f>
        <v/>
      </c>
      <c r="H29" s="3" t="str">
        <f>""</f>
        <v/>
      </c>
      <c r="I29" s="5">
        <v>416019876.44999999</v>
      </c>
    </row>
    <row r="30" spans="1:9" x14ac:dyDescent="0.25">
      <c r="A30" s="3">
        <v>69</v>
      </c>
      <c r="B30" s="4">
        <v>44561</v>
      </c>
      <c r="C30" s="3">
        <v>13</v>
      </c>
      <c r="D30" s="3" t="str">
        <f>"1692"</f>
        <v>1692</v>
      </c>
      <c r="E30" s="3" t="str">
        <f>"Начисленная амортизация по зданиям и сооружениям"</f>
        <v>Начисленная амортизация по зданиям и сооружениям</v>
      </c>
      <c r="F30" s="3" t="str">
        <f>""</f>
        <v/>
      </c>
      <c r="G30" s="3" t="str">
        <f>""</f>
        <v/>
      </c>
      <c r="H30" s="3" t="str">
        <f>""</f>
        <v/>
      </c>
      <c r="I30" s="5">
        <v>-116535467.64</v>
      </c>
    </row>
    <row r="31" spans="1:9" x14ac:dyDescent="0.25">
      <c r="A31" s="3">
        <v>134</v>
      </c>
      <c r="B31" s="4">
        <v>44561</v>
      </c>
      <c r="C31" s="3">
        <v>13</v>
      </c>
      <c r="D31" s="3" t="str">
        <f>"1693"</f>
        <v>1693</v>
      </c>
      <c r="E31" s="3" t="str">
        <f>"Начисленная амортизация по компьютерному оборудованию"</f>
        <v>Начисленная амортизация по компьютерному оборудованию</v>
      </c>
      <c r="F31" s="3" t="str">
        <f>""</f>
        <v/>
      </c>
      <c r="G31" s="3" t="str">
        <f>""</f>
        <v/>
      </c>
      <c r="H31" s="3" t="str">
        <f>""</f>
        <v/>
      </c>
      <c r="I31" s="5">
        <v>-221702219.97999999</v>
      </c>
    </row>
    <row r="32" spans="1:9" x14ac:dyDescent="0.25">
      <c r="A32" s="3">
        <v>141</v>
      </c>
      <c r="B32" s="4">
        <v>44561</v>
      </c>
      <c r="C32" s="3">
        <v>13</v>
      </c>
      <c r="D32" s="3" t="str">
        <f>"1694"</f>
        <v>1694</v>
      </c>
      <c r="E32" s="3" t="str">
        <f>"Начисленная амортизация по прочим основным средствам"</f>
        <v>Начисленная амортизация по прочим основным средствам</v>
      </c>
      <c r="F32" s="3" t="str">
        <f>""</f>
        <v/>
      </c>
      <c r="G32" s="3" t="str">
        <f>""</f>
        <v/>
      </c>
      <c r="H32" s="3" t="str">
        <f>""</f>
        <v/>
      </c>
      <c r="I32" s="5">
        <v>-146356261.55000001</v>
      </c>
    </row>
    <row r="33" spans="1:9" x14ac:dyDescent="0.25">
      <c r="A33" s="3">
        <v>177</v>
      </c>
      <c r="B33" s="4">
        <v>44561</v>
      </c>
      <c r="C33" s="3">
        <v>13</v>
      </c>
      <c r="D33" s="3" t="str">
        <f>"1695"</f>
        <v>1695</v>
      </c>
      <c r="E33" s="3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33" s="3" t="str">
        <f>""</f>
        <v/>
      </c>
      <c r="G33" s="3" t="str">
        <f>""</f>
        <v/>
      </c>
      <c r="H33" s="3" t="str">
        <f>""</f>
        <v/>
      </c>
      <c r="I33" s="5">
        <v>-1001041520.77</v>
      </c>
    </row>
    <row r="34" spans="1:9" x14ac:dyDescent="0.25">
      <c r="A34" s="3">
        <v>109</v>
      </c>
      <c r="B34" s="4">
        <v>44561</v>
      </c>
      <c r="C34" s="3">
        <v>13</v>
      </c>
      <c r="D34" s="3" t="str">
        <f>"1697"</f>
        <v>1697</v>
      </c>
      <c r="E34" s="3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34" s="3" t="str">
        <f>""</f>
        <v/>
      </c>
      <c r="G34" s="3" t="str">
        <f>""</f>
        <v/>
      </c>
      <c r="H34" s="3" t="str">
        <f>""</f>
        <v/>
      </c>
      <c r="I34" s="5">
        <v>-404226788.69999999</v>
      </c>
    </row>
    <row r="35" spans="1:9" x14ac:dyDescent="0.25">
      <c r="A35" s="3">
        <v>65</v>
      </c>
      <c r="B35" s="4">
        <v>44561</v>
      </c>
      <c r="C35" s="3">
        <v>13</v>
      </c>
      <c r="D35" s="3" t="str">
        <f>"1698"</f>
        <v>1698</v>
      </c>
      <c r="E35" s="3" t="str">
        <f>"Начисленная амортизация по транспортным средствам"</f>
        <v>Начисленная амортизация по транспортным средствам</v>
      </c>
      <c r="F35" s="3" t="str">
        <f>""</f>
        <v/>
      </c>
      <c r="G35" s="3" t="str">
        <f>""</f>
        <v/>
      </c>
      <c r="H35" s="3" t="str">
        <f>""</f>
        <v/>
      </c>
      <c r="I35" s="5">
        <v>-22557000</v>
      </c>
    </row>
    <row r="36" spans="1:9" x14ac:dyDescent="0.25">
      <c r="A36" s="3">
        <v>94</v>
      </c>
      <c r="B36" s="4">
        <v>44561</v>
      </c>
      <c r="C36" s="3">
        <v>13</v>
      </c>
      <c r="D36" s="3" t="str">
        <f>"1699"</f>
        <v>1699</v>
      </c>
      <c r="E36" s="3" t="str">
        <f>"Начисленная амортизация по нематериальным активам"</f>
        <v>Начисленная амортизация по нематериальным активам</v>
      </c>
      <c r="F36" s="3" t="str">
        <f>""</f>
        <v/>
      </c>
      <c r="G36" s="3" t="str">
        <f>""</f>
        <v/>
      </c>
      <c r="H36" s="3" t="str">
        <f>""</f>
        <v/>
      </c>
      <c r="I36" s="5">
        <v>-265890589.61000001</v>
      </c>
    </row>
    <row r="37" spans="1:9" x14ac:dyDescent="0.25">
      <c r="A37" s="3">
        <v>181</v>
      </c>
      <c r="B37" s="4">
        <v>44561</v>
      </c>
      <c r="C37" s="3">
        <v>13</v>
      </c>
      <c r="D37" s="3" t="str">
        <f>"1740"</f>
        <v>1740</v>
      </c>
      <c r="E37" s="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7" s="3" t="str">
        <f>"1"</f>
        <v>1</v>
      </c>
      <c r="G37" s="3" t="str">
        <f>"7"</f>
        <v>7</v>
      </c>
      <c r="H37" s="3" t="str">
        <f>"1"</f>
        <v>1</v>
      </c>
      <c r="I37" s="5">
        <v>112493.09</v>
      </c>
    </row>
    <row r="38" spans="1:9" x14ac:dyDescent="0.25">
      <c r="A38" s="3">
        <v>33</v>
      </c>
      <c r="B38" s="4">
        <v>44561</v>
      </c>
      <c r="C38" s="3">
        <v>13</v>
      </c>
      <c r="D38" s="3" t="str">
        <f>"1741"</f>
        <v>1741</v>
      </c>
      <c r="E38" s="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8" s="3" t="str">
        <f>"1"</f>
        <v>1</v>
      </c>
      <c r="G38" s="3" t="str">
        <f>"7"</f>
        <v>7</v>
      </c>
      <c r="H38" s="3" t="str">
        <f>"1"</f>
        <v>1</v>
      </c>
      <c r="I38" s="5">
        <v>611681.16</v>
      </c>
    </row>
    <row r="39" spans="1:9" x14ac:dyDescent="0.25">
      <c r="A39" s="3">
        <v>102</v>
      </c>
      <c r="B39" s="4">
        <v>44561</v>
      </c>
      <c r="C39" s="3">
        <v>13</v>
      </c>
      <c r="D39" s="3" t="str">
        <f>"1793"</f>
        <v>1793</v>
      </c>
      <c r="E39" s="3" t="str">
        <f>"Расходы будущих периодов"</f>
        <v>Расходы будущих периодов</v>
      </c>
      <c r="F39" s="3" t="str">
        <f>"1"</f>
        <v>1</v>
      </c>
      <c r="G39" s="3" t="str">
        <f>"7"</f>
        <v>7</v>
      </c>
      <c r="H39" s="3" t="str">
        <f>"1"</f>
        <v>1</v>
      </c>
      <c r="I39" s="5">
        <v>62316507.020000003</v>
      </c>
    </row>
    <row r="40" spans="1:9" x14ac:dyDescent="0.25">
      <c r="A40" s="3">
        <v>5</v>
      </c>
      <c r="B40" s="4">
        <v>44561</v>
      </c>
      <c r="C40" s="3">
        <v>13</v>
      </c>
      <c r="D40" s="3" t="str">
        <f>"1799"</f>
        <v>1799</v>
      </c>
      <c r="E40" s="3" t="str">
        <f>"Прочие предоплаты"</f>
        <v>Прочие предоплаты</v>
      </c>
      <c r="F40" s="3" t="str">
        <f>"2"</f>
        <v>2</v>
      </c>
      <c r="G40" s="3" t="str">
        <f>"7"</f>
        <v>7</v>
      </c>
      <c r="H40" s="3" t="str">
        <f>"2"</f>
        <v>2</v>
      </c>
      <c r="I40" s="5">
        <v>18203284.649999999</v>
      </c>
    </row>
    <row r="41" spans="1:9" x14ac:dyDescent="0.25">
      <c r="A41" s="3">
        <v>2</v>
      </c>
      <c r="B41" s="4">
        <v>44561</v>
      </c>
      <c r="C41" s="3">
        <v>13</v>
      </c>
      <c r="D41" s="3" t="str">
        <f>"1838"</f>
        <v>1838</v>
      </c>
      <c r="E41" s="3" t="str">
        <f>"Просроченные прочие комиссионные доходы"</f>
        <v>Просроченные прочие комиссионные доходы</v>
      </c>
      <c r="F41" s="3" t="str">
        <f>"1"</f>
        <v>1</v>
      </c>
      <c r="G41" s="3" t="str">
        <f>""</f>
        <v/>
      </c>
      <c r="H41" s="3" t="str">
        <f>"1"</f>
        <v>1</v>
      </c>
      <c r="I41" s="5">
        <v>1522330.12</v>
      </c>
    </row>
    <row r="42" spans="1:9" x14ac:dyDescent="0.25">
      <c r="A42" s="3">
        <v>49</v>
      </c>
      <c r="B42" s="4">
        <v>44561</v>
      </c>
      <c r="C42" s="3">
        <v>13</v>
      </c>
      <c r="D42" s="3" t="str">
        <f>"1845"</f>
        <v>1845</v>
      </c>
      <c r="E42" s="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42" s="3" t="str">
        <f>"1"</f>
        <v>1</v>
      </c>
      <c r="G42" s="3" t="str">
        <f>""</f>
        <v/>
      </c>
      <c r="H42" s="3" t="str">
        <f>"1"</f>
        <v>1</v>
      </c>
      <c r="I42" s="5">
        <v>-1283806.5900000001</v>
      </c>
    </row>
    <row r="43" spans="1:9" x14ac:dyDescent="0.25">
      <c r="A43" s="3">
        <v>145</v>
      </c>
      <c r="B43" s="4">
        <v>44561</v>
      </c>
      <c r="C43" s="3">
        <v>13</v>
      </c>
      <c r="D43" s="3" t="str">
        <f>"1851"</f>
        <v>1851</v>
      </c>
      <c r="E43" s="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43" s="3" t="str">
        <f>"1"</f>
        <v>1</v>
      </c>
      <c r="G43" s="3" t="str">
        <f>"1"</f>
        <v>1</v>
      </c>
      <c r="H43" s="3" t="str">
        <f>"1"</f>
        <v>1</v>
      </c>
      <c r="I43" s="5">
        <v>440895</v>
      </c>
    </row>
    <row r="44" spans="1:9" x14ac:dyDescent="0.25">
      <c r="A44" s="3">
        <v>139</v>
      </c>
      <c r="B44" s="4">
        <v>44561</v>
      </c>
      <c r="C44" s="3">
        <v>13</v>
      </c>
      <c r="D44" s="3" t="str">
        <f>"1854"</f>
        <v>1854</v>
      </c>
      <c r="E44" s="3" t="str">
        <f>"Расчеты с работниками"</f>
        <v>Расчеты с работниками</v>
      </c>
      <c r="F44" s="3" t="str">
        <f>""</f>
        <v/>
      </c>
      <c r="G44" s="3" t="str">
        <f>""</f>
        <v/>
      </c>
      <c r="H44" s="3" t="str">
        <f>""</f>
        <v/>
      </c>
      <c r="I44" s="5">
        <v>10692603.33</v>
      </c>
    </row>
    <row r="45" spans="1:9" x14ac:dyDescent="0.25">
      <c r="A45" s="3">
        <v>7</v>
      </c>
      <c r="B45" s="4">
        <v>44561</v>
      </c>
      <c r="C45" s="3">
        <v>13</v>
      </c>
      <c r="D45" s="3" t="str">
        <f>"1857"</f>
        <v>1857</v>
      </c>
      <c r="E45" s="3" t="str">
        <f>"Отложенные налоговые активы"</f>
        <v>Отложенные налоговые активы</v>
      </c>
      <c r="F45" s="3" t="str">
        <f>""</f>
        <v/>
      </c>
      <c r="G45" s="3" t="str">
        <f>""</f>
        <v/>
      </c>
      <c r="H45" s="3" t="str">
        <f>""</f>
        <v/>
      </c>
      <c r="I45" s="5">
        <v>30180854.010000002</v>
      </c>
    </row>
    <row r="46" spans="1:9" x14ac:dyDescent="0.25">
      <c r="A46" s="3">
        <v>27</v>
      </c>
      <c r="B46" s="4">
        <v>44561</v>
      </c>
      <c r="C46" s="3">
        <v>13</v>
      </c>
      <c r="D46" s="3" t="str">
        <f>"1860"</f>
        <v>1860</v>
      </c>
      <c r="E46" s="3" t="str">
        <f>"Прочие дебиторы по банковской деятельности"</f>
        <v>Прочие дебиторы по банковской деятельности</v>
      </c>
      <c r="F46" s="3" t="str">
        <f t="shared" ref="F46:F52" si="3">"1"</f>
        <v>1</v>
      </c>
      <c r="G46" s="3" t="str">
        <f>"9"</f>
        <v>9</v>
      </c>
      <c r="H46" s="3" t="str">
        <f>"2"</f>
        <v>2</v>
      </c>
      <c r="I46" s="5">
        <v>4387.09</v>
      </c>
    </row>
    <row r="47" spans="1:9" x14ac:dyDescent="0.25">
      <c r="A47" s="3">
        <v>136</v>
      </c>
      <c r="B47" s="4">
        <v>44561</v>
      </c>
      <c r="C47" s="3">
        <v>13</v>
      </c>
      <c r="D47" s="3" t="str">
        <f>"1860"</f>
        <v>1860</v>
      </c>
      <c r="E47" s="3" t="str">
        <f>"Прочие дебиторы по банковской деятельности"</f>
        <v>Прочие дебиторы по банковской деятельности</v>
      </c>
      <c r="F47" s="3" t="str">
        <f t="shared" si="3"/>
        <v>1</v>
      </c>
      <c r="G47" s="3" t="str">
        <f>"9"</f>
        <v>9</v>
      </c>
      <c r="H47" s="3" t="str">
        <f>"1"</f>
        <v>1</v>
      </c>
      <c r="I47" s="5">
        <v>261373.88</v>
      </c>
    </row>
    <row r="48" spans="1:9" x14ac:dyDescent="0.25">
      <c r="A48" s="3">
        <v>113</v>
      </c>
      <c r="B48" s="4">
        <v>44561</v>
      </c>
      <c r="C48" s="3">
        <v>13</v>
      </c>
      <c r="D48" s="3" t="str">
        <f>"1867"</f>
        <v>1867</v>
      </c>
      <c r="E48" s="3" t="str">
        <f>"Прочие дебиторы по неосновной деятельности"</f>
        <v>Прочие дебиторы по неосновной деятельности</v>
      </c>
      <c r="F48" s="3" t="str">
        <f t="shared" si="3"/>
        <v>1</v>
      </c>
      <c r="G48" s="3" t="str">
        <f>"7"</f>
        <v>7</v>
      </c>
      <c r="H48" s="3" t="str">
        <f>"1"</f>
        <v>1</v>
      </c>
      <c r="I48" s="5">
        <v>144902252.19</v>
      </c>
    </row>
    <row r="49" spans="1:9" x14ac:dyDescent="0.25">
      <c r="A49" s="3">
        <v>90</v>
      </c>
      <c r="B49" s="4">
        <v>44561</v>
      </c>
      <c r="C49" s="3">
        <v>13</v>
      </c>
      <c r="D49" s="3" t="str">
        <f>"1870"</f>
        <v>1870</v>
      </c>
      <c r="E49" s="3" t="str">
        <f>"Прочие транзитные счета"</f>
        <v>Прочие транзитные счета</v>
      </c>
      <c r="F49" s="3" t="str">
        <f t="shared" si="3"/>
        <v>1</v>
      </c>
      <c r="G49" s="3" t="str">
        <f>"5"</f>
        <v>5</v>
      </c>
      <c r="H49" s="3" t="str">
        <f>"2"</f>
        <v>2</v>
      </c>
      <c r="I49" s="5">
        <v>2871470000</v>
      </c>
    </row>
    <row r="50" spans="1:9" x14ac:dyDescent="0.25">
      <c r="A50" s="3">
        <v>98</v>
      </c>
      <c r="B50" s="4">
        <v>44561</v>
      </c>
      <c r="C50" s="3">
        <v>13</v>
      </c>
      <c r="D50" s="3" t="str">
        <f>"1894"</f>
        <v>1894</v>
      </c>
      <c r="E50" s="3" t="str">
        <f>"Требования по операциям спот"</f>
        <v>Требования по операциям спот</v>
      </c>
      <c r="F50" s="3" t="str">
        <f t="shared" si="3"/>
        <v>1</v>
      </c>
      <c r="G50" s="3" t="str">
        <f>"5"</f>
        <v>5</v>
      </c>
      <c r="H50" s="3" t="str">
        <f>"1"</f>
        <v>1</v>
      </c>
      <c r="I50" s="5">
        <v>367760</v>
      </c>
    </row>
    <row r="51" spans="1:9" x14ac:dyDescent="0.25">
      <c r="A51" s="3">
        <v>107</v>
      </c>
      <c r="B51" s="4">
        <v>44561</v>
      </c>
      <c r="C51" s="3">
        <v>13</v>
      </c>
      <c r="D51" s="3" t="str">
        <f>"2013"</f>
        <v>2013</v>
      </c>
      <c r="E51" s="3" t="str">
        <f>"Корреспондентские счета других банков"</f>
        <v>Корреспондентские счета других банков</v>
      </c>
      <c r="F51" s="3" t="str">
        <f t="shared" si="3"/>
        <v>1</v>
      </c>
      <c r="G51" s="3" t="str">
        <f>"4"</f>
        <v>4</v>
      </c>
      <c r="H51" s="3" t="str">
        <f>"3"</f>
        <v>3</v>
      </c>
      <c r="I51" s="5">
        <v>22953932.960000001</v>
      </c>
    </row>
    <row r="52" spans="1:9" x14ac:dyDescent="0.25">
      <c r="A52" s="3">
        <v>147</v>
      </c>
      <c r="B52" s="4">
        <v>44561</v>
      </c>
      <c r="C52" s="3">
        <v>13</v>
      </c>
      <c r="D52" s="3" t="str">
        <f>"2014"</f>
        <v>2014</v>
      </c>
      <c r="E52" s="3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52" s="3" t="str">
        <f t="shared" si="3"/>
        <v>1</v>
      </c>
      <c r="G52" s="3" t="str">
        <f>"6"</f>
        <v>6</v>
      </c>
      <c r="H52" s="3" t="str">
        <f>"1"</f>
        <v>1</v>
      </c>
      <c r="I52" s="5">
        <v>45900</v>
      </c>
    </row>
    <row r="53" spans="1:9" x14ac:dyDescent="0.25">
      <c r="A53" s="3">
        <v>13</v>
      </c>
      <c r="B53" s="4">
        <v>44561</v>
      </c>
      <c r="C53" s="3">
        <v>13</v>
      </c>
      <c r="D53" s="3" t="str">
        <f t="shared" ref="D53:D67" si="4">"2203"</f>
        <v>2203</v>
      </c>
      <c r="E53" s="3" t="str">
        <f t="shared" ref="E53:E67" si="5">"Текущие счета юридических лиц"</f>
        <v>Текущие счета юридических лиц</v>
      </c>
      <c r="F53" s="3" t="str">
        <f>"2"</f>
        <v>2</v>
      </c>
      <c r="G53" s="3" t="str">
        <f>"7"</f>
        <v>7</v>
      </c>
      <c r="H53" s="3" t="str">
        <f>"1"</f>
        <v>1</v>
      </c>
      <c r="I53" s="5">
        <v>10151088.289999999</v>
      </c>
    </row>
    <row r="54" spans="1:9" x14ac:dyDescent="0.25">
      <c r="A54" s="3">
        <v>32</v>
      </c>
      <c r="B54" s="4">
        <v>44561</v>
      </c>
      <c r="C54" s="3">
        <v>13</v>
      </c>
      <c r="D54" s="3" t="str">
        <f t="shared" si="4"/>
        <v>2203</v>
      </c>
      <c r="E54" s="3" t="str">
        <f t="shared" si="5"/>
        <v>Текущие счета юридических лиц</v>
      </c>
      <c r="F54" s="3" t="str">
        <f>"2"</f>
        <v>2</v>
      </c>
      <c r="G54" s="3" t="str">
        <f>"1"</f>
        <v>1</v>
      </c>
      <c r="H54" s="3" t="str">
        <f>"1"</f>
        <v>1</v>
      </c>
      <c r="I54" s="5">
        <v>330785273.49000001</v>
      </c>
    </row>
    <row r="55" spans="1:9" x14ac:dyDescent="0.25">
      <c r="A55" s="3">
        <v>35</v>
      </c>
      <c r="B55" s="4">
        <v>44561</v>
      </c>
      <c r="C55" s="3">
        <v>13</v>
      </c>
      <c r="D55" s="3" t="str">
        <f t="shared" si="4"/>
        <v>2203</v>
      </c>
      <c r="E55" s="3" t="str">
        <f t="shared" si="5"/>
        <v>Текущие счета юридических лиц</v>
      </c>
      <c r="F55" s="3" t="str">
        <f>"1"</f>
        <v>1</v>
      </c>
      <c r="G55" s="3" t="str">
        <f>"8"</f>
        <v>8</v>
      </c>
      <c r="H55" s="3" t="str">
        <f>"2"</f>
        <v>2</v>
      </c>
      <c r="I55" s="5">
        <v>2372620562.3400002</v>
      </c>
    </row>
    <row r="56" spans="1:9" x14ac:dyDescent="0.25">
      <c r="A56" s="3">
        <v>41</v>
      </c>
      <c r="B56" s="4">
        <v>44561</v>
      </c>
      <c r="C56" s="3">
        <v>13</v>
      </c>
      <c r="D56" s="3" t="str">
        <f t="shared" si="4"/>
        <v>2203</v>
      </c>
      <c r="E56" s="3" t="str">
        <f t="shared" si="5"/>
        <v>Текущие счета юридических лиц</v>
      </c>
      <c r="F56" s="3" t="str">
        <f>"2"</f>
        <v>2</v>
      </c>
      <c r="G56" s="3" t="str">
        <f>"7"</f>
        <v>7</v>
      </c>
      <c r="H56" s="3" t="str">
        <f>"2"</f>
        <v>2</v>
      </c>
      <c r="I56" s="5">
        <v>808764746.74000001</v>
      </c>
    </row>
    <row r="57" spans="1:9" x14ac:dyDescent="0.25">
      <c r="A57" s="3">
        <v>63</v>
      </c>
      <c r="B57" s="4">
        <v>44561</v>
      </c>
      <c r="C57" s="3">
        <v>13</v>
      </c>
      <c r="D57" s="3" t="str">
        <f t="shared" si="4"/>
        <v>2203</v>
      </c>
      <c r="E57" s="3" t="str">
        <f t="shared" si="5"/>
        <v>Текущие счета юридических лиц</v>
      </c>
      <c r="F57" s="3" t="str">
        <f t="shared" ref="F57:F62" si="6">"1"</f>
        <v>1</v>
      </c>
      <c r="G57" s="3" t="str">
        <f>"5"</f>
        <v>5</v>
      </c>
      <c r="H57" s="3" t="str">
        <f>"1"</f>
        <v>1</v>
      </c>
      <c r="I57" s="5">
        <v>4971000</v>
      </c>
    </row>
    <row r="58" spans="1:9" x14ac:dyDescent="0.25">
      <c r="A58" s="3">
        <v>68</v>
      </c>
      <c r="B58" s="4">
        <v>44561</v>
      </c>
      <c r="C58" s="3">
        <v>13</v>
      </c>
      <c r="D58" s="3" t="str">
        <f t="shared" si="4"/>
        <v>2203</v>
      </c>
      <c r="E58" s="3" t="str">
        <f t="shared" si="5"/>
        <v>Текущие счета юридических лиц</v>
      </c>
      <c r="F58" s="3" t="str">
        <f t="shared" si="6"/>
        <v>1</v>
      </c>
      <c r="G58" s="3" t="str">
        <f>"7"</f>
        <v>7</v>
      </c>
      <c r="H58" s="3" t="str">
        <f>"2"</f>
        <v>2</v>
      </c>
      <c r="I58" s="5">
        <v>4122754561.6300001</v>
      </c>
    </row>
    <row r="59" spans="1:9" x14ac:dyDescent="0.25">
      <c r="A59" s="3">
        <v>71</v>
      </c>
      <c r="B59" s="4">
        <v>44561</v>
      </c>
      <c r="C59" s="3">
        <v>13</v>
      </c>
      <c r="D59" s="3" t="str">
        <f t="shared" si="4"/>
        <v>2203</v>
      </c>
      <c r="E59" s="3" t="str">
        <f t="shared" si="5"/>
        <v>Текущие счета юридических лиц</v>
      </c>
      <c r="F59" s="3" t="str">
        <f t="shared" si="6"/>
        <v>1</v>
      </c>
      <c r="G59" s="3" t="str">
        <f>"5"</f>
        <v>5</v>
      </c>
      <c r="H59" s="3" t="str">
        <f>"2"</f>
        <v>2</v>
      </c>
      <c r="I59" s="5">
        <v>3387103.97</v>
      </c>
    </row>
    <row r="60" spans="1:9" x14ac:dyDescent="0.25">
      <c r="A60" s="3">
        <v>130</v>
      </c>
      <c r="B60" s="4">
        <v>44561</v>
      </c>
      <c r="C60" s="3">
        <v>13</v>
      </c>
      <c r="D60" s="3" t="str">
        <f t="shared" si="4"/>
        <v>2203</v>
      </c>
      <c r="E60" s="3" t="str">
        <f t="shared" si="5"/>
        <v>Текущие счета юридических лиц</v>
      </c>
      <c r="F60" s="3" t="str">
        <f t="shared" si="6"/>
        <v>1</v>
      </c>
      <c r="G60" s="3" t="str">
        <f>"7"</f>
        <v>7</v>
      </c>
      <c r="H60" s="3" t="str">
        <f>"3"</f>
        <v>3</v>
      </c>
      <c r="I60" s="5">
        <v>500.85</v>
      </c>
    </row>
    <row r="61" spans="1:9" x14ac:dyDescent="0.25">
      <c r="A61" s="3">
        <v>137</v>
      </c>
      <c r="B61" s="4">
        <v>44561</v>
      </c>
      <c r="C61" s="3">
        <v>13</v>
      </c>
      <c r="D61" s="3" t="str">
        <f t="shared" si="4"/>
        <v>2203</v>
      </c>
      <c r="E61" s="3" t="str">
        <f t="shared" si="5"/>
        <v>Текущие счета юридических лиц</v>
      </c>
      <c r="F61" s="3" t="str">
        <f t="shared" si="6"/>
        <v>1</v>
      </c>
      <c r="G61" s="3" t="str">
        <f>"8"</f>
        <v>8</v>
      </c>
      <c r="H61" s="3" t="str">
        <f>"1"</f>
        <v>1</v>
      </c>
      <c r="I61" s="5">
        <v>10322648.98</v>
      </c>
    </row>
    <row r="62" spans="1:9" x14ac:dyDescent="0.25">
      <c r="A62" s="3">
        <v>138</v>
      </c>
      <c r="B62" s="4">
        <v>44561</v>
      </c>
      <c r="C62" s="3">
        <v>13</v>
      </c>
      <c r="D62" s="3" t="str">
        <f t="shared" si="4"/>
        <v>2203</v>
      </c>
      <c r="E62" s="3" t="str">
        <f t="shared" si="5"/>
        <v>Текущие счета юридических лиц</v>
      </c>
      <c r="F62" s="3" t="str">
        <f t="shared" si="6"/>
        <v>1</v>
      </c>
      <c r="G62" s="3" t="str">
        <f>"6"</f>
        <v>6</v>
      </c>
      <c r="H62" s="3" t="str">
        <f>"2"</f>
        <v>2</v>
      </c>
      <c r="I62" s="5">
        <v>4601740577.3000002</v>
      </c>
    </row>
    <row r="63" spans="1:9" x14ac:dyDescent="0.25">
      <c r="A63" s="3">
        <v>140</v>
      </c>
      <c r="B63" s="4">
        <v>44561</v>
      </c>
      <c r="C63" s="3">
        <v>13</v>
      </c>
      <c r="D63" s="3" t="str">
        <f t="shared" si="4"/>
        <v>2203</v>
      </c>
      <c r="E63" s="3" t="str">
        <f t="shared" si="5"/>
        <v>Текущие счета юридических лиц</v>
      </c>
      <c r="F63" s="3" t="str">
        <f>"2"</f>
        <v>2</v>
      </c>
      <c r="G63" s="3" t="str">
        <f>"1"</f>
        <v>1</v>
      </c>
      <c r="H63" s="3" t="str">
        <f>"2"</f>
        <v>2</v>
      </c>
      <c r="I63" s="5">
        <v>1469067550.5599999</v>
      </c>
    </row>
    <row r="64" spans="1:9" x14ac:dyDescent="0.25">
      <c r="A64" s="3">
        <v>149</v>
      </c>
      <c r="B64" s="4">
        <v>44561</v>
      </c>
      <c r="C64" s="3">
        <v>13</v>
      </c>
      <c r="D64" s="3" t="str">
        <f t="shared" si="4"/>
        <v>2203</v>
      </c>
      <c r="E64" s="3" t="str">
        <f t="shared" si="5"/>
        <v>Текущие счета юридических лиц</v>
      </c>
      <c r="F64" s="3" t="str">
        <f>"1"</f>
        <v>1</v>
      </c>
      <c r="G64" s="3" t="str">
        <f>"7"</f>
        <v>7</v>
      </c>
      <c r="H64" s="3" t="str">
        <f>"1"</f>
        <v>1</v>
      </c>
      <c r="I64" s="5">
        <v>3549899765.4200001</v>
      </c>
    </row>
    <row r="65" spans="1:9" x14ac:dyDescent="0.25">
      <c r="A65" s="3">
        <v>158</v>
      </c>
      <c r="B65" s="4">
        <v>44561</v>
      </c>
      <c r="C65" s="3">
        <v>13</v>
      </c>
      <c r="D65" s="3" t="str">
        <f t="shared" si="4"/>
        <v>2203</v>
      </c>
      <c r="E65" s="3" t="str">
        <f t="shared" si="5"/>
        <v>Текущие счета юридических лиц</v>
      </c>
      <c r="F65" s="3" t="str">
        <f>"1"</f>
        <v>1</v>
      </c>
      <c r="G65" s="3" t="str">
        <f>"8"</f>
        <v>8</v>
      </c>
      <c r="H65" s="3" t="str">
        <f>"3"</f>
        <v>3</v>
      </c>
      <c r="I65" s="5">
        <v>80883178.560000002</v>
      </c>
    </row>
    <row r="66" spans="1:9" x14ac:dyDescent="0.25">
      <c r="A66" s="3">
        <v>164</v>
      </c>
      <c r="B66" s="4">
        <v>44561</v>
      </c>
      <c r="C66" s="3">
        <v>13</v>
      </c>
      <c r="D66" s="3" t="str">
        <f t="shared" si="4"/>
        <v>2203</v>
      </c>
      <c r="E66" s="3" t="str">
        <f t="shared" si="5"/>
        <v>Текущие счета юридических лиц</v>
      </c>
      <c r="F66" s="3" t="str">
        <f>"1"</f>
        <v>1</v>
      </c>
      <c r="G66" s="3" t="str">
        <f>"6"</f>
        <v>6</v>
      </c>
      <c r="H66" s="3" t="str">
        <f>"1"</f>
        <v>1</v>
      </c>
      <c r="I66" s="5">
        <v>1120</v>
      </c>
    </row>
    <row r="67" spans="1:9" x14ac:dyDescent="0.25">
      <c r="A67" s="3">
        <v>165</v>
      </c>
      <c r="B67" s="4">
        <v>44561</v>
      </c>
      <c r="C67" s="3">
        <v>13</v>
      </c>
      <c r="D67" s="3" t="str">
        <f t="shared" si="4"/>
        <v>2203</v>
      </c>
      <c r="E67" s="3" t="str">
        <f t="shared" si="5"/>
        <v>Текущие счета юридических лиц</v>
      </c>
      <c r="F67" s="3" t="str">
        <f>"2"</f>
        <v>2</v>
      </c>
      <c r="G67" s="3" t="str">
        <f>"5"</f>
        <v>5</v>
      </c>
      <c r="H67" s="3" t="str">
        <f>"2"</f>
        <v>2</v>
      </c>
      <c r="I67" s="5">
        <v>1122.68</v>
      </c>
    </row>
    <row r="68" spans="1:9" x14ac:dyDescent="0.25">
      <c r="A68" s="3">
        <v>45</v>
      </c>
      <c r="B68" s="4">
        <v>44561</v>
      </c>
      <c r="C68" s="3">
        <v>13</v>
      </c>
      <c r="D68" s="3" t="str">
        <f>"2204"</f>
        <v>2204</v>
      </c>
      <c r="E68" s="3" t="str">
        <f>"Текущие счета физических лиц"</f>
        <v>Текущие счета физических лиц</v>
      </c>
      <c r="F68" s="3" t="str">
        <f>"2"</f>
        <v>2</v>
      </c>
      <c r="G68" s="3" t="str">
        <f>"9"</f>
        <v>9</v>
      </c>
      <c r="H68" s="3" t="str">
        <f>"1"</f>
        <v>1</v>
      </c>
      <c r="I68" s="5">
        <v>26491288.280000001</v>
      </c>
    </row>
    <row r="69" spans="1:9" x14ac:dyDescent="0.25">
      <c r="A69" s="3">
        <v>53</v>
      </c>
      <c r="B69" s="4">
        <v>44561</v>
      </c>
      <c r="C69" s="3">
        <v>13</v>
      </c>
      <c r="D69" s="3" t="str">
        <f>"2204"</f>
        <v>2204</v>
      </c>
      <c r="E69" s="3" t="str">
        <f>"Текущие счета физических лиц"</f>
        <v>Текущие счета физических лиц</v>
      </c>
      <c r="F69" s="3" t="str">
        <f>"1"</f>
        <v>1</v>
      </c>
      <c r="G69" s="3" t="str">
        <f>"9"</f>
        <v>9</v>
      </c>
      <c r="H69" s="3" t="str">
        <f>"3"</f>
        <v>3</v>
      </c>
      <c r="I69" s="5">
        <v>5119506.8600000003</v>
      </c>
    </row>
    <row r="70" spans="1:9" x14ac:dyDescent="0.25">
      <c r="A70" s="3">
        <v>62</v>
      </c>
      <c r="B70" s="4">
        <v>44561</v>
      </c>
      <c r="C70" s="3">
        <v>13</v>
      </c>
      <c r="D70" s="3" t="str">
        <f>"2204"</f>
        <v>2204</v>
      </c>
      <c r="E70" s="3" t="str">
        <f>"Текущие счета физических лиц"</f>
        <v>Текущие счета физических лиц</v>
      </c>
      <c r="F70" s="3" t="str">
        <f>"1"</f>
        <v>1</v>
      </c>
      <c r="G70" s="3" t="str">
        <f>"9"</f>
        <v>9</v>
      </c>
      <c r="H70" s="3" t="str">
        <f>"2"</f>
        <v>2</v>
      </c>
      <c r="I70" s="5">
        <v>945815972.64999998</v>
      </c>
    </row>
    <row r="71" spans="1:9" x14ac:dyDescent="0.25">
      <c r="A71" s="3">
        <v>148</v>
      </c>
      <c r="B71" s="4">
        <v>44561</v>
      </c>
      <c r="C71" s="3">
        <v>13</v>
      </c>
      <c r="D71" s="3" t="str">
        <f>"2204"</f>
        <v>2204</v>
      </c>
      <c r="E71" s="3" t="str">
        <f>"Текущие счета физических лиц"</f>
        <v>Текущие счета физических лиц</v>
      </c>
      <c r="F71" s="3" t="str">
        <f>"1"</f>
        <v>1</v>
      </c>
      <c r="G71" s="3" t="str">
        <f>"9"</f>
        <v>9</v>
      </c>
      <c r="H71" s="3" t="str">
        <f>"1"</f>
        <v>1</v>
      </c>
      <c r="I71" s="5">
        <v>823229590.54999995</v>
      </c>
    </row>
    <row r="72" spans="1:9" x14ac:dyDescent="0.25">
      <c r="A72" s="3">
        <v>185</v>
      </c>
      <c r="B72" s="4">
        <v>44561</v>
      </c>
      <c r="C72" s="3">
        <v>13</v>
      </c>
      <c r="D72" s="3" t="str">
        <f>"2204"</f>
        <v>2204</v>
      </c>
      <c r="E72" s="3" t="str">
        <f>"Текущие счета физических лиц"</f>
        <v>Текущие счета физических лиц</v>
      </c>
      <c r="F72" s="3" t="str">
        <f>"2"</f>
        <v>2</v>
      </c>
      <c r="G72" s="3" t="str">
        <f>"9"</f>
        <v>9</v>
      </c>
      <c r="H72" s="3" t="str">
        <f>"2"</f>
        <v>2</v>
      </c>
      <c r="I72" s="5">
        <v>72744944.769999996</v>
      </c>
    </row>
    <row r="73" spans="1:9" x14ac:dyDescent="0.25">
      <c r="A73" s="3">
        <v>59</v>
      </c>
      <c r="B73" s="4">
        <v>44561</v>
      </c>
      <c r="C73" s="3">
        <v>13</v>
      </c>
      <c r="D73" s="3" t="str">
        <f>"2227"</f>
        <v>2227</v>
      </c>
      <c r="E73" s="3" t="str">
        <f>"Обязательства по аренде"</f>
        <v>Обязательства по аренде</v>
      </c>
      <c r="F73" s="3" t="str">
        <f t="shared" ref="F73:F78" si="7">"1"</f>
        <v>1</v>
      </c>
      <c r="G73" s="3" t="str">
        <f t="shared" ref="G73:G80" si="8">"7"</f>
        <v>7</v>
      </c>
      <c r="H73" s="3" t="str">
        <f>"1"</f>
        <v>1</v>
      </c>
      <c r="I73" s="5">
        <v>617821737.57000005</v>
      </c>
    </row>
    <row r="74" spans="1:9" x14ac:dyDescent="0.25">
      <c r="A74" s="3">
        <v>66</v>
      </c>
      <c r="B74" s="4">
        <v>44561</v>
      </c>
      <c r="C74" s="3">
        <v>13</v>
      </c>
      <c r="D74" s="3" t="str">
        <f>"2227"</f>
        <v>2227</v>
      </c>
      <c r="E74" s="3" t="str">
        <f>"Обязательства по аренде"</f>
        <v>Обязательства по аренде</v>
      </c>
      <c r="F74" s="3" t="str">
        <f t="shared" si="7"/>
        <v>1</v>
      </c>
      <c r="G74" s="3" t="str">
        <f t="shared" si="8"/>
        <v>7</v>
      </c>
      <c r="H74" s="3" t="str">
        <f>"2"</f>
        <v>2</v>
      </c>
      <c r="I74" s="5">
        <v>938390972.59000003</v>
      </c>
    </row>
    <row r="75" spans="1:9" x14ac:dyDescent="0.25">
      <c r="A75" s="3">
        <v>118</v>
      </c>
      <c r="B75" s="4">
        <v>44561</v>
      </c>
      <c r="C75" s="3">
        <v>13</v>
      </c>
      <c r="D75" s="3" t="str">
        <f>"2237"</f>
        <v>2237</v>
      </c>
      <c r="E75" s="3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75" s="3" t="str">
        <f t="shared" si="7"/>
        <v>1</v>
      </c>
      <c r="G75" s="3" t="str">
        <f t="shared" si="8"/>
        <v>7</v>
      </c>
      <c r="H75" s="3" t="str">
        <f>"2"</f>
        <v>2</v>
      </c>
      <c r="I75" s="5">
        <v>20296266.75</v>
      </c>
    </row>
    <row r="76" spans="1:9" x14ac:dyDescent="0.25">
      <c r="A76" s="3">
        <v>176</v>
      </c>
      <c r="B76" s="4">
        <v>44561</v>
      </c>
      <c r="C76" s="3">
        <v>13</v>
      </c>
      <c r="D76" s="3" t="str">
        <f>"2237"</f>
        <v>2237</v>
      </c>
      <c r="E76" s="3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76" s="3" t="str">
        <f t="shared" si="7"/>
        <v>1</v>
      </c>
      <c r="G76" s="3" t="str">
        <f t="shared" si="8"/>
        <v>7</v>
      </c>
      <c r="H76" s="3" t="str">
        <f>"1"</f>
        <v>1</v>
      </c>
      <c r="I76" s="5">
        <v>284480</v>
      </c>
    </row>
    <row r="77" spans="1:9" x14ac:dyDescent="0.25">
      <c r="A77" s="3">
        <v>179</v>
      </c>
      <c r="B77" s="4">
        <v>44561</v>
      </c>
      <c r="C77" s="3">
        <v>13</v>
      </c>
      <c r="D77" s="3" t="str">
        <f>"2245"</f>
        <v>2245</v>
      </c>
      <c r="E77" s="3" t="str">
        <f>"Инвестиционные депозиты"</f>
        <v>Инвестиционные депозиты</v>
      </c>
      <c r="F77" s="3" t="str">
        <f t="shared" si="7"/>
        <v>1</v>
      </c>
      <c r="G77" s="3" t="str">
        <f t="shared" si="8"/>
        <v>7</v>
      </c>
      <c r="H77" s="3" t="str">
        <f>"1"</f>
        <v>1</v>
      </c>
      <c r="I77" s="5">
        <v>1771892438.74</v>
      </c>
    </row>
    <row r="78" spans="1:9" x14ac:dyDescent="0.25">
      <c r="A78" s="3">
        <v>106</v>
      </c>
      <c r="B78" s="4">
        <v>44561</v>
      </c>
      <c r="C78" s="3">
        <v>13</v>
      </c>
      <c r="D78" s="3" t="str">
        <f>"2745"</f>
        <v>2745</v>
      </c>
      <c r="E78" s="3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78" s="3" t="str">
        <f t="shared" si="7"/>
        <v>1</v>
      </c>
      <c r="G78" s="3" t="str">
        <f t="shared" si="8"/>
        <v>7</v>
      </c>
      <c r="H78" s="3" t="str">
        <f>"2"</f>
        <v>2</v>
      </c>
      <c r="I78" s="5">
        <v>186591851.34</v>
      </c>
    </row>
    <row r="79" spans="1:9" x14ac:dyDescent="0.25">
      <c r="A79" s="3">
        <v>19</v>
      </c>
      <c r="B79" s="4">
        <v>44561</v>
      </c>
      <c r="C79" s="3">
        <v>13</v>
      </c>
      <c r="D79" s="3" t="str">
        <f>"2770"</f>
        <v>2770</v>
      </c>
      <c r="E79" s="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9" s="3" t="str">
        <f>"2"</f>
        <v>2</v>
      </c>
      <c r="G79" s="3" t="str">
        <f t="shared" si="8"/>
        <v>7</v>
      </c>
      <c r="H79" s="3" t="str">
        <f>"2"</f>
        <v>2</v>
      </c>
      <c r="I79" s="5">
        <v>1184093.4099999999</v>
      </c>
    </row>
    <row r="80" spans="1:9" x14ac:dyDescent="0.25">
      <c r="A80" s="3">
        <v>115</v>
      </c>
      <c r="B80" s="4">
        <v>44561</v>
      </c>
      <c r="C80" s="3">
        <v>13</v>
      </c>
      <c r="D80" s="3" t="str">
        <f>"2770"</f>
        <v>2770</v>
      </c>
      <c r="E80" s="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80" s="3" t="str">
        <f>"1"</f>
        <v>1</v>
      </c>
      <c r="G80" s="3" t="str">
        <f t="shared" si="8"/>
        <v>7</v>
      </c>
      <c r="H80" s="3" t="str">
        <f>"1"</f>
        <v>1</v>
      </c>
      <c r="I80" s="5">
        <v>54797818.770000003</v>
      </c>
    </row>
    <row r="81" spans="1:9" x14ac:dyDescent="0.25">
      <c r="A81" s="3">
        <v>24</v>
      </c>
      <c r="B81" s="4">
        <v>44561</v>
      </c>
      <c r="C81" s="3">
        <v>13</v>
      </c>
      <c r="D81" s="3" t="str">
        <f>"2794"</f>
        <v>2794</v>
      </c>
      <c r="E81" s="3" t="str">
        <f>"Доходы будущих периодов"</f>
        <v>Доходы будущих периодов</v>
      </c>
      <c r="F81" s="3" t="str">
        <f>"1"</f>
        <v>1</v>
      </c>
      <c r="G81" s="3" t="str">
        <f>"9"</f>
        <v>9</v>
      </c>
      <c r="H81" s="3" t="str">
        <f>"1"</f>
        <v>1</v>
      </c>
      <c r="I81" s="5">
        <v>4809174588.2600002</v>
      </c>
    </row>
    <row r="82" spans="1:9" x14ac:dyDescent="0.25">
      <c r="A82" s="3">
        <v>34</v>
      </c>
      <c r="B82" s="4">
        <v>44561</v>
      </c>
      <c r="C82" s="3">
        <v>13</v>
      </c>
      <c r="D82" s="3" t="str">
        <f>"2794"</f>
        <v>2794</v>
      </c>
      <c r="E82" s="3" t="str">
        <f>"Доходы будущих периодов"</f>
        <v>Доходы будущих периодов</v>
      </c>
      <c r="F82" s="3" t="str">
        <f>"1"</f>
        <v>1</v>
      </c>
      <c r="G82" s="3" t="str">
        <f>"7"</f>
        <v>7</v>
      </c>
      <c r="H82" s="3" t="str">
        <f>"1"</f>
        <v>1</v>
      </c>
      <c r="I82" s="5">
        <v>6086348651.8400002</v>
      </c>
    </row>
    <row r="83" spans="1:9" x14ac:dyDescent="0.25">
      <c r="A83" s="3">
        <v>183</v>
      </c>
      <c r="B83" s="4">
        <v>44561</v>
      </c>
      <c r="C83" s="3">
        <v>13</v>
      </c>
      <c r="D83" s="3" t="str">
        <f>"2794"</f>
        <v>2794</v>
      </c>
      <c r="E83" s="3" t="str">
        <f>"Доходы будущих периодов"</f>
        <v>Доходы будущих периодов</v>
      </c>
      <c r="F83" s="3" t="str">
        <f>"1"</f>
        <v>1</v>
      </c>
      <c r="G83" s="3" t="str">
        <f>"7"</f>
        <v>7</v>
      </c>
      <c r="H83" s="3" t="str">
        <f>"2"</f>
        <v>2</v>
      </c>
      <c r="I83" s="5">
        <v>20640903.600000001</v>
      </c>
    </row>
    <row r="84" spans="1:9" x14ac:dyDescent="0.25">
      <c r="A84" s="3">
        <v>44</v>
      </c>
      <c r="B84" s="4">
        <v>44561</v>
      </c>
      <c r="C84" s="3">
        <v>13</v>
      </c>
      <c r="D84" s="3" t="str">
        <f>"2818"</f>
        <v>2818</v>
      </c>
      <c r="E84" s="3" t="str">
        <f>"Начисленные прочие комиссионные расходы"</f>
        <v>Начисленные прочие комиссионные расходы</v>
      </c>
      <c r="F84" s="3" t="str">
        <f>"2"</f>
        <v>2</v>
      </c>
      <c r="G84" s="3" t="str">
        <f>""</f>
        <v/>
      </c>
      <c r="H84" s="3" t="str">
        <f>"2"</f>
        <v>2</v>
      </c>
      <c r="I84" s="5">
        <v>1524254</v>
      </c>
    </row>
    <row r="85" spans="1:9" x14ac:dyDescent="0.25">
      <c r="A85" s="3">
        <v>123</v>
      </c>
      <c r="B85" s="4">
        <v>44561</v>
      </c>
      <c r="C85" s="3">
        <v>13</v>
      </c>
      <c r="D85" s="3" t="str">
        <f>"2818"</f>
        <v>2818</v>
      </c>
      <c r="E85" s="3" t="str">
        <f>"Начисленные прочие комиссионные расходы"</f>
        <v>Начисленные прочие комиссионные расходы</v>
      </c>
      <c r="F85" s="3" t="str">
        <f>"1"</f>
        <v>1</v>
      </c>
      <c r="G85" s="3" t="str">
        <f>""</f>
        <v/>
      </c>
      <c r="H85" s="3" t="str">
        <f>"1"</f>
        <v>1</v>
      </c>
      <c r="I85" s="5">
        <v>750100</v>
      </c>
    </row>
    <row r="86" spans="1:9" x14ac:dyDescent="0.25">
      <c r="A86" s="3">
        <v>108</v>
      </c>
      <c r="B86" s="4">
        <v>44561</v>
      </c>
      <c r="C86" s="3">
        <v>13</v>
      </c>
      <c r="D86" s="3" t="str">
        <f>"2851"</f>
        <v>2851</v>
      </c>
      <c r="E86" s="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86" s="3" t="str">
        <f>"1"</f>
        <v>1</v>
      </c>
      <c r="G86" s="3" t="str">
        <f>"1"</f>
        <v>1</v>
      </c>
      <c r="H86" s="3" t="str">
        <f>"1"</f>
        <v>1</v>
      </c>
      <c r="I86" s="5">
        <v>18700519.100000001</v>
      </c>
    </row>
    <row r="87" spans="1:9" x14ac:dyDescent="0.25">
      <c r="A87" s="3">
        <v>97</v>
      </c>
      <c r="B87" s="4">
        <v>44561</v>
      </c>
      <c r="C87" s="3">
        <v>13</v>
      </c>
      <c r="D87" s="3" t="str">
        <f>"2854"</f>
        <v>2854</v>
      </c>
      <c r="E87" s="3" t="str">
        <f>"Расчеты с работниками"</f>
        <v>Расчеты с работниками</v>
      </c>
      <c r="F87" s="3" t="str">
        <f>""</f>
        <v/>
      </c>
      <c r="G87" s="3" t="str">
        <f>""</f>
        <v/>
      </c>
      <c r="H87" s="3" t="str">
        <f>""</f>
        <v/>
      </c>
      <c r="I87" s="5">
        <v>225525225.81</v>
      </c>
    </row>
    <row r="88" spans="1:9" x14ac:dyDescent="0.25">
      <c r="A88" s="3">
        <v>151</v>
      </c>
      <c r="B88" s="4">
        <v>44561</v>
      </c>
      <c r="C88" s="3">
        <v>13</v>
      </c>
      <c r="D88" s="3" t="str">
        <f>"2860"</f>
        <v>2860</v>
      </c>
      <c r="E88" s="3" t="str">
        <f>"Прочие кредиторы по банковской деятельности"</f>
        <v>Прочие кредиторы по банковской деятельности</v>
      </c>
      <c r="F88" s="3" t="str">
        <f>"1"</f>
        <v>1</v>
      </c>
      <c r="G88" s="3" t="str">
        <f>"5"</f>
        <v>5</v>
      </c>
      <c r="H88" s="3" t="str">
        <f>"1"</f>
        <v>1</v>
      </c>
      <c r="I88" s="5">
        <v>10231249998.959999</v>
      </c>
    </row>
    <row r="89" spans="1:9" x14ac:dyDescent="0.25">
      <c r="A89" s="3">
        <v>166</v>
      </c>
      <c r="B89" s="4">
        <v>44561</v>
      </c>
      <c r="C89" s="3">
        <v>13</v>
      </c>
      <c r="D89" s="3" t="str">
        <f>"2860"</f>
        <v>2860</v>
      </c>
      <c r="E89" s="3" t="str">
        <f>"Прочие кредиторы по банковской деятельности"</f>
        <v>Прочие кредиторы по банковской деятельности</v>
      </c>
      <c r="F89" s="3" t="str">
        <f>"1"</f>
        <v>1</v>
      </c>
      <c r="G89" s="3" t="str">
        <f>"9"</f>
        <v>9</v>
      </c>
      <c r="H89" s="3" t="str">
        <f>"1"</f>
        <v>1</v>
      </c>
      <c r="I89" s="5">
        <v>36706175.950000003</v>
      </c>
    </row>
    <row r="90" spans="1:9" x14ac:dyDescent="0.25">
      <c r="A90" s="3">
        <v>78</v>
      </c>
      <c r="B90" s="4">
        <v>44561</v>
      </c>
      <c r="C90" s="3">
        <v>13</v>
      </c>
      <c r="D90" s="3" t="str">
        <f>"2867"</f>
        <v>2867</v>
      </c>
      <c r="E90" s="3" t="str">
        <f>"Прочие кредиторы по неосновной деятельности"</f>
        <v>Прочие кредиторы по неосновной деятельности</v>
      </c>
      <c r="F90" s="3" t="str">
        <f>"1"</f>
        <v>1</v>
      </c>
      <c r="G90" s="3" t="str">
        <f>"7"</f>
        <v>7</v>
      </c>
      <c r="H90" s="3" t="str">
        <f>"1"</f>
        <v>1</v>
      </c>
      <c r="I90" s="5">
        <v>13251623.9</v>
      </c>
    </row>
    <row r="91" spans="1:9" x14ac:dyDescent="0.25">
      <c r="A91" s="3">
        <v>127</v>
      </c>
      <c r="B91" s="4">
        <v>44561</v>
      </c>
      <c r="C91" s="3">
        <v>13</v>
      </c>
      <c r="D91" s="3" t="str">
        <f>"2867"</f>
        <v>2867</v>
      </c>
      <c r="E91" s="3" t="str">
        <f>"Прочие кредиторы по неосновной деятельности"</f>
        <v>Прочие кредиторы по неосновной деятельности</v>
      </c>
      <c r="F91" s="3" t="str">
        <f>"2"</f>
        <v>2</v>
      </c>
      <c r="G91" s="3" t="str">
        <f>"7"</f>
        <v>7</v>
      </c>
      <c r="H91" s="3" t="str">
        <f>"2"</f>
        <v>2</v>
      </c>
      <c r="I91" s="5">
        <v>20457388.600000001</v>
      </c>
    </row>
    <row r="92" spans="1:9" x14ac:dyDescent="0.25">
      <c r="A92" s="3">
        <v>21</v>
      </c>
      <c r="B92" s="4">
        <v>44561</v>
      </c>
      <c r="C92" s="3">
        <v>13</v>
      </c>
      <c r="D92" s="3" t="str">
        <f>"2870"</f>
        <v>2870</v>
      </c>
      <c r="E92" s="3" t="str">
        <f>"Прочие транзитные счета"</f>
        <v>Прочие транзитные счета</v>
      </c>
      <c r="F92" s="3" t="str">
        <f t="shared" ref="F92:F98" si="9">"1"</f>
        <v>1</v>
      </c>
      <c r="G92" s="3" t="str">
        <f>"4"</f>
        <v>4</v>
      </c>
      <c r="H92" s="3" t="str">
        <f>"1"</f>
        <v>1</v>
      </c>
      <c r="I92" s="5">
        <v>0</v>
      </c>
    </row>
    <row r="93" spans="1:9" x14ac:dyDescent="0.25">
      <c r="A93" s="3">
        <v>171</v>
      </c>
      <c r="B93" s="4">
        <v>44561</v>
      </c>
      <c r="C93" s="3">
        <v>13</v>
      </c>
      <c r="D93" s="3" t="str">
        <f>"2870"</f>
        <v>2870</v>
      </c>
      <c r="E93" s="3" t="str">
        <f>"Прочие транзитные счета"</f>
        <v>Прочие транзитные счета</v>
      </c>
      <c r="F93" s="3" t="str">
        <f t="shared" si="9"/>
        <v>1</v>
      </c>
      <c r="G93" s="3" t="str">
        <f>"9"</f>
        <v>9</v>
      </c>
      <c r="H93" s="3" t="str">
        <f>"1"</f>
        <v>1</v>
      </c>
      <c r="I93" s="5">
        <v>2716960</v>
      </c>
    </row>
    <row r="94" spans="1:9" x14ac:dyDescent="0.25">
      <c r="A94" s="3">
        <v>178</v>
      </c>
      <c r="B94" s="4">
        <v>44561</v>
      </c>
      <c r="C94" s="3">
        <v>13</v>
      </c>
      <c r="D94" s="3" t="str">
        <f>"2870"</f>
        <v>2870</v>
      </c>
      <c r="E94" s="3" t="str">
        <f>"Прочие транзитные счета"</f>
        <v>Прочие транзитные счета</v>
      </c>
      <c r="F94" s="3" t="str">
        <f t="shared" si="9"/>
        <v>1</v>
      </c>
      <c r="G94" s="3" t="str">
        <f>"7"</f>
        <v>7</v>
      </c>
      <c r="H94" s="3" t="str">
        <f>"1"</f>
        <v>1</v>
      </c>
      <c r="I94" s="5">
        <v>55013431.280000001</v>
      </c>
    </row>
    <row r="95" spans="1:9" x14ac:dyDescent="0.25">
      <c r="A95" s="3">
        <v>14</v>
      </c>
      <c r="B95" s="4">
        <v>44561</v>
      </c>
      <c r="C95" s="3">
        <v>13</v>
      </c>
      <c r="D95" s="3" t="str">
        <f>"2871"</f>
        <v>2871</v>
      </c>
      <c r="E95" s="3" t="str">
        <f>"Счет благотворительных выплат"</f>
        <v>Счет благотворительных выплат</v>
      </c>
      <c r="F95" s="3" t="str">
        <f t="shared" si="9"/>
        <v>1</v>
      </c>
      <c r="G95" s="3" t="str">
        <f>""</f>
        <v/>
      </c>
      <c r="H95" s="3" t="str">
        <f>"2"</f>
        <v>2</v>
      </c>
      <c r="I95" s="5">
        <v>15102974.779999999</v>
      </c>
    </row>
    <row r="96" spans="1:9" x14ac:dyDescent="0.25">
      <c r="A96" s="3">
        <v>111</v>
      </c>
      <c r="B96" s="4">
        <v>44561</v>
      </c>
      <c r="C96" s="3">
        <v>13</v>
      </c>
      <c r="D96" s="3" t="str">
        <f>"2871"</f>
        <v>2871</v>
      </c>
      <c r="E96" s="3" t="str">
        <f>"Счет благотворительных выплат"</f>
        <v>Счет благотворительных выплат</v>
      </c>
      <c r="F96" s="3" t="str">
        <f t="shared" si="9"/>
        <v>1</v>
      </c>
      <c r="G96" s="3" t="str">
        <f>""</f>
        <v/>
      </c>
      <c r="H96" s="3" t="str">
        <f>"1"</f>
        <v>1</v>
      </c>
      <c r="I96" s="5">
        <v>37450.07</v>
      </c>
    </row>
    <row r="97" spans="1:9" x14ac:dyDescent="0.25">
      <c r="A97" s="3">
        <v>88</v>
      </c>
      <c r="B97" s="4">
        <v>44561</v>
      </c>
      <c r="C97" s="3">
        <v>13</v>
      </c>
      <c r="D97" s="3" t="str">
        <f>"2875"</f>
        <v>2875</v>
      </c>
      <c r="E97" s="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97" s="3" t="str">
        <f t="shared" si="9"/>
        <v>1</v>
      </c>
      <c r="G97" s="3" t="str">
        <f>"7"</f>
        <v>7</v>
      </c>
      <c r="H97" s="3" t="str">
        <f>"2"</f>
        <v>2</v>
      </c>
      <c r="I97" s="5">
        <v>1573892747.8099999</v>
      </c>
    </row>
    <row r="98" spans="1:9" x14ac:dyDescent="0.25">
      <c r="A98" s="3">
        <v>129</v>
      </c>
      <c r="B98" s="4">
        <v>44561</v>
      </c>
      <c r="C98" s="3">
        <v>13</v>
      </c>
      <c r="D98" s="3" t="str">
        <f>"2875"</f>
        <v>2875</v>
      </c>
      <c r="E98" s="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98" s="3" t="str">
        <f t="shared" si="9"/>
        <v>1</v>
      </c>
      <c r="G98" s="3" t="str">
        <f>"7"</f>
        <v>7</v>
      </c>
      <c r="H98" s="3" t="str">
        <f>"1"</f>
        <v>1</v>
      </c>
      <c r="I98" s="5">
        <v>1304040.96</v>
      </c>
    </row>
    <row r="99" spans="1:9" x14ac:dyDescent="0.25">
      <c r="A99" s="3">
        <v>96</v>
      </c>
      <c r="B99" s="4">
        <v>44561</v>
      </c>
      <c r="C99" s="3">
        <v>13</v>
      </c>
      <c r="D99" s="3" t="str">
        <f>"3001"</f>
        <v>3001</v>
      </c>
      <c r="E99" s="3" t="str">
        <f>"Уставный капитал – простые акции"</f>
        <v>Уставный капитал – простые акции</v>
      </c>
      <c r="F99" s="3" t="str">
        <f>""</f>
        <v/>
      </c>
      <c r="G99" s="3" t="str">
        <f>""</f>
        <v/>
      </c>
      <c r="H99" s="3" t="str">
        <f>""</f>
        <v/>
      </c>
      <c r="I99" s="5">
        <v>10732338000</v>
      </c>
    </row>
    <row r="100" spans="1:9" x14ac:dyDescent="0.25">
      <c r="A100" s="3">
        <v>50</v>
      </c>
      <c r="B100" s="4">
        <v>44561</v>
      </c>
      <c r="C100" s="3">
        <v>13</v>
      </c>
      <c r="D100" s="3" t="str">
        <f>"3580"</f>
        <v>3580</v>
      </c>
      <c r="E100" s="3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100" s="3" t="str">
        <f>""</f>
        <v/>
      </c>
      <c r="G100" s="3" t="str">
        <f>""</f>
        <v/>
      </c>
      <c r="H100" s="3" t="str">
        <f>""</f>
        <v/>
      </c>
      <c r="I100" s="5">
        <v>7014736903.5</v>
      </c>
    </row>
    <row r="101" spans="1:9" x14ac:dyDescent="0.25">
      <c r="A101" s="3">
        <v>169</v>
      </c>
      <c r="B101" s="4">
        <v>44561</v>
      </c>
      <c r="C101" s="3">
        <v>13</v>
      </c>
      <c r="D101" s="3" t="str">
        <f>"3599"</f>
        <v>3599</v>
      </c>
      <c r="E101" s="3" t="str">
        <f>"Нераспределенная чистая прибыль (непокрытый убыток)"</f>
        <v>Нераспределенная чистая прибыль (непокрытый убыток)</v>
      </c>
      <c r="F101" s="3" t="str">
        <f>""</f>
        <v/>
      </c>
      <c r="G101" s="3" t="str">
        <f>""</f>
        <v/>
      </c>
      <c r="H101" s="3" t="str">
        <f>""</f>
        <v/>
      </c>
      <c r="I101" s="5">
        <v>115997289.66</v>
      </c>
    </row>
    <row r="102" spans="1:9" x14ac:dyDescent="0.25">
      <c r="A102" s="3">
        <v>86</v>
      </c>
      <c r="B102" s="4">
        <v>44561</v>
      </c>
      <c r="C102" s="3">
        <v>13</v>
      </c>
      <c r="D102" s="3" t="str">
        <f>"4103"</f>
        <v>4103</v>
      </c>
      <c r="E102" s="3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102" s="3" t="str">
        <f>""</f>
        <v/>
      </c>
      <c r="G102" s="3" t="str">
        <f>""</f>
        <v/>
      </c>
      <c r="H102" s="3" t="str">
        <f>""</f>
        <v/>
      </c>
      <c r="I102" s="5">
        <v>521788194.43000001</v>
      </c>
    </row>
    <row r="103" spans="1:9" x14ac:dyDescent="0.25">
      <c r="A103" s="3">
        <v>133</v>
      </c>
      <c r="B103" s="4">
        <v>44561</v>
      </c>
      <c r="C103" s="3">
        <v>13</v>
      </c>
      <c r="D103" s="3" t="str">
        <f>"4420"</f>
        <v>4420</v>
      </c>
      <c r="E103" s="3" t="str">
        <f>"Доходы, связанные с получением вознаграждения по финансовому лизингу, предоставленному клиентам"</f>
        <v>Доходы, связанные с получением вознаграждения по финансовому лизингу, предоставленному клиентам</v>
      </c>
      <c r="F103" s="3" t="str">
        <f>""</f>
        <v/>
      </c>
      <c r="G103" s="3" t="str">
        <f>""</f>
        <v/>
      </c>
      <c r="H103" s="3" t="str">
        <f>""</f>
        <v/>
      </c>
      <c r="I103" s="5">
        <v>20211779.25</v>
      </c>
    </row>
    <row r="104" spans="1:9" x14ac:dyDescent="0.25">
      <c r="A104" s="3">
        <v>110</v>
      </c>
      <c r="B104" s="4">
        <v>44561</v>
      </c>
      <c r="C104" s="3">
        <v>13</v>
      </c>
      <c r="D104" s="3" t="str">
        <f>"4426"</f>
        <v>4426</v>
      </c>
      <c r="E104" s="3" t="str">
        <f>"Доходы, связанные с получением вознаграждения по операциям финансирования торговой деятельности"</f>
        <v>Доходы, связанные с получением вознаграждения по операциям финансирования торговой деятельности</v>
      </c>
      <c r="F104" s="3" t="str">
        <f>""</f>
        <v/>
      </c>
      <c r="G104" s="3" t="str">
        <f>""</f>
        <v/>
      </c>
      <c r="H104" s="3" t="str">
        <f>""</f>
        <v/>
      </c>
      <c r="I104" s="5">
        <v>2868943308.21</v>
      </c>
    </row>
    <row r="105" spans="1:9" x14ac:dyDescent="0.25">
      <c r="A105" s="3">
        <v>92</v>
      </c>
      <c r="B105" s="4">
        <v>44561</v>
      </c>
      <c r="C105" s="3">
        <v>13</v>
      </c>
      <c r="D105" s="3" t="str">
        <f>"4429"</f>
        <v>4429</v>
      </c>
      <c r="E105" s="3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105" s="3" t="str">
        <f>""</f>
        <v/>
      </c>
      <c r="G105" s="3" t="str">
        <f>""</f>
        <v/>
      </c>
      <c r="H105" s="3" t="str">
        <f>""</f>
        <v/>
      </c>
      <c r="I105" s="5">
        <v>74688844.709999993</v>
      </c>
    </row>
    <row r="106" spans="1:9" x14ac:dyDescent="0.25">
      <c r="A106" s="3">
        <v>150</v>
      </c>
      <c r="B106" s="4">
        <v>44561</v>
      </c>
      <c r="C106" s="3">
        <v>13</v>
      </c>
      <c r="D106" s="3" t="str">
        <f>"4530"</f>
        <v>4530</v>
      </c>
      <c r="E106" s="3" t="str">
        <f>"Доходы по купле-продаже иностранной валюты"</f>
        <v>Доходы по купле-продаже иностранной валюты</v>
      </c>
      <c r="F106" s="3" t="str">
        <f>""</f>
        <v/>
      </c>
      <c r="G106" s="3" t="str">
        <f>""</f>
        <v/>
      </c>
      <c r="H106" s="3" t="str">
        <f>""</f>
        <v/>
      </c>
      <c r="I106" s="5">
        <v>265987813.84</v>
      </c>
    </row>
    <row r="107" spans="1:9" x14ac:dyDescent="0.25">
      <c r="A107" s="3">
        <v>157</v>
      </c>
      <c r="B107" s="4">
        <v>44561</v>
      </c>
      <c r="C107" s="3">
        <v>13</v>
      </c>
      <c r="D107" s="3" t="str">
        <f>"4601"</f>
        <v>4601</v>
      </c>
      <c r="E107" s="3" t="str">
        <f>"Комиссионные доходы за услуги по переводным операциям"</f>
        <v>Комиссионные доходы за услуги по переводным операциям</v>
      </c>
      <c r="F107" s="3" t="str">
        <f>""</f>
        <v/>
      </c>
      <c r="G107" s="3" t="str">
        <f>""</f>
        <v/>
      </c>
      <c r="H107" s="3" t="str">
        <f>""</f>
        <v/>
      </c>
      <c r="I107" s="5">
        <v>48982460.420000002</v>
      </c>
    </row>
    <row r="108" spans="1:9" x14ac:dyDescent="0.25">
      <c r="A108" s="3">
        <v>182</v>
      </c>
      <c r="B108" s="4">
        <v>44561</v>
      </c>
      <c r="C108" s="3">
        <v>13</v>
      </c>
      <c r="D108" s="3" t="str">
        <f>"4602"</f>
        <v>4602</v>
      </c>
      <c r="E108" s="3" t="str">
        <f>"Комиссионные доходы за агентские услуги"</f>
        <v>Комиссионные доходы за агентские услуги</v>
      </c>
      <c r="F108" s="3" t="str">
        <f>""</f>
        <v/>
      </c>
      <c r="G108" s="3" t="str">
        <f>""</f>
        <v/>
      </c>
      <c r="H108" s="3" t="str">
        <f>""</f>
        <v/>
      </c>
      <c r="I108" s="5">
        <v>33035.82</v>
      </c>
    </row>
    <row r="109" spans="1:9" x14ac:dyDescent="0.25">
      <c r="A109" s="3">
        <v>80</v>
      </c>
      <c r="B109" s="4">
        <v>44561</v>
      </c>
      <c r="C109" s="3">
        <v>13</v>
      </c>
      <c r="D109" s="3" t="str">
        <f>"4607"</f>
        <v>4607</v>
      </c>
      <c r="E109" s="3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109" s="3" t="str">
        <f>""</f>
        <v/>
      </c>
      <c r="G109" s="3" t="str">
        <f>""</f>
        <v/>
      </c>
      <c r="H109" s="3" t="str">
        <f>""</f>
        <v/>
      </c>
      <c r="I109" s="5">
        <v>3350824.73</v>
      </c>
    </row>
    <row r="110" spans="1:9" x14ac:dyDescent="0.25">
      <c r="A110" s="3">
        <v>9</v>
      </c>
      <c r="B110" s="4">
        <v>44561</v>
      </c>
      <c r="C110" s="3">
        <v>13</v>
      </c>
      <c r="D110" s="3" t="str">
        <f>"4608"</f>
        <v>4608</v>
      </c>
      <c r="E110" s="3" t="str">
        <f>"Прочие комиссионные доходы"</f>
        <v>Прочие комиссионные доходы</v>
      </c>
      <c r="F110" s="3" t="str">
        <f>""</f>
        <v/>
      </c>
      <c r="G110" s="3" t="str">
        <f>""</f>
        <v/>
      </c>
      <c r="H110" s="3" t="str">
        <f>""</f>
        <v/>
      </c>
      <c r="I110" s="5">
        <v>6286346.6699999999</v>
      </c>
    </row>
    <row r="111" spans="1:9" x14ac:dyDescent="0.25">
      <c r="A111" s="3">
        <v>26</v>
      </c>
      <c r="B111" s="4">
        <v>44561</v>
      </c>
      <c r="C111" s="3">
        <v>13</v>
      </c>
      <c r="D111" s="3" t="str">
        <f>"4611"</f>
        <v>4611</v>
      </c>
      <c r="E111" s="3" t="str">
        <f>"Комиссионные доходы за услуги по кассовым операциям"</f>
        <v>Комиссионные доходы за услуги по кассовым операциям</v>
      </c>
      <c r="F111" s="3" t="str">
        <f>""</f>
        <v/>
      </c>
      <c r="G111" s="3" t="str">
        <f>""</f>
        <v/>
      </c>
      <c r="H111" s="3" t="str">
        <f>""</f>
        <v/>
      </c>
      <c r="I111" s="5">
        <v>3239525.93</v>
      </c>
    </row>
    <row r="112" spans="1:9" x14ac:dyDescent="0.25">
      <c r="A112" s="3">
        <v>168</v>
      </c>
      <c r="B112" s="4">
        <v>44561</v>
      </c>
      <c r="C112" s="3">
        <v>13</v>
      </c>
      <c r="D112" s="3" t="str">
        <f>"4612"</f>
        <v>4612</v>
      </c>
      <c r="E112" s="3" t="str">
        <f>"Комиссионные доходы по документарным расчетам"</f>
        <v>Комиссионные доходы по документарным расчетам</v>
      </c>
      <c r="F112" s="3" t="str">
        <f>""</f>
        <v/>
      </c>
      <c r="G112" s="3" t="str">
        <f>""</f>
        <v/>
      </c>
      <c r="H112" s="3" t="str">
        <f>""</f>
        <v/>
      </c>
      <c r="I112" s="5">
        <v>37866410.409999996</v>
      </c>
    </row>
    <row r="113" spans="1:9" x14ac:dyDescent="0.25">
      <c r="A113" s="3">
        <v>46</v>
      </c>
      <c r="B113" s="4">
        <v>44561</v>
      </c>
      <c r="C113" s="3">
        <v>13</v>
      </c>
      <c r="D113" s="3" t="str">
        <f>"4618"</f>
        <v>4618</v>
      </c>
      <c r="E113" s="3" t="str">
        <f>"Доходы за услуги по операциям с инвестиционными депозитами"</f>
        <v>Доходы за услуги по операциям с инвестиционными депозитами</v>
      </c>
      <c r="F113" s="3" t="str">
        <f>""</f>
        <v/>
      </c>
      <c r="G113" s="3" t="str">
        <f>""</f>
        <v/>
      </c>
      <c r="H113" s="3" t="str">
        <f>""</f>
        <v/>
      </c>
      <c r="I113" s="5">
        <v>2392473716.29</v>
      </c>
    </row>
    <row r="114" spans="1:9" x14ac:dyDescent="0.25">
      <c r="A114" s="3">
        <v>64</v>
      </c>
      <c r="B114" s="4">
        <v>44561</v>
      </c>
      <c r="C114" s="3">
        <v>13</v>
      </c>
      <c r="D114" s="3" t="str">
        <f>"4897"</f>
        <v>4897</v>
      </c>
      <c r="E114" s="3" t="str">
        <f>"Доходы, связанные с получением вознаграждения по производным финансовым инструментам"</f>
        <v>Доходы, связанные с получением вознаграждения по производным финансовым инструментам</v>
      </c>
      <c r="F114" s="3" t="str">
        <f>""</f>
        <v/>
      </c>
      <c r="G114" s="3" t="str">
        <f>""</f>
        <v/>
      </c>
      <c r="H114" s="3" t="str">
        <f>""</f>
        <v/>
      </c>
      <c r="I114" s="5">
        <v>594517230.08000004</v>
      </c>
    </row>
    <row r="115" spans="1:9" x14ac:dyDescent="0.25">
      <c r="A115" s="3">
        <v>162</v>
      </c>
      <c r="B115" s="4">
        <v>44561</v>
      </c>
      <c r="C115" s="3">
        <v>13</v>
      </c>
      <c r="D115" s="3" t="str">
        <f>"4921"</f>
        <v>4921</v>
      </c>
      <c r="E115" s="3" t="str">
        <f>"Прочие доходы от банковской деятельности"</f>
        <v>Прочие доходы от банковской деятельности</v>
      </c>
      <c r="F115" s="3" t="str">
        <f>""</f>
        <v/>
      </c>
      <c r="G115" s="3" t="str">
        <f>""</f>
        <v/>
      </c>
      <c r="H115" s="3" t="str">
        <f>""</f>
        <v/>
      </c>
      <c r="I115" s="5">
        <v>63991.56</v>
      </c>
    </row>
    <row r="116" spans="1:9" x14ac:dyDescent="0.25">
      <c r="A116" s="3">
        <v>20</v>
      </c>
      <c r="B116" s="4">
        <v>44561</v>
      </c>
      <c r="C116" s="3">
        <v>13</v>
      </c>
      <c r="D116" s="3" t="str">
        <f>"4922"</f>
        <v>4922</v>
      </c>
      <c r="E116" s="3" t="str">
        <f>"Прочие доходы от неосновной деятельности"</f>
        <v>Прочие доходы от неосновной деятельности</v>
      </c>
      <c r="F116" s="3" t="str">
        <f>""</f>
        <v/>
      </c>
      <c r="G116" s="3" t="str">
        <f>""</f>
        <v/>
      </c>
      <c r="H116" s="3" t="str">
        <f>""</f>
        <v/>
      </c>
      <c r="I116" s="5">
        <v>34235.68</v>
      </c>
    </row>
    <row r="117" spans="1:9" x14ac:dyDescent="0.25">
      <c r="A117" s="3">
        <v>89</v>
      </c>
      <c r="B117" s="4">
        <v>44561</v>
      </c>
      <c r="C117" s="3">
        <v>13</v>
      </c>
      <c r="D117" s="3" t="str">
        <f>"4951"</f>
        <v>4951</v>
      </c>
      <c r="E117" s="3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117" s="3" t="str">
        <f>""</f>
        <v/>
      </c>
      <c r="G117" s="3" t="str">
        <f>""</f>
        <v/>
      </c>
      <c r="H117" s="3" t="str">
        <f>""</f>
        <v/>
      </c>
      <c r="I117" s="5">
        <v>82814956.719999999</v>
      </c>
    </row>
    <row r="118" spans="1:9" x14ac:dyDescent="0.25">
      <c r="A118" s="3">
        <v>48</v>
      </c>
      <c r="B118" s="4">
        <v>44561</v>
      </c>
      <c r="C118" s="3">
        <v>13</v>
      </c>
      <c r="D118" s="3" t="str">
        <f>"4953"</f>
        <v>4953</v>
      </c>
      <c r="E118" s="3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118" s="3" t="str">
        <f>""</f>
        <v/>
      </c>
      <c r="G118" s="3" t="str">
        <f>""</f>
        <v/>
      </c>
      <c r="H118" s="3" t="str">
        <f>""</f>
        <v/>
      </c>
      <c r="I118" s="5">
        <v>343055.93</v>
      </c>
    </row>
    <row r="119" spans="1:9" x14ac:dyDescent="0.25">
      <c r="A119" s="3">
        <v>72</v>
      </c>
      <c r="B119" s="4">
        <v>44561</v>
      </c>
      <c r="C119" s="3">
        <v>13</v>
      </c>
      <c r="D119" s="3" t="str">
        <f>"4955"</f>
        <v>4955</v>
      </c>
      <c r="E119" s="3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119" s="3" t="str">
        <f>""</f>
        <v/>
      </c>
      <c r="G119" s="3" t="str">
        <f>""</f>
        <v/>
      </c>
      <c r="H119" s="3" t="str">
        <f>""</f>
        <v/>
      </c>
      <c r="I119" s="5">
        <v>213862498.49000001</v>
      </c>
    </row>
    <row r="120" spans="1:9" x14ac:dyDescent="0.25">
      <c r="A120" s="3">
        <v>10</v>
      </c>
      <c r="B120" s="4">
        <v>44561</v>
      </c>
      <c r="C120" s="3">
        <v>13</v>
      </c>
      <c r="D120" s="3" t="str">
        <f>"4958"</f>
        <v>4958</v>
      </c>
      <c r="E120" s="3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120" s="3" t="str">
        <f>""</f>
        <v/>
      </c>
      <c r="G120" s="3" t="str">
        <f>""</f>
        <v/>
      </c>
      <c r="H120" s="3" t="str">
        <f>""</f>
        <v/>
      </c>
      <c r="I120" s="5">
        <v>453700553.10000002</v>
      </c>
    </row>
    <row r="121" spans="1:9" x14ac:dyDescent="0.25">
      <c r="A121" s="3">
        <v>77</v>
      </c>
      <c r="B121" s="4">
        <v>44561</v>
      </c>
      <c r="C121" s="3">
        <v>13</v>
      </c>
      <c r="D121" s="3" t="str">
        <f>"5227"</f>
        <v>5227</v>
      </c>
      <c r="E121" s="3" t="str">
        <f>"Процентные расходы по обязательствам по аренде"</f>
        <v>Процентные расходы по обязательствам по аренде</v>
      </c>
      <c r="F121" s="3" t="str">
        <f>""</f>
        <v/>
      </c>
      <c r="G121" s="3" t="str">
        <f>""</f>
        <v/>
      </c>
      <c r="H121" s="3" t="str">
        <f>""</f>
        <v/>
      </c>
      <c r="I121" s="5">
        <v>32774477.59</v>
      </c>
    </row>
    <row r="122" spans="1:9" x14ac:dyDescent="0.25">
      <c r="A122" s="3">
        <v>43</v>
      </c>
      <c r="B122" s="4">
        <v>44561</v>
      </c>
      <c r="C122" s="3">
        <v>13</v>
      </c>
      <c r="D122" s="3" t="str">
        <f>"5451"</f>
        <v>5451</v>
      </c>
      <c r="E122" s="3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122" s="3" t="str">
        <f>""</f>
        <v/>
      </c>
      <c r="G122" s="3" t="str">
        <f>""</f>
        <v/>
      </c>
      <c r="H122" s="3" t="str">
        <f>""</f>
        <v/>
      </c>
      <c r="I122" s="5">
        <v>61537950.759999998</v>
      </c>
    </row>
    <row r="123" spans="1:9" x14ac:dyDescent="0.25">
      <c r="A123" s="3">
        <v>105</v>
      </c>
      <c r="B123" s="4">
        <v>44561</v>
      </c>
      <c r="C123" s="3">
        <v>13</v>
      </c>
      <c r="D123" s="3" t="str">
        <f>"5455"</f>
        <v>5455</v>
      </c>
      <c r="E123" s="3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123" s="3" t="str">
        <f>""</f>
        <v/>
      </c>
      <c r="G123" s="3" t="str">
        <f>""</f>
        <v/>
      </c>
      <c r="H123" s="3" t="str">
        <f>""</f>
        <v/>
      </c>
      <c r="I123" s="5">
        <v>1081829109.6900001</v>
      </c>
    </row>
    <row r="124" spans="1:9" x14ac:dyDescent="0.25">
      <c r="A124" s="3">
        <v>70</v>
      </c>
      <c r="B124" s="4">
        <v>44561</v>
      </c>
      <c r="C124" s="3">
        <v>13</v>
      </c>
      <c r="D124" s="3" t="str">
        <f>"5457"</f>
        <v>5457</v>
      </c>
      <c r="E124" s="3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124" s="3" t="str">
        <f>""</f>
        <v/>
      </c>
      <c r="G124" s="3" t="str">
        <f>""</f>
        <v/>
      </c>
      <c r="H124" s="3" t="str">
        <f>""</f>
        <v/>
      </c>
      <c r="I124" s="5">
        <v>170791.32</v>
      </c>
    </row>
    <row r="125" spans="1:9" x14ac:dyDescent="0.25">
      <c r="A125" s="3">
        <v>75</v>
      </c>
      <c r="B125" s="4">
        <v>44561</v>
      </c>
      <c r="C125" s="3">
        <v>13</v>
      </c>
      <c r="D125" s="3" t="str">
        <f>"5465"</f>
        <v>5465</v>
      </c>
      <c r="E125" s="3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125" s="3" t="str">
        <f>""</f>
        <v/>
      </c>
      <c r="G125" s="3" t="str">
        <f>""</f>
        <v/>
      </c>
      <c r="H125" s="3" t="str">
        <f>""</f>
        <v/>
      </c>
      <c r="I125" s="5">
        <v>1674237514.3699999</v>
      </c>
    </row>
    <row r="126" spans="1:9" x14ac:dyDescent="0.25">
      <c r="A126" s="3">
        <v>6</v>
      </c>
      <c r="B126" s="4">
        <v>44561</v>
      </c>
      <c r="C126" s="3">
        <v>13</v>
      </c>
      <c r="D126" s="3" t="str">
        <f>"5530"</f>
        <v>5530</v>
      </c>
      <c r="E126" s="3" t="str">
        <f>"Расходы по купле-продаже иностранной валюты"</f>
        <v>Расходы по купле-продаже иностранной валюты</v>
      </c>
      <c r="F126" s="3" t="str">
        <f>""</f>
        <v/>
      </c>
      <c r="G126" s="3" t="str">
        <f>""</f>
        <v/>
      </c>
      <c r="H126" s="3" t="str">
        <f>""</f>
        <v/>
      </c>
      <c r="I126" s="5">
        <v>13770.29</v>
      </c>
    </row>
    <row r="127" spans="1:9" x14ac:dyDescent="0.25">
      <c r="A127" s="3">
        <v>93</v>
      </c>
      <c r="B127" s="4">
        <v>44561</v>
      </c>
      <c r="C127" s="3">
        <v>13</v>
      </c>
      <c r="D127" s="3" t="str">
        <f>"5601"</f>
        <v>5601</v>
      </c>
      <c r="E127" s="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127" s="3" t="str">
        <f>""</f>
        <v/>
      </c>
      <c r="G127" s="3" t="str">
        <f>""</f>
        <v/>
      </c>
      <c r="H127" s="3" t="str">
        <f>""</f>
        <v/>
      </c>
      <c r="I127" s="5">
        <v>4151423.29</v>
      </c>
    </row>
    <row r="128" spans="1:9" x14ac:dyDescent="0.25">
      <c r="A128" s="3">
        <v>142</v>
      </c>
      <c r="B128" s="4">
        <v>44561</v>
      </c>
      <c r="C128" s="3">
        <v>13</v>
      </c>
      <c r="D128" s="3" t="str">
        <f>"5607"</f>
        <v>5607</v>
      </c>
      <c r="E128" s="3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128" s="3" t="str">
        <f>""</f>
        <v/>
      </c>
      <c r="G128" s="3" t="str">
        <f>""</f>
        <v/>
      </c>
      <c r="H128" s="3" t="str">
        <f>""</f>
        <v/>
      </c>
      <c r="I128" s="5">
        <v>48425963.460000001</v>
      </c>
    </row>
    <row r="129" spans="1:9" x14ac:dyDescent="0.25">
      <c r="A129" s="3">
        <v>30</v>
      </c>
      <c r="B129" s="4">
        <v>44561</v>
      </c>
      <c r="C129" s="3">
        <v>13</v>
      </c>
      <c r="D129" s="3" t="str">
        <f>"5608"</f>
        <v>5608</v>
      </c>
      <c r="E129" s="3" t="str">
        <f>"Прочие комиссионные расходы"</f>
        <v>Прочие комиссионные расходы</v>
      </c>
      <c r="F129" s="3" t="str">
        <f>""</f>
        <v/>
      </c>
      <c r="G129" s="3" t="str">
        <f>""</f>
        <v/>
      </c>
      <c r="H129" s="3" t="str">
        <f>""</f>
        <v/>
      </c>
      <c r="I129" s="5">
        <v>13578559.01</v>
      </c>
    </row>
    <row r="130" spans="1:9" x14ac:dyDescent="0.25">
      <c r="A130" s="3">
        <v>103</v>
      </c>
      <c r="B130" s="4">
        <v>44561</v>
      </c>
      <c r="C130" s="3">
        <v>13</v>
      </c>
      <c r="D130" s="3" t="str">
        <f>"5703"</f>
        <v>5703</v>
      </c>
      <c r="E130" s="3" t="str">
        <f>"Расходы от переоценки иностранной валюты"</f>
        <v>Расходы от переоценки иностранной валюты</v>
      </c>
      <c r="F130" s="3" t="str">
        <f>""</f>
        <v/>
      </c>
      <c r="G130" s="3" t="str">
        <f>""</f>
        <v/>
      </c>
      <c r="H130" s="3" t="str">
        <f>""</f>
        <v/>
      </c>
      <c r="I130" s="5">
        <v>138844155.66</v>
      </c>
    </row>
    <row r="131" spans="1:9" x14ac:dyDescent="0.25">
      <c r="A131" s="3">
        <v>52</v>
      </c>
      <c r="B131" s="4">
        <v>44561</v>
      </c>
      <c r="C131" s="3">
        <v>13</v>
      </c>
      <c r="D131" s="3" t="str">
        <f>"5721"</f>
        <v>5721</v>
      </c>
      <c r="E131" s="3" t="str">
        <f>"Расходы по оплате труда"</f>
        <v>Расходы по оплате труда</v>
      </c>
      <c r="F131" s="3" t="str">
        <f>""</f>
        <v/>
      </c>
      <c r="G131" s="3" t="str">
        <f>""</f>
        <v/>
      </c>
      <c r="H131" s="3" t="str">
        <f>""</f>
        <v/>
      </c>
      <c r="I131" s="5">
        <v>1226138335.6500001</v>
      </c>
    </row>
    <row r="132" spans="1:9" x14ac:dyDescent="0.25">
      <c r="A132" s="3">
        <v>175</v>
      </c>
      <c r="B132" s="4">
        <v>44561</v>
      </c>
      <c r="C132" s="3">
        <v>13</v>
      </c>
      <c r="D132" s="3" t="str">
        <f>"5722"</f>
        <v>5722</v>
      </c>
      <c r="E132" s="3" t="str">
        <f>"Социальные отчисления"</f>
        <v>Социальные отчисления</v>
      </c>
      <c r="F132" s="3" t="str">
        <f>""</f>
        <v/>
      </c>
      <c r="G132" s="3" t="str">
        <f>""</f>
        <v/>
      </c>
      <c r="H132" s="3" t="str">
        <f>""</f>
        <v/>
      </c>
      <c r="I132" s="5">
        <v>14373033.6</v>
      </c>
    </row>
    <row r="133" spans="1:9" x14ac:dyDescent="0.25">
      <c r="A133" s="3">
        <v>95</v>
      </c>
      <c r="B133" s="4">
        <v>44561</v>
      </c>
      <c r="C133" s="3">
        <v>13</v>
      </c>
      <c r="D133" s="3" t="str">
        <f>"5729"</f>
        <v>5729</v>
      </c>
      <c r="E133" s="3" t="str">
        <f>"Прочие выплаты"</f>
        <v>Прочие выплаты</v>
      </c>
      <c r="F133" s="3" t="str">
        <f>""</f>
        <v/>
      </c>
      <c r="G133" s="3" t="str">
        <f>""</f>
        <v/>
      </c>
      <c r="H133" s="3" t="str">
        <f>""</f>
        <v/>
      </c>
      <c r="I133" s="5">
        <v>48766388.07</v>
      </c>
    </row>
    <row r="134" spans="1:9" x14ac:dyDescent="0.25">
      <c r="A134" s="3">
        <v>132</v>
      </c>
      <c r="B134" s="4">
        <v>44561</v>
      </c>
      <c r="C134" s="3">
        <v>13</v>
      </c>
      <c r="D134" s="3" t="str">
        <f>"5741"</f>
        <v>5741</v>
      </c>
      <c r="E134" s="3" t="str">
        <f>"Транспортные расходы"</f>
        <v>Транспортные расходы</v>
      </c>
      <c r="F134" s="3" t="str">
        <f>""</f>
        <v/>
      </c>
      <c r="G134" s="3" t="str">
        <f>""</f>
        <v/>
      </c>
      <c r="H134" s="3" t="str">
        <f>""</f>
        <v/>
      </c>
      <c r="I134" s="5">
        <v>15357395.859999999</v>
      </c>
    </row>
    <row r="135" spans="1:9" x14ac:dyDescent="0.25">
      <c r="A135" s="3">
        <v>144</v>
      </c>
      <c r="B135" s="4">
        <v>44561</v>
      </c>
      <c r="C135" s="3">
        <v>13</v>
      </c>
      <c r="D135" s="3" t="str">
        <f>"5742"</f>
        <v>5742</v>
      </c>
      <c r="E135" s="3" t="str">
        <f>"Административные расходы"</f>
        <v>Административные расходы</v>
      </c>
      <c r="F135" s="3" t="str">
        <f>""</f>
        <v/>
      </c>
      <c r="G135" s="3" t="str">
        <f>""</f>
        <v/>
      </c>
      <c r="H135" s="3" t="str">
        <f>""</f>
        <v/>
      </c>
      <c r="I135" s="5">
        <v>179019421.28999999</v>
      </c>
    </row>
    <row r="136" spans="1:9" x14ac:dyDescent="0.25">
      <c r="A136" s="3">
        <v>17</v>
      </c>
      <c r="B136" s="4">
        <v>44561</v>
      </c>
      <c r="C136" s="3">
        <v>13</v>
      </c>
      <c r="D136" s="3" t="str">
        <f>"5744"</f>
        <v>5744</v>
      </c>
      <c r="E136" s="3" t="str">
        <f>"Расходы на ремонт"</f>
        <v>Расходы на ремонт</v>
      </c>
      <c r="F136" s="3" t="str">
        <f>""</f>
        <v/>
      </c>
      <c r="G136" s="3" t="str">
        <f>""</f>
        <v/>
      </c>
      <c r="H136" s="3" t="str">
        <f>""</f>
        <v/>
      </c>
      <c r="I136" s="5">
        <v>934875.71</v>
      </c>
    </row>
    <row r="137" spans="1:9" x14ac:dyDescent="0.25">
      <c r="A137" s="3">
        <v>117</v>
      </c>
      <c r="B137" s="4">
        <v>44561</v>
      </c>
      <c r="C137" s="3">
        <v>13</v>
      </c>
      <c r="D137" s="3" t="str">
        <f>"5745"</f>
        <v>5745</v>
      </c>
      <c r="E137" s="3" t="str">
        <f>"Расходы на рекламу"</f>
        <v>Расходы на рекламу</v>
      </c>
      <c r="F137" s="3" t="str">
        <f>""</f>
        <v/>
      </c>
      <c r="G137" s="3" t="str">
        <f>""</f>
        <v/>
      </c>
      <c r="H137" s="3" t="str">
        <f>""</f>
        <v/>
      </c>
      <c r="I137" s="5">
        <v>19860328.59</v>
      </c>
    </row>
    <row r="138" spans="1:9" x14ac:dyDescent="0.25">
      <c r="A138" s="3">
        <v>91</v>
      </c>
      <c r="B138" s="4">
        <v>44561</v>
      </c>
      <c r="C138" s="3">
        <v>13</v>
      </c>
      <c r="D138" s="3" t="str">
        <f>"5746"</f>
        <v>5746</v>
      </c>
      <c r="E138" s="3" t="str">
        <f>"Расходы на охрану и сигнализацию"</f>
        <v>Расходы на охрану и сигнализацию</v>
      </c>
      <c r="F138" s="3" t="str">
        <f>""</f>
        <v/>
      </c>
      <c r="G138" s="3" t="str">
        <f>""</f>
        <v/>
      </c>
      <c r="H138" s="3" t="str">
        <f>""</f>
        <v/>
      </c>
      <c r="I138" s="5">
        <v>25926305.300000001</v>
      </c>
    </row>
    <row r="139" spans="1:9" x14ac:dyDescent="0.25">
      <c r="A139" s="3">
        <v>122</v>
      </c>
      <c r="B139" s="4">
        <v>44561</v>
      </c>
      <c r="C139" s="3">
        <v>13</v>
      </c>
      <c r="D139" s="3" t="str">
        <f>"5747"</f>
        <v>5747</v>
      </c>
      <c r="E139" s="3" t="str">
        <f>"Представительские расходы"</f>
        <v>Представительские расходы</v>
      </c>
      <c r="F139" s="3" t="str">
        <f>""</f>
        <v/>
      </c>
      <c r="G139" s="3" t="str">
        <f>""</f>
        <v/>
      </c>
      <c r="H139" s="3" t="str">
        <f>""</f>
        <v/>
      </c>
      <c r="I139" s="5">
        <v>190234</v>
      </c>
    </row>
    <row r="140" spans="1:9" x14ac:dyDescent="0.25">
      <c r="A140" s="3">
        <v>81</v>
      </c>
      <c r="B140" s="4">
        <v>44561</v>
      </c>
      <c r="C140" s="3">
        <v>13</v>
      </c>
      <c r="D140" s="3" t="str">
        <f>"5748"</f>
        <v>5748</v>
      </c>
      <c r="E140" s="3" t="str">
        <f>"Прочие общехозяйственные расходы"</f>
        <v>Прочие общехозяйственные расходы</v>
      </c>
      <c r="F140" s="3" t="str">
        <f>""</f>
        <v/>
      </c>
      <c r="G140" s="3" t="str">
        <f>""</f>
        <v/>
      </c>
      <c r="H140" s="3" t="str">
        <f>""</f>
        <v/>
      </c>
      <c r="I140" s="5">
        <v>28263617.359999999</v>
      </c>
    </row>
    <row r="141" spans="1:9" x14ac:dyDescent="0.25">
      <c r="A141" s="3">
        <v>121</v>
      </c>
      <c r="B141" s="4">
        <v>44561</v>
      </c>
      <c r="C141" s="3">
        <v>13</v>
      </c>
      <c r="D141" s="3" t="str">
        <f>"5749"</f>
        <v>5749</v>
      </c>
      <c r="E141" s="3" t="str">
        <f>"Расходы на служебные командировки"</f>
        <v>Расходы на служебные командировки</v>
      </c>
      <c r="F141" s="3" t="str">
        <f>""</f>
        <v/>
      </c>
      <c r="G141" s="3" t="str">
        <f>""</f>
        <v/>
      </c>
      <c r="H141" s="3" t="str">
        <f>""</f>
        <v/>
      </c>
      <c r="I141" s="5">
        <v>8556933.9000000004</v>
      </c>
    </row>
    <row r="142" spans="1:9" x14ac:dyDescent="0.25">
      <c r="A142" s="3">
        <v>131</v>
      </c>
      <c r="B142" s="4">
        <v>44561</v>
      </c>
      <c r="C142" s="3">
        <v>13</v>
      </c>
      <c r="D142" s="3" t="str">
        <f>"5750"</f>
        <v>5750</v>
      </c>
      <c r="E142" s="3" t="str">
        <f>"Расходы по аудиту и консультационным услугам"</f>
        <v>Расходы по аудиту и консультационным услугам</v>
      </c>
      <c r="F142" s="3" t="str">
        <f>""</f>
        <v/>
      </c>
      <c r="G142" s="3" t="str">
        <f>""</f>
        <v/>
      </c>
      <c r="H142" s="3" t="str">
        <f>""</f>
        <v/>
      </c>
      <c r="I142" s="5">
        <v>34612699.289999999</v>
      </c>
    </row>
    <row r="143" spans="1:9" x14ac:dyDescent="0.25">
      <c r="A143" s="3">
        <v>120</v>
      </c>
      <c r="B143" s="4">
        <v>44561</v>
      </c>
      <c r="C143" s="3">
        <v>13</v>
      </c>
      <c r="D143" s="3" t="str">
        <f>"5752"</f>
        <v>5752</v>
      </c>
      <c r="E143" s="3" t="str">
        <f>"Расходы по страхованию"</f>
        <v>Расходы по страхованию</v>
      </c>
      <c r="F143" s="3" t="str">
        <f>""</f>
        <v/>
      </c>
      <c r="G143" s="3" t="str">
        <f>""</f>
        <v/>
      </c>
      <c r="H143" s="3" t="str">
        <f>""</f>
        <v/>
      </c>
      <c r="I143" s="5">
        <v>9249534.8300000001</v>
      </c>
    </row>
    <row r="144" spans="1:9" x14ac:dyDescent="0.25">
      <c r="A144" s="3">
        <v>16</v>
      </c>
      <c r="B144" s="4">
        <v>44561</v>
      </c>
      <c r="C144" s="3">
        <v>13</v>
      </c>
      <c r="D144" s="3" t="str">
        <f>"5753"</f>
        <v>5753</v>
      </c>
      <c r="E144" s="3" t="str">
        <f>"Расходы по услугам связи"</f>
        <v>Расходы по услугам связи</v>
      </c>
      <c r="F144" s="3" t="str">
        <f>""</f>
        <v/>
      </c>
      <c r="G144" s="3" t="str">
        <f>""</f>
        <v/>
      </c>
      <c r="H144" s="3" t="str">
        <f>""</f>
        <v/>
      </c>
      <c r="I144" s="5">
        <v>28807678.030000001</v>
      </c>
    </row>
    <row r="145" spans="1:9" x14ac:dyDescent="0.25">
      <c r="A145" s="3">
        <v>36</v>
      </c>
      <c r="B145" s="4">
        <v>44561</v>
      </c>
      <c r="C145" s="3">
        <v>13</v>
      </c>
      <c r="D145" s="3" t="str">
        <f>"5761"</f>
        <v>5761</v>
      </c>
      <c r="E145" s="3" t="str">
        <f>"Налог на добавленную стоимость"</f>
        <v>Налог на добавленную стоимость</v>
      </c>
      <c r="F145" s="3" t="str">
        <f>""</f>
        <v/>
      </c>
      <c r="G145" s="3" t="str">
        <f>""</f>
        <v/>
      </c>
      <c r="H145" s="3" t="str">
        <f>""</f>
        <v/>
      </c>
      <c r="I145" s="5">
        <v>37857403.420000002</v>
      </c>
    </row>
    <row r="146" spans="1:9" x14ac:dyDescent="0.25">
      <c r="A146" s="3">
        <v>125</v>
      </c>
      <c r="B146" s="4">
        <v>44561</v>
      </c>
      <c r="C146" s="3">
        <v>13</v>
      </c>
      <c r="D146" s="3" t="str">
        <f>"5763"</f>
        <v>5763</v>
      </c>
      <c r="E146" s="3" t="str">
        <f>"Социальный налог"</f>
        <v>Социальный налог</v>
      </c>
      <c r="F146" s="3" t="str">
        <f>""</f>
        <v/>
      </c>
      <c r="G146" s="3" t="str">
        <f>""</f>
        <v/>
      </c>
      <c r="H146" s="3" t="str">
        <f>""</f>
        <v/>
      </c>
      <c r="I146" s="5">
        <v>86158435.769999996</v>
      </c>
    </row>
    <row r="147" spans="1:9" x14ac:dyDescent="0.25">
      <c r="A147" s="3">
        <v>37</v>
      </c>
      <c r="B147" s="4">
        <v>44561</v>
      </c>
      <c r="C147" s="3">
        <v>13</v>
      </c>
      <c r="D147" s="3" t="str">
        <f>"5764"</f>
        <v>5764</v>
      </c>
      <c r="E147" s="3" t="str">
        <f>"Земельный налог"</f>
        <v>Земельный налог</v>
      </c>
      <c r="F147" s="3" t="str">
        <f>""</f>
        <v/>
      </c>
      <c r="G147" s="3" t="str">
        <f>""</f>
        <v/>
      </c>
      <c r="H147" s="3" t="str">
        <f>""</f>
        <v/>
      </c>
      <c r="I147" s="5">
        <v>19194</v>
      </c>
    </row>
    <row r="148" spans="1:9" x14ac:dyDescent="0.25">
      <c r="A148" s="3">
        <v>161</v>
      </c>
      <c r="B148" s="4">
        <v>44561</v>
      </c>
      <c r="C148" s="3">
        <v>13</v>
      </c>
      <c r="D148" s="3" t="str">
        <f>"5765"</f>
        <v>5765</v>
      </c>
      <c r="E148" s="3" t="str">
        <f>"Налог на имущество юридических лиц"</f>
        <v>Налог на имущество юридических лиц</v>
      </c>
      <c r="F148" s="3" t="str">
        <f>""</f>
        <v/>
      </c>
      <c r="G148" s="3" t="str">
        <f>""</f>
        <v/>
      </c>
      <c r="H148" s="3" t="str">
        <f>""</f>
        <v/>
      </c>
      <c r="I148" s="5">
        <v>2455342.2799999998</v>
      </c>
    </row>
    <row r="149" spans="1:9" x14ac:dyDescent="0.25">
      <c r="A149" s="3">
        <v>47</v>
      </c>
      <c r="B149" s="4">
        <v>44561</v>
      </c>
      <c r="C149" s="3">
        <v>13</v>
      </c>
      <c r="D149" s="3" t="str">
        <f>"5766"</f>
        <v>5766</v>
      </c>
      <c r="E149" s="3" t="str">
        <f>"Налог на транспортные средства"</f>
        <v>Налог на транспортные средства</v>
      </c>
      <c r="F149" s="3" t="str">
        <f>""</f>
        <v/>
      </c>
      <c r="G149" s="3" t="str">
        <f>""</f>
        <v/>
      </c>
      <c r="H149" s="3" t="str">
        <f>""</f>
        <v/>
      </c>
      <c r="I149" s="5">
        <v>345545</v>
      </c>
    </row>
    <row r="150" spans="1:9" x14ac:dyDescent="0.25">
      <c r="A150" s="3">
        <v>100</v>
      </c>
      <c r="B150" s="4">
        <v>44561</v>
      </c>
      <c r="C150" s="3">
        <v>13</v>
      </c>
      <c r="D150" s="3" t="str">
        <f>"5768"</f>
        <v>5768</v>
      </c>
      <c r="E150" s="3" t="str">
        <f>"Прочие налоги и обязательные платежи в бюджет"</f>
        <v>Прочие налоги и обязательные платежи в бюджет</v>
      </c>
      <c r="F150" s="3" t="str">
        <f>""</f>
        <v/>
      </c>
      <c r="G150" s="3" t="str">
        <f>""</f>
        <v/>
      </c>
      <c r="H150" s="3" t="str">
        <f>""</f>
        <v/>
      </c>
      <c r="I150" s="5">
        <v>8747317.4800000004</v>
      </c>
    </row>
    <row r="151" spans="1:9" x14ac:dyDescent="0.25">
      <c r="A151" s="3">
        <v>73</v>
      </c>
      <c r="B151" s="4">
        <v>44561</v>
      </c>
      <c r="C151" s="3">
        <v>13</v>
      </c>
      <c r="D151" s="3" t="str">
        <f>"5781"</f>
        <v>5781</v>
      </c>
      <c r="E151" s="3" t="str">
        <f>"Расходы по амортизации зданий и сооружений"</f>
        <v>Расходы по амортизации зданий и сооружений</v>
      </c>
      <c r="F151" s="3" t="str">
        <f>""</f>
        <v/>
      </c>
      <c r="G151" s="3" t="str">
        <f>""</f>
        <v/>
      </c>
      <c r="H151" s="3" t="str">
        <f>""</f>
        <v/>
      </c>
      <c r="I151" s="5">
        <v>11024856.24</v>
      </c>
    </row>
    <row r="152" spans="1:9" x14ac:dyDescent="0.25">
      <c r="A152" s="3">
        <v>67</v>
      </c>
      <c r="B152" s="4">
        <v>44561</v>
      </c>
      <c r="C152" s="3">
        <v>13</v>
      </c>
      <c r="D152" s="3" t="str">
        <f>"5782"</f>
        <v>5782</v>
      </c>
      <c r="E152" s="3" t="str">
        <f>"Расходы по амортизации компьютерного оборудования"</f>
        <v>Расходы по амортизации компьютерного оборудования</v>
      </c>
      <c r="F152" s="3" t="str">
        <f>""</f>
        <v/>
      </c>
      <c r="G152" s="3" t="str">
        <f>""</f>
        <v/>
      </c>
      <c r="H152" s="3" t="str">
        <f>""</f>
        <v/>
      </c>
      <c r="I152" s="5">
        <v>76560867.939999998</v>
      </c>
    </row>
    <row r="153" spans="1:9" x14ac:dyDescent="0.25">
      <c r="A153" s="3">
        <v>22</v>
      </c>
      <c r="B153" s="4">
        <v>44561</v>
      </c>
      <c r="C153" s="3">
        <v>13</v>
      </c>
      <c r="D153" s="3" t="str">
        <f>"5783"</f>
        <v>5783</v>
      </c>
      <c r="E153" s="3" t="str">
        <f>"Расходы по амортизации прочих основных средств"</f>
        <v>Расходы по амортизации прочих основных средств</v>
      </c>
      <c r="F153" s="3" t="str">
        <f>""</f>
        <v/>
      </c>
      <c r="G153" s="3" t="str">
        <f>""</f>
        <v/>
      </c>
      <c r="H153" s="3" t="str">
        <f>""</f>
        <v/>
      </c>
      <c r="I153" s="5">
        <v>34950510.369999997</v>
      </c>
    </row>
    <row r="154" spans="1:9" x14ac:dyDescent="0.25">
      <c r="A154" s="3">
        <v>18</v>
      </c>
      <c r="B154" s="4">
        <v>44561</v>
      </c>
      <c r="C154" s="3">
        <v>13</v>
      </c>
      <c r="D154" s="3" t="str">
        <f>"5784"</f>
        <v>5784</v>
      </c>
      <c r="E154" s="3" t="str">
        <f>"Расходы по амортизации активов в форме права пользования"</f>
        <v>Расходы по амортизации активов в форме права пользования</v>
      </c>
      <c r="F154" s="3" t="str">
        <f>""</f>
        <v/>
      </c>
      <c r="G154" s="3" t="str">
        <f>""</f>
        <v/>
      </c>
      <c r="H154" s="3" t="str">
        <f>""</f>
        <v/>
      </c>
      <c r="I154" s="5">
        <v>333988371.24000001</v>
      </c>
    </row>
    <row r="155" spans="1:9" x14ac:dyDescent="0.25">
      <c r="A155" s="3">
        <v>160</v>
      </c>
      <c r="B155" s="4">
        <v>44561</v>
      </c>
      <c r="C155" s="3">
        <v>13</v>
      </c>
      <c r="D155" s="3" t="str">
        <f>"5786"</f>
        <v>5786</v>
      </c>
      <c r="E155" s="3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155" s="3" t="str">
        <f>""</f>
        <v/>
      </c>
      <c r="G155" s="3" t="str">
        <f>""</f>
        <v/>
      </c>
      <c r="H155" s="3" t="str">
        <f>""</f>
        <v/>
      </c>
      <c r="I155" s="5">
        <v>84833494.920000002</v>
      </c>
    </row>
    <row r="156" spans="1:9" x14ac:dyDescent="0.25">
      <c r="A156" s="3">
        <v>99</v>
      </c>
      <c r="B156" s="4">
        <v>44561</v>
      </c>
      <c r="C156" s="3">
        <v>13</v>
      </c>
      <c r="D156" s="3" t="str">
        <f>"5788"</f>
        <v>5788</v>
      </c>
      <c r="E156" s="3" t="str">
        <f>"Расходы по амортизации нематериальных активов"</f>
        <v>Расходы по амортизации нематериальных активов</v>
      </c>
      <c r="F156" s="3" t="str">
        <f>""</f>
        <v/>
      </c>
      <c r="G156" s="3" t="str">
        <f>""</f>
        <v/>
      </c>
      <c r="H156" s="3" t="str">
        <f>""</f>
        <v/>
      </c>
      <c r="I156" s="5">
        <v>84337185.629999995</v>
      </c>
    </row>
    <row r="157" spans="1:9" x14ac:dyDescent="0.25">
      <c r="A157" s="3">
        <v>40</v>
      </c>
      <c r="B157" s="4">
        <v>44561</v>
      </c>
      <c r="C157" s="3">
        <v>13</v>
      </c>
      <c r="D157" s="3" t="str">
        <f>"5897"</f>
        <v>5897</v>
      </c>
      <c r="E157" s="3" t="str">
        <f>"Расходы, связанные с выплатой вознаграждения по производным финансовым инструментам"</f>
        <v>Расходы, связанные с выплатой вознаграждения по производным финансовым инструментам</v>
      </c>
      <c r="F157" s="3" t="str">
        <f>""</f>
        <v/>
      </c>
      <c r="G157" s="3" t="str">
        <f>""</f>
        <v/>
      </c>
      <c r="H157" s="3" t="str">
        <f>""</f>
        <v/>
      </c>
      <c r="I157" s="5">
        <v>594729470.08000004</v>
      </c>
    </row>
    <row r="158" spans="1:9" x14ac:dyDescent="0.25">
      <c r="A158" s="3">
        <v>23</v>
      </c>
      <c r="B158" s="4">
        <v>44561</v>
      </c>
      <c r="C158" s="3">
        <v>13</v>
      </c>
      <c r="D158" s="3" t="str">
        <f>"5900"</f>
        <v>5900</v>
      </c>
      <c r="E158" s="3" t="str">
        <f>"Неустойка (штраф, пеня)"</f>
        <v>Неустойка (штраф, пеня)</v>
      </c>
      <c r="F158" s="3" t="str">
        <f>""</f>
        <v/>
      </c>
      <c r="G158" s="3" t="str">
        <f>""</f>
        <v/>
      </c>
      <c r="H158" s="3" t="str">
        <f>""</f>
        <v/>
      </c>
      <c r="I158" s="5">
        <v>28536184.25</v>
      </c>
    </row>
    <row r="159" spans="1:9" x14ac:dyDescent="0.25">
      <c r="A159" s="3">
        <v>54</v>
      </c>
      <c r="B159" s="4">
        <v>44561</v>
      </c>
      <c r="C159" s="3">
        <v>13</v>
      </c>
      <c r="D159" s="3" t="str">
        <f>"5921"</f>
        <v>5921</v>
      </c>
      <c r="E159" s="3" t="str">
        <f>"Прочие расходы от банковской деятельности"</f>
        <v>Прочие расходы от банковской деятельности</v>
      </c>
      <c r="F159" s="3" t="str">
        <f>""</f>
        <v/>
      </c>
      <c r="G159" s="3" t="str">
        <f>""</f>
        <v/>
      </c>
      <c r="H159" s="3" t="str">
        <f>""</f>
        <v/>
      </c>
      <c r="I159" s="5">
        <v>1010743525.46</v>
      </c>
    </row>
    <row r="160" spans="1:9" x14ac:dyDescent="0.25">
      <c r="A160" s="3">
        <v>57</v>
      </c>
      <c r="B160" s="4">
        <v>44561</v>
      </c>
      <c r="C160" s="3">
        <v>13</v>
      </c>
      <c r="D160" s="3" t="str">
        <f>"5922"</f>
        <v>5922</v>
      </c>
      <c r="E160" s="3" t="str">
        <f>"Прочие расходы от неосновной деятельности"</f>
        <v>Прочие расходы от неосновной деятельности</v>
      </c>
      <c r="F160" s="3" t="str">
        <f>""</f>
        <v/>
      </c>
      <c r="G160" s="3" t="str">
        <f>""</f>
        <v/>
      </c>
      <c r="H160" s="3" t="str">
        <f>""</f>
        <v/>
      </c>
      <c r="I160" s="5">
        <v>15331843.25</v>
      </c>
    </row>
    <row r="161" spans="1:9" x14ac:dyDescent="0.25">
      <c r="A161" s="3">
        <v>112</v>
      </c>
      <c r="B161" s="4">
        <v>44561</v>
      </c>
      <c r="C161" s="3">
        <v>13</v>
      </c>
      <c r="D161" s="3" t="str">
        <f>"5923"</f>
        <v>5923</v>
      </c>
      <c r="E161" s="3" t="str">
        <f>"Расходы по аренде"</f>
        <v>Расходы по аренде</v>
      </c>
      <c r="F161" s="3" t="str">
        <f>""</f>
        <v/>
      </c>
      <c r="G161" s="3" t="str">
        <f>""</f>
        <v/>
      </c>
      <c r="H161" s="3" t="str">
        <f>""</f>
        <v/>
      </c>
      <c r="I161" s="5">
        <v>442590</v>
      </c>
    </row>
    <row r="162" spans="1:9" x14ac:dyDescent="0.25">
      <c r="A162" s="3">
        <v>153</v>
      </c>
      <c r="B162" s="4">
        <v>44561</v>
      </c>
      <c r="C162" s="3">
        <v>13</v>
      </c>
      <c r="D162" s="3" t="str">
        <f>"5999"</f>
        <v>5999</v>
      </c>
      <c r="E162" s="3" t="str">
        <f>"Корпоративный подоходный налог"</f>
        <v>Корпоративный подоходный налог</v>
      </c>
      <c r="F162" s="3" t="str">
        <f>""</f>
        <v/>
      </c>
      <c r="G162" s="3" t="str">
        <f>""</f>
        <v/>
      </c>
      <c r="H162" s="3" t="str">
        <f>""</f>
        <v/>
      </c>
      <c r="I162" s="5">
        <v>366508858.36000001</v>
      </c>
    </row>
    <row r="163" spans="1:9" x14ac:dyDescent="0.25">
      <c r="A163" s="3">
        <v>28</v>
      </c>
      <c r="B163" s="4">
        <v>44561</v>
      </c>
      <c r="C163" s="3">
        <v>13</v>
      </c>
      <c r="D163" s="3" t="str">
        <f>"6055"</f>
        <v>6055</v>
      </c>
      <c r="E163" s="3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163" s="3" t="str">
        <f>""</f>
        <v/>
      </c>
      <c r="G163" s="3" t="str">
        <f>""</f>
        <v/>
      </c>
      <c r="H163" s="3" t="str">
        <f>""</f>
        <v/>
      </c>
      <c r="I163" s="5">
        <v>811196331.22000003</v>
      </c>
    </row>
    <row r="164" spans="1:9" x14ac:dyDescent="0.25">
      <c r="A164" s="3">
        <v>143</v>
      </c>
      <c r="B164" s="4">
        <v>44561</v>
      </c>
      <c r="C164" s="3">
        <v>13</v>
      </c>
      <c r="D164" s="3" t="str">
        <f>"6075"</f>
        <v>6075</v>
      </c>
      <c r="E164" s="3" t="str">
        <f>"Возможные требования по принятым гарантиям"</f>
        <v>Возможные требования по принятым гарантиям</v>
      </c>
      <c r="F164" s="3" t="str">
        <f>""</f>
        <v/>
      </c>
      <c r="G164" s="3" t="str">
        <f>""</f>
        <v/>
      </c>
      <c r="H164" s="3" t="str">
        <f>""</f>
        <v/>
      </c>
      <c r="I164" s="5">
        <v>160784104404.81</v>
      </c>
    </row>
    <row r="165" spans="1:9" x14ac:dyDescent="0.25">
      <c r="A165" s="3">
        <v>172</v>
      </c>
      <c r="B165" s="4">
        <v>44561</v>
      </c>
      <c r="C165" s="3">
        <v>13</v>
      </c>
      <c r="D165" s="3" t="str">
        <f>"6126"</f>
        <v>6126</v>
      </c>
      <c r="E165" s="3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165" s="3" t="str">
        <f>""</f>
        <v/>
      </c>
      <c r="G165" s="3" t="str">
        <f>""</f>
        <v/>
      </c>
      <c r="H165" s="3" t="str">
        <f>""</f>
        <v/>
      </c>
      <c r="I165" s="5">
        <v>52243321180.809998</v>
      </c>
    </row>
    <row r="166" spans="1:9" x14ac:dyDescent="0.25">
      <c r="A166" s="3">
        <v>155</v>
      </c>
      <c r="B166" s="4">
        <v>44561</v>
      </c>
      <c r="C166" s="3">
        <v>13</v>
      </c>
      <c r="D166" s="3" t="str">
        <f>"6405"</f>
        <v>6405</v>
      </c>
      <c r="E166" s="3" t="str">
        <f>"Условные требования по купле-продаже иностранной валюты"</f>
        <v>Условные требования по купле-продаже иностранной валюты</v>
      </c>
      <c r="F166" s="3" t="str">
        <f>""</f>
        <v/>
      </c>
      <c r="G166" s="3" t="str">
        <f>""</f>
        <v/>
      </c>
      <c r="H166" s="3" t="str">
        <f>""</f>
        <v/>
      </c>
      <c r="I166" s="5">
        <v>842010000</v>
      </c>
    </row>
    <row r="167" spans="1:9" x14ac:dyDescent="0.25">
      <c r="A167" s="3">
        <v>180</v>
      </c>
      <c r="B167" s="4">
        <v>44561</v>
      </c>
      <c r="C167" s="3">
        <v>13</v>
      </c>
      <c r="D167" s="3" t="str">
        <f>"6555"</f>
        <v>6555</v>
      </c>
      <c r="E167" s="3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167" s="3" t="str">
        <f>""</f>
        <v/>
      </c>
      <c r="G167" s="3" t="str">
        <f>""</f>
        <v/>
      </c>
      <c r="H167" s="3" t="str">
        <f>""</f>
        <v/>
      </c>
      <c r="I167" s="5">
        <v>811196331.22000003</v>
      </c>
    </row>
    <row r="168" spans="1:9" x14ac:dyDescent="0.25">
      <c r="A168" s="3">
        <v>56</v>
      </c>
      <c r="B168" s="4">
        <v>44561</v>
      </c>
      <c r="C168" s="3">
        <v>13</v>
      </c>
      <c r="D168" s="3" t="str">
        <f>"6575"</f>
        <v>6575</v>
      </c>
      <c r="E168" s="3" t="str">
        <f>"Возможное уменьшение требований по принятым гарантиям"</f>
        <v>Возможное уменьшение требований по принятым гарантиям</v>
      </c>
      <c r="F168" s="3" t="str">
        <f>""</f>
        <v/>
      </c>
      <c r="G168" s="3" t="str">
        <f>""</f>
        <v/>
      </c>
      <c r="H168" s="3" t="str">
        <f>""</f>
        <v/>
      </c>
      <c r="I168" s="5">
        <v>160784104404.81</v>
      </c>
    </row>
    <row r="169" spans="1:9" x14ac:dyDescent="0.25">
      <c r="A169" s="3">
        <v>42</v>
      </c>
      <c r="B169" s="4">
        <v>44561</v>
      </c>
      <c r="C169" s="3">
        <v>13</v>
      </c>
      <c r="D169" s="3" t="str">
        <f>"6626"</f>
        <v>6626</v>
      </c>
      <c r="E169" s="3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169" s="3" t="str">
        <f>""</f>
        <v/>
      </c>
      <c r="G169" s="3" t="str">
        <f>""</f>
        <v/>
      </c>
      <c r="H169" s="3" t="str">
        <f>""</f>
        <v/>
      </c>
      <c r="I169" s="5">
        <v>52243321180.809998</v>
      </c>
    </row>
    <row r="170" spans="1:9" x14ac:dyDescent="0.25">
      <c r="A170" s="3">
        <v>128</v>
      </c>
      <c r="B170" s="4">
        <v>44561</v>
      </c>
      <c r="C170" s="3">
        <v>13</v>
      </c>
      <c r="D170" s="3" t="str">
        <f>"6905"</f>
        <v>6905</v>
      </c>
      <c r="E170" s="3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170" s="3" t="str">
        <f>""</f>
        <v/>
      </c>
      <c r="G170" s="3" t="str">
        <f>""</f>
        <v/>
      </c>
      <c r="H170" s="3" t="str">
        <f>""</f>
        <v/>
      </c>
      <c r="I170" s="5">
        <v>841642240</v>
      </c>
    </row>
    <row r="171" spans="1:9" x14ac:dyDescent="0.25">
      <c r="A171" s="3">
        <v>173</v>
      </c>
      <c r="B171" s="4">
        <v>44561</v>
      </c>
      <c r="C171" s="3">
        <v>13</v>
      </c>
      <c r="D171" s="3" t="str">
        <f>"6999"</f>
        <v>6999</v>
      </c>
      <c r="E171" s="3" t="str">
        <f>"Позиция по сделкам с иностранной валютой"</f>
        <v>Позиция по сделкам с иностранной валютой</v>
      </c>
      <c r="F171" s="3" t="str">
        <f>""</f>
        <v/>
      </c>
      <c r="G171" s="3" t="str">
        <f>""</f>
        <v/>
      </c>
      <c r="H171" s="3" t="str">
        <f>""</f>
        <v/>
      </c>
      <c r="I171" s="5">
        <v>367760</v>
      </c>
    </row>
    <row r="172" spans="1:9" x14ac:dyDescent="0.25">
      <c r="A172" s="3">
        <v>174</v>
      </c>
      <c r="B172" s="4">
        <v>44561</v>
      </c>
      <c r="C172" s="3">
        <v>13</v>
      </c>
      <c r="D172" s="3" t="str">
        <f>"7110"</f>
        <v>7110</v>
      </c>
      <c r="E172" s="3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172" s="3" t="str">
        <f>""</f>
        <v/>
      </c>
      <c r="G172" s="3" t="str">
        <f>""</f>
        <v/>
      </c>
      <c r="H172" s="3" t="str">
        <f>""</f>
        <v/>
      </c>
      <c r="I172" s="5">
        <v>1147921000</v>
      </c>
    </row>
    <row r="173" spans="1:9" x14ac:dyDescent="0.25">
      <c r="A173" s="3">
        <v>25</v>
      </c>
      <c r="B173" s="4">
        <v>44561</v>
      </c>
      <c r="C173" s="3">
        <v>13</v>
      </c>
      <c r="D173" s="3" t="str">
        <f>"7250"</f>
        <v>7250</v>
      </c>
      <c r="E173" s="3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173" s="3" t="str">
        <f>""</f>
        <v/>
      </c>
      <c r="G173" s="3" t="str">
        <f>""</f>
        <v/>
      </c>
      <c r="H173" s="3" t="str">
        <f>""</f>
        <v/>
      </c>
      <c r="I173" s="5">
        <v>226531678303.73999</v>
      </c>
    </row>
    <row r="174" spans="1:9" x14ac:dyDescent="0.25">
      <c r="A174" s="3">
        <v>163</v>
      </c>
      <c r="B174" s="4">
        <v>44561</v>
      </c>
      <c r="C174" s="3">
        <v>13</v>
      </c>
      <c r="D174" s="3" t="str">
        <f>"7303"</f>
        <v>7303</v>
      </c>
      <c r="E174" s="3" t="str">
        <f>"Платежные документы, не оплаченные в срок"</f>
        <v>Платежные документы, не оплаченные в срок</v>
      </c>
      <c r="F174" s="3" t="str">
        <f>""</f>
        <v/>
      </c>
      <c r="G174" s="3" t="str">
        <f>""</f>
        <v/>
      </c>
      <c r="H174" s="3" t="str">
        <f>""</f>
        <v/>
      </c>
      <c r="I174" s="5">
        <v>79764747885.720001</v>
      </c>
    </row>
    <row r="175" spans="1:9" x14ac:dyDescent="0.25">
      <c r="A175" s="3">
        <v>38</v>
      </c>
      <c r="B175" s="4">
        <v>44561</v>
      </c>
      <c r="C175" s="3">
        <v>13</v>
      </c>
      <c r="D175" s="3" t="str">
        <f>"7339"</f>
        <v>7339</v>
      </c>
      <c r="E175" s="3" t="str">
        <f>"Разные ценности и документы"</f>
        <v>Разные ценности и документы</v>
      </c>
      <c r="F175" s="3" t="str">
        <f>""</f>
        <v/>
      </c>
      <c r="G175" s="3" t="str">
        <f>""</f>
        <v/>
      </c>
      <c r="H175" s="3" t="str">
        <f>""</f>
        <v/>
      </c>
      <c r="I175" s="5">
        <v>7074</v>
      </c>
    </row>
    <row r="176" spans="1:9" x14ac:dyDescent="0.25">
      <c r="A176" s="3">
        <v>60</v>
      </c>
      <c r="B176" s="4">
        <v>44561</v>
      </c>
      <c r="C176" s="3">
        <v>13</v>
      </c>
      <c r="D176" s="3" t="str">
        <f>"7342"</f>
        <v>7342</v>
      </c>
      <c r="E176" s="3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176" s="3" t="str">
        <f>""</f>
        <v/>
      </c>
      <c r="G176" s="3" t="str">
        <f>""</f>
        <v/>
      </c>
      <c r="H176" s="3" t="str">
        <f>""</f>
        <v/>
      </c>
      <c r="I176" s="5">
        <v>623</v>
      </c>
    </row>
    <row r="177" spans="1:9" x14ac:dyDescent="0.25">
      <c r="A177" s="3">
        <v>83</v>
      </c>
      <c r="B177" s="4">
        <v>44561</v>
      </c>
      <c r="C177" s="3">
        <v>13</v>
      </c>
      <c r="D177" s="3" t="str">
        <f>"7801"</f>
        <v>7801</v>
      </c>
      <c r="E177" s="3" t="str">
        <f>"Счет учета банком денег клиентов"</f>
        <v>Счет учета банком денег клиентов</v>
      </c>
      <c r="F177" s="3" t="str">
        <f>""</f>
        <v/>
      </c>
      <c r="G177" s="3" t="str">
        <f>""</f>
        <v/>
      </c>
      <c r="H177" s="3" t="str">
        <f>""</f>
        <v/>
      </c>
      <c r="I177" s="5">
        <v>1760788020.1900001</v>
      </c>
    </row>
    <row r="178" spans="1:9" x14ac:dyDescent="0.25">
      <c r="A178" s="3">
        <v>84</v>
      </c>
      <c r="B178" s="4">
        <v>44561</v>
      </c>
      <c r="C178" s="3">
        <v>13</v>
      </c>
      <c r="D178" s="3" t="str">
        <f>"7806"</f>
        <v>7806</v>
      </c>
      <c r="E178" s="3" t="str">
        <f>"Требования по операциям финансирования торговой деятельности"</f>
        <v>Требования по операциям финансирования торговой деятельности</v>
      </c>
      <c r="F178" s="3" t="str">
        <f>""</f>
        <v/>
      </c>
      <c r="G178" s="3" t="str">
        <f>""</f>
        <v/>
      </c>
      <c r="H178" s="3" t="str">
        <f>""</f>
        <v/>
      </c>
      <c r="I178" s="5">
        <v>54699298626.480003</v>
      </c>
    </row>
    <row r="179" spans="1:9" x14ac:dyDescent="0.25">
      <c r="A179" s="3">
        <v>114</v>
      </c>
      <c r="B179" s="4">
        <v>44561</v>
      </c>
      <c r="C179" s="3">
        <v>13</v>
      </c>
      <c r="D179" s="3" t="str">
        <f>"7831"</f>
        <v>7831</v>
      </c>
      <c r="E179" s="3" t="str">
        <f>"Обязательства по инвестиционным депозитам"</f>
        <v>Обязательства по инвестиционным депозитам</v>
      </c>
      <c r="F179" s="3" t="str">
        <f>""</f>
        <v/>
      </c>
      <c r="G179" s="3" t="str">
        <f>""</f>
        <v/>
      </c>
      <c r="H179" s="3" t="str">
        <f>""</f>
        <v/>
      </c>
      <c r="I179" s="5">
        <v>52716363685.43</v>
      </c>
    </row>
    <row r="180" spans="1:9" x14ac:dyDescent="0.25">
      <c r="A180" s="3">
        <v>119</v>
      </c>
      <c r="B180" s="4">
        <v>44561</v>
      </c>
      <c r="C180" s="3">
        <v>13</v>
      </c>
      <c r="D180" s="3" t="str">
        <f>"7832"</f>
        <v>7832</v>
      </c>
      <c r="E180" s="3" t="str">
        <f>"Доходы будущих периодов"</f>
        <v>Доходы будущих периодов</v>
      </c>
      <c r="F180" s="3" t="str">
        <f>""</f>
        <v/>
      </c>
      <c r="G180" s="3" t="str">
        <f>""</f>
        <v/>
      </c>
      <c r="H180" s="3" t="str">
        <f>""</f>
        <v/>
      </c>
      <c r="I180" s="5">
        <v>2180942930.6399999</v>
      </c>
    </row>
    <row r="181" spans="1:9" x14ac:dyDescent="0.25">
      <c r="A181" s="3">
        <v>58</v>
      </c>
      <c r="B181" s="4">
        <v>44561</v>
      </c>
      <c r="C181" s="3">
        <v>13</v>
      </c>
      <c r="D181" s="3" t="str">
        <f>"7833"</f>
        <v>7833</v>
      </c>
      <c r="E181" s="3" t="str">
        <f>"Начисленные расходы по инвестиционным депозитам"</f>
        <v>Начисленные расходы по инвестиционным депозитам</v>
      </c>
      <c r="F181" s="3" t="str">
        <f>""</f>
        <v/>
      </c>
      <c r="G181" s="3" t="str">
        <f>""</f>
        <v/>
      </c>
      <c r="H181" s="3" t="str">
        <f>""</f>
        <v/>
      </c>
      <c r="I181" s="5">
        <v>1573884075.4100001</v>
      </c>
    </row>
    <row r="182" spans="1:9" x14ac:dyDescent="0.25">
      <c r="A182" s="3">
        <v>135</v>
      </c>
      <c r="B182" s="4">
        <v>44561</v>
      </c>
      <c r="C182" s="3">
        <v>13</v>
      </c>
      <c r="D182" s="3" t="str">
        <f>"7851"</f>
        <v>7851</v>
      </c>
      <c r="E182" s="3" t="str">
        <f>"Капитал"</f>
        <v>Капитал</v>
      </c>
      <c r="F182" s="3" t="str">
        <f>""</f>
        <v/>
      </c>
      <c r="G182" s="3" t="str">
        <f>""</f>
        <v/>
      </c>
      <c r="H182" s="3" t="str">
        <f>""</f>
        <v/>
      </c>
      <c r="I182" s="5">
        <v>-11104044.789999999</v>
      </c>
    </row>
    <row r="183" spans="1:9" x14ac:dyDescent="0.25">
      <c r="A183" s="3">
        <v>29</v>
      </c>
      <c r="B183" s="4">
        <v>44561</v>
      </c>
      <c r="C183" s="3">
        <v>13</v>
      </c>
      <c r="D183" s="3" t="str">
        <f>"7867"</f>
        <v>7867</v>
      </c>
      <c r="E183" s="3" t="str">
        <f>"Доходы по курсовой разнице"</f>
        <v>Доходы по курсовой разнице</v>
      </c>
      <c r="F183" s="3" t="str">
        <f>""</f>
        <v/>
      </c>
      <c r="G183" s="3" t="str">
        <f>""</f>
        <v/>
      </c>
      <c r="H183" s="3" t="str">
        <f>""</f>
        <v/>
      </c>
      <c r="I183" s="5">
        <v>761929540.04999995</v>
      </c>
    </row>
    <row r="184" spans="1:9" x14ac:dyDescent="0.25">
      <c r="A184" s="3">
        <v>101</v>
      </c>
      <c r="B184" s="4">
        <v>44561</v>
      </c>
      <c r="C184" s="3">
        <v>13</v>
      </c>
      <c r="D184" s="3" t="str">
        <f>"7869"</f>
        <v>7869</v>
      </c>
      <c r="E184" s="3" t="str">
        <f>"Доходы в виде лизинговых (арендных) платежей"</f>
        <v>Доходы в виде лизинговых (арендных) платежей</v>
      </c>
      <c r="F184" s="3" t="str">
        <f>""</f>
        <v/>
      </c>
      <c r="G184" s="3" t="str">
        <f>""</f>
        <v/>
      </c>
      <c r="H184" s="3" t="str">
        <f>""</f>
        <v/>
      </c>
      <c r="I184" s="5">
        <v>19302899.620000001</v>
      </c>
    </row>
    <row r="185" spans="1:9" x14ac:dyDescent="0.25">
      <c r="A185" s="3">
        <v>4</v>
      </c>
      <c r="B185" s="4">
        <v>44561</v>
      </c>
      <c r="C185" s="3">
        <v>13</v>
      </c>
      <c r="D185" s="3" t="str">
        <f>"7870"</f>
        <v>7870</v>
      </c>
      <c r="E185" s="3" t="str">
        <f>"Доходы по операциям финансирования торговой деятельности"</f>
        <v>Доходы по операциям финансирования торговой деятельности</v>
      </c>
      <c r="F185" s="3" t="str">
        <f>""</f>
        <v/>
      </c>
      <c r="G185" s="3" t="str">
        <f>""</f>
        <v/>
      </c>
      <c r="H185" s="3" t="str">
        <f>""</f>
        <v/>
      </c>
      <c r="I185" s="5">
        <v>1094675608.8299999</v>
      </c>
    </row>
    <row r="186" spans="1:9" x14ac:dyDescent="0.25">
      <c r="A186" s="3">
        <v>61</v>
      </c>
      <c r="B186" s="4">
        <v>44561</v>
      </c>
      <c r="C186" s="3">
        <v>13</v>
      </c>
      <c r="D186" s="3" t="str">
        <f>"7881"</f>
        <v>7881</v>
      </c>
      <c r="E186" s="3" t="str">
        <f>"Расходы, связанные с выплатой вознаграждения по инвестиционному депозиту"</f>
        <v>Расходы, связанные с выплатой вознаграждения по инвестиционному депозиту</v>
      </c>
      <c r="F186" s="3" t="str">
        <f>""</f>
        <v/>
      </c>
      <c r="G186" s="3" t="str">
        <f>""</f>
        <v/>
      </c>
      <c r="H186" s="3" t="str">
        <f>""</f>
        <v/>
      </c>
      <c r="I186" s="5">
        <v>1865174965.3399999</v>
      </c>
    </row>
    <row r="187" spans="1:9" x14ac:dyDescent="0.25">
      <c r="A187" s="3">
        <v>156</v>
      </c>
      <c r="B187" s="4">
        <v>44561</v>
      </c>
      <c r="C187" s="3">
        <v>13</v>
      </c>
      <c r="D187" s="3" t="str">
        <f>"7886"</f>
        <v>7886</v>
      </c>
      <c r="E187" s="3" t="str">
        <f>"Расходы по курсовой разнице"</f>
        <v>Расходы по курсовой разнице</v>
      </c>
      <c r="F187" s="3" t="str">
        <f>""</f>
        <v/>
      </c>
      <c r="G187" s="3" t="str">
        <f>""</f>
        <v/>
      </c>
      <c r="H187" s="3" t="str">
        <f>""</f>
        <v/>
      </c>
      <c r="I187" s="5">
        <v>21837127.969999999</v>
      </c>
    </row>
    <row r="188" spans="1:9" x14ac:dyDescent="0.25">
      <c r="I188" s="5">
        <f>SUBTOTAL(9,I2:I187)</f>
        <v>996208054078.44971</v>
      </c>
    </row>
  </sheetData>
  <autoFilter ref="A1:I187"/>
  <pageMargins left="0.7" right="0.7" top="0.75" bottom="0.75" header="0.3" footer="0.3"/>
  <pageSetup orientation="landscape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HOSTNAME%">K-8CG94398Z4.ALHILALBANK.AE</XMLData>
</file>

<file path=customXml/item2.xml><?xml version="1.0" encoding="utf-8"?>
<XMLData TextToDisplay="%CLASSIFICATIONDATETIME%">08:13 13/01/2022</XMLData>
</file>

<file path=customXml/item3.xml><?xml version="1.0" encoding="utf-8"?>
<XMLData TextToDisplay="%EMAILADDRESS%">azhumanova@alhilalbank.kz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USERNAME%">k0245</XMLData>
</file>

<file path=customXml/item6.xml><?xml version="1.0" encoding="utf-8"?>
<XMLData TextToDisplay="RightsWATCHMark">62|Al Hilal Bank-AHB Kazakhstan-Internal Use Only|{00000000-0000-0000-0000-000000000000}</XMLData>
</file>

<file path=customXml/itemProps1.xml><?xml version="1.0" encoding="utf-8"?>
<ds:datastoreItem xmlns:ds="http://schemas.openxmlformats.org/officeDocument/2006/customXml" ds:itemID="{E42DC96E-D439-4A8C-9FA8-40BFF08E661B}">
  <ds:schemaRefs/>
</ds:datastoreItem>
</file>

<file path=customXml/itemProps2.xml><?xml version="1.0" encoding="utf-8"?>
<ds:datastoreItem xmlns:ds="http://schemas.openxmlformats.org/officeDocument/2006/customXml" ds:itemID="{628BA5DF-2660-4F26-8C92-923C40E54EA1}">
  <ds:schemaRefs/>
</ds:datastoreItem>
</file>

<file path=customXml/itemProps3.xml><?xml version="1.0" encoding="utf-8"?>
<ds:datastoreItem xmlns:ds="http://schemas.openxmlformats.org/officeDocument/2006/customXml" ds:itemID="{817C15E2-CBDD-4DD9-8AC6-647187FC1921}">
  <ds:schemaRefs/>
</ds:datastoreItem>
</file>

<file path=customXml/itemProps4.xml><?xml version="1.0" encoding="utf-8"?>
<ds:datastoreItem xmlns:ds="http://schemas.openxmlformats.org/officeDocument/2006/customXml" ds:itemID="{D93D62ED-0117-4104-898B-197E86A4E21B}">
  <ds:schemaRefs/>
</ds:datastoreItem>
</file>

<file path=customXml/itemProps5.xml><?xml version="1.0" encoding="utf-8"?>
<ds:datastoreItem xmlns:ds="http://schemas.openxmlformats.org/officeDocument/2006/customXml" ds:itemID="{121D0341-8A8A-4D4F-8E3E-FB5D43ABD776}">
  <ds:schemaRefs/>
</ds:datastoreItem>
</file>

<file path=customXml/itemProps6.xml><?xml version="1.0" encoding="utf-8"?>
<ds:datastoreItem xmlns:ds="http://schemas.openxmlformats.org/officeDocument/2006/customXml" ds:itemID="{294263AB-E8C9-4D15-89E3-81CC1F33D67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Akbala Zhumanova</dc:creator>
  <cp:lastModifiedBy>Farida Uzakbayeva</cp:lastModifiedBy>
  <dcterms:created xsi:type="dcterms:W3CDTF">2022-01-13T08:13:39Z</dcterms:created>
  <dcterms:modified xsi:type="dcterms:W3CDTF">2022-01-20T09:24:22Z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62|Al Hilal Bank-AHB Kazakhstan-Internal Use Only|{00000000-0000-0000-0000-000000000000}</vt:lpwstr>
  </property>
</Properties>
</file>