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2024 Касе\2023\"/>
    </mc:Choice>
  </mc:AlternateContent>
  <bookViews>
    <workbookView xWindow="0" yWindow="0" windowWidth="28800" windowHeight="12432" activeTab="3"/>
  </bookViews>
  <sheets>
    <sheet name="Отч о финансовом положении" sheetId="2" r:id="rId1"/>
    <sheet name="Отч о движении денег" sheetId="6" r:id="rId2"/>
    <sheet name="Отч о совокупном доходе" sheetId="1" r:id="rId3"/>
    <sheet name="Отч об изм в капитале" sheetId="3" r:id="rId4"/>
  </sheets>
  <externalReferences>
    <externalReference r:id="rId5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D14" i="1" s="1"/>
  <c r="D9" i="1"/>
  <c r="C20" i="1"/>
  <c r="C13" i="1"/>
  <c r="C12" i="1"/>
  <c r="D13" i="1"/>
  <c r="D12" i="1"/>
  <c r="C23" i="6"/>
  <c r="C22" i="6"/>
  <c r="C19" i="6"/>
  <c r="C34" i="6"/>
  <c r="C29" i="6"/>
  <c r="C12" i="6"/>
  <c r="D29" i="6"/>
  <c r="D33" i="6" s="1"/>
  <c r="D23" i="6"/>
  <c r="D19" i="6"/>
  <c r="D24" i="6" s="1"/>
  <c r="D12" i="6"/>
  <c r="D14" i="6" s="1"/>
  <c r="D35" i="6" s="1"/>
  <c r="D16" i="1" l="1"/>
  <c r="D37" i="6"/>
  <c r="D36" i="2" l="1"/>
  <c r="D31" i="2"/>
  <c r="D26" i="2"/>
  <c r="D9" i="2"/>
  <c r="D25" i="2" l="1"/>
  <c r="D27" i="2" s="1"/>
  <c r="C26" i="2"/>
  <c r="C25" i="2"/>
  <c r="C28" i="2" s="1"/>
  <c r="C24" i="2"/>
  <c r="F41" i="3"/>
  <c r="C27" i="2" l="1"/>
  <c r="D41" i="3" l="1"/>
  <c r="G39" i="3"/>
  <c r="G41" i="3" s="1"/>
  <c r="G26" i="2" l="1"/>
  <c r="G29" i="2"/>
  <c r="C24" i="6" l="1"/>
  <c r="E25" i="2" l="1"/>
  <c r="E27" i="2" s="1"/>
  <c r="E37" i="2"/>
  <c r="E19" i="2"/>
  <c r="E20" i="2" s="1"/>
  <c r="F36" i="3"/>
  <c r="D37" i="2" l="1"/>
  <c r="D18" i="1" l="1"/>
  <c r="E14" i="2" l="1"/>
  <c r="E21" i="2" s="1"/>
  <c r="D14" i="2" l="1"/>
  <c r="C33" i="6" l="1"/>
  <c r="F29" i="3" l="1"/>
  <c r="C14" i="1" l="1"/>
  <c r="C16" i="1" s="1"/>
  <c r="C18" i="1" s="1"/>
  <c r="C14" i="6"/>
  <c r="C35" i="6" s="1"/>
  <c r="C37" i="6" l="1"/>
  <c r="E31" i="3"/>
  <c r="D31" i="3"/>
  <c r="G29" i="3"/>
  <c r="G31" i="3" s="1"/>
  <c r="F31" i="3" l="1"/>
  <c r="E27" i="3" l="1"/>
  <c r="F24" i="3"/>
  <c r="F27" i="3" l="1"/>
  <c r="G7" i="3" l="1"/>
  <c r="F9" i="3"/>
  <c r="G9" i="3" s="1"/>
  <c r="D10" i="3"/>
  <c r="D13" i="3" s="1"/>
  <c r="D15" i="3" s="1"/>
  <c r="E10" i="3"/>
  <c r="E13" i="3" s="1"/>
  <c r="G11" i="3"/>
  <c r="G12" i="3"/>
  <c r="F16" i="3"/>
  <c r="G16" i="3" s="1"/>
  <c r="E17" i="3"/>
  <c r="F17" i="3" s="1"/>
  <c r="G17" i="3" s="1"/>
  <c r="G18" i="3"/>
  <c r="G19" i="3"/>
  <c r="D20" i="3"/>
  <c r="G24" i="3"/>
  <c r="G25" i="3"/>
  <c r="D27" i="3"/>
  <c r="E32" i="2"/>
  <c r="E38" i="2" s="1"/>
  <c r="E39" i="2" s="1"/>
  <c r="D32" i="2"/>
  <c r="G27" i="3" l="1"/>
  <c r="D38" i="2"/>
  <c r="D39" i="2" s="1"/>
  <c r="E20" i="3"/>
  <c r="E21" i="3" s="1"/>
  <c r="E28" i="3" s="1"/>
  <c r="E33" i="3" s="1"/>
  <c r="F10" i="3"/>
  <c r="F13" i="3" s="1"/>
  <c r="F15" i="3" s="1"/>
  <c r="F20" i="3" s="1"/>
  <c r="G20" i="3"/>
  <c r="D21" i="3"/>
  <c r="D28" i="3" s="1"/>
  <c r="E38" i="3" l="1"/>
  <c r="D33" i="3"/>
  <c r="F21" i="3"/>
  <c r="G15" i="3"/>
  <c r="G10" i="3"/>
  <c r="G13" i="3" s="1"/>
  <c r="E43" i="3" l="1"/>
  <c r="F28" i="3"/>
  <c r="F33" i="3" s="1"/>
  <c r="G21" i="3"/>
  <c r="F38" i="3" l="1"/>
  <c r="F43" i="3" s="1"/>
  <c r="G33" i="3"/>
  <c r="G28" i="3"/>
  <c r="G43" i="3" l="1"/>
  <c r="D20" i="2"/>
  <c r="G34" i="3"/>
  <c r="G36" i="3" s="1"/>
  <c r="D36" i="3"/>
  <c r="D21" i="2" l="1"/>
  <c r="G39" i="2" s="1"/>
  <c r="G41" i="2" s="1"/>
  <c r="D38" i="3"/>
  <c r="G38" i="3" s="1"/>
  <c r="D44" i="2" l="1"/>
</calcChain>
</file>

<file path=xl/sharedStrings.xml><?xml version="1.0" encoding="utf-8"?>
<sst xmlns="http://schemas.openxmlformats.org/spreadsheetml/2006/main" count="150" uniqueCount="98">
  <si>
    <t>АО "Аскер Мунай Эксплорэйшн"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</si>
  <si>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</si>
  <si>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</si>
  <si>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</si>
  <si>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</si>
  <si>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</si>
  <si>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</si>
  <si>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</si>
  <si>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Прибыль / (убыток) до налогообложения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</si>
  <si>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</si>
  <si>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</si>
  <si>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</si>
  <si>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</si>
  <si>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</si>
  <si>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</si>
  <si>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</si>
  <si>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</si>
  <si>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 xml:space="preserve">Активы </t>
  </si>
  <si>
    <t>Долгосрочные активы</t>
  </si>
  <si>
    <t>Разведочные и оценочные активы</t>
  </si>
  <si>
    <t>Нематериальные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</si>
  <si>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</si>
  <si>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</si>
  <si>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</si>
  <si>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</si>
  <si>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</si>
  <si>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</si>
  <si>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</si>
  <si>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</si>
  <si>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</si>
  <si>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</si>
  <si>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</si>
  <si>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</si>
  <si>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</si>
  <si>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</si>
  <si>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</si>
  <si>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</si>
  <si>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</si>
  <si>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</si>
  <si>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</si>
  <si>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</si>
  <si>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</si>
  <si>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</si>
  <si>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</si>
  <si>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</si>
  <si>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</si>
  <si>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</si>
  <si>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</si>
  <si>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</si>
  <si>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</si>
  <si>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</si>
  <si>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</si>
  <si>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</si>
  <si>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</si>
  <si>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</si>
  <si>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</si>
  <si>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</si>
  <si>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</si>
  <si>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</si>
  <si>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</si>
  <si>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</si>
  <si>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</si>
  <si>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</si>
  <si>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</si>
  <si>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</si>
  <si>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</si>
  <si>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</si>
  <si>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</si>
  <si>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</si>
  <si>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</si>
  <si>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Кенчимова А.Б.</t>
  </si>
  <si>
    <t>На 1 января 2020 года</t>
  </si>
  <si>
    <t>Прочие долгосрочные активы</t>
  </si>
  <si>
    <t>Основные средства</t>
  </si>
  <si>
    <t xml:space="preserve">Займы 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</si>
  <si>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</si>
  <si>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</si>
  <si>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</si>
  <si>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</si>
  <si>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</si>
  <si>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Поступление от реализации тестовой нефти</t>
  </si>
  <si>
    <t>Провизии</t>
  </si>
  <si>
    <t>Торговая и прочая кредиторская задолженность</t>
  </si>
  <si>
    <t>На 31 декабря 2021 года</t>
  </si>
  <si>
    <t>Курсовая разница</t>
  </si>
  <si>
    <t>Отложенный налоговый актив</t>
  </si>
  <si>
    <t>На 31 декабря 2022 года</t>
  </si>
  <si>
    <t>Экономия по подоходному налогу</t>
  </si>
  <si>
    <t>Убытки от обесценения</t>
  </si>
  <si>
    <t>На 31 декабря 2023 года</t>
  </si>
  <si>
    <t>КОНСОЛИДИРОВАННЫЙ ОТЧЕТ О ФИНАНСОВОМ ПОЛОЖЕНИИ</t>
  </si>
  <si>
    <t>По состоянию на 31 декабря 2023 года</t>
  </si>
  <si>
    <t>2022 год</t>
  </si>
  <si>
    <t>2023 год</t>
  </si>
  <si>
    <t>КОНСОЛИДИРОВАННЫЙ ОТЧЕТ ОБ ИЗМЕНЕНИЯХ В КАПИТАЛЕ</t>
  </si>
  <si>
    <t>За 2023 год</t>
  </si>
  <si>
    <t>КОНСОЛИДИРОВАННЫЙ ОТЧЕТ О ДВИЖЕНИИ ДЕНЕЖНЫХ СРЕДСТВ</t>
  </si>
  <si>
    <t>КОНСОЛИДИРОВАННЫЙ ОТЧЕТ О СОВОКУПНОМ ДОХОДЕ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</si>
</sst>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(* #,##0_);_(* \(#,##0\);_(* \-_);_(@_)"/>
    <numFmt numFmtId="165" formatCode="_(* #,##0.0_);_(* \(#,##0.0\);_(* \-_);_(@_)"/>
    <numFmt numFmtId="166" formatCode="_(* #,##0_);_(* \(#,##0\);_(* &quot;-&quot;??_);_(@_)"/>
    <numFmt numFmtId="167" formatCode="#,##0.0"/>
    <numFmt numFmtId="168" formatCode="_(* #,##0_);_(* \(#,##0\);_(* &quot;-&quot;_);_(@_)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b/>
      <sz val="10"/>
      <color theme="1" tint="0.34998626667073579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808080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2" fillId="0" borderId="0"/>
  </cellStyleXfs>
  <cellXfs count="139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/>
    <xf numFmtId="14" fontId="3" fillId="2" borderId="0" xfId="0" applyNumberFormat="1" applyFont="1" applyFill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2" borderId="0" xfId="0" applyFont="1" applyFill="1" applyAlignment="1"/>
    <xf numFmtId="14" fontId="8" fillId="3" borderId="0" xfId="0" applyNumberFormat="1" applyFont="1" applyFill="1" applyBorder="1" applyAlignment="1"/>
    <xf numFmtId="0" fontId="1" fillId="3" borderId="2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64" fontId="1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164" fontId="4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14" fontId="3" fillId="2" borderId="0" xfId="0" applyNumberFormat="1" applyFont="1" applyFill="1" applyAlignment="1">
      <alignment horizontal="left"/>
    </xf>
    <xf numFmtId="0" fontId="10" fillId="2" borderId="0" xfId="0" applyFont="1" applyFill="1"/>
    <xf numFmtId="164" fontId="4" fillId="2" borderId="3" xfId="0" applyNumberFormat="1" applyFont="1" applyFill="1" applyBorder="1" applyAlignment="1"/>
    <xf numFmtId="164" fontId="10" fillId="2" borderId="0" xfId="0" applyNumberFormat="1" applyFont="1" applyFill="1"/>
    <xf numFmtId="167" fontId="11" fillId="2" borderId="0" xfId="0" applyNumberFormat="1" applyFont="1" applyFill="1"/>
    <xf numFmtId="164" fontId="4" fillId="2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9" fillId="2" borderId="0" xfId="0" applyNumberFormat="1" applyFont="1" applyFill="1"/>
    <xf numFmtId="164" fontId="1" fillId="2" borderId="0" xfId="0" applyNumberFormat="1" applyFont="1" applyFill="1" applyBorder="1" applyAlignment="1">
      <alignment vertical="top"/>
    </xf>
    <xf numFmtId="164" fontId="1" fillId="2" borderId="2" xfId="0" applyNumberFormat="1" applyFont="1" applyFill="1" applyBorder="1" applyAlignment="1"/>
    <xf numFmtId="164" fontId="1" fillId="2" borderId="3" xfId="0" applyNumberFormat="1" applyFont="1" applyFill="1" applyBorder="1" applyAlignment="1"/>
    <xf numFmtId="168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37" fontId="1" fillId="3" borderId="0" xfId="1" applyNumberFormat="1" applyFont="1" applyFill="1" applyBorder="1"/>
    <xf numFmtId="14" fontId="7" fillId="3" borderId="0" xfId="0" applyNumberFormat="1" applyFont="1" applyFill="1" applyBorder="1" applyAlignment="1"/>
    <xf numFmtId="0" fontId="7" fillId="3" borderId="1" xfId="0" applyFont="1" applyFill="1" applyBorder="1" applyAlignment="1"/>
    <xf numFmtId="0" fontId="1" fillId="3" borderId="1" xfId="0" applyFont="1" applyFill="1" applyBorder="1"/>
    <xf numFmtId="37" fontId="1" fillId="3" borderId="0" xfId="1" applyNumberFormat="1" applyFont="1" applyFill="1" applyBorder="1" applyAlignment="1"/>
    <xf numFmtId="164" fontId="4" fillId="0" borderId="3" xfId="0" applyNumberFormat="1" applyFont="1" applyFill="1" applyBorder="1" applyAlignment="1">
      <alignment wrapText="1"/>
    </xf>
    <xf numFmtId="0" fontId="1" fillId="0" borderId="0" xfId="0" applyFont="1" applyFill="1" applyBorder="1"/>
    <xf numFmtId="14" fontId="3" fillId="0" borderId="0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7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6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4" fontId="1" fillId="0" borderId="3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64" fontId="1" fillId="0" borderId="0" xfId="0" applyNumberFormat="1" applyFont="1" applyFill="1" applyBorder="1"/>
    <xf numFmtId="0" fontId="1" fillId="0" borderId="4" xfId="0" applyFont="1" applyFill="1" applyBorder="1" applyAlignment="1"/>
    <xf numFmtId="164" fontId="1" fillId="0" borderId="4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165" fontId="4" fillId="0" borderId="2" xfId="0" applyNumberFormat="1" applyFont="1" applyFill="1" applyBorder="1" applyAlignment="1">
      <alignment wrapText="1"/>
    </xf>
    <xf numFmtId="0" fontId="7" fillId="3" borderId="0" xfId="0" applyFont="1" applyFill="1" applyBorder="1" applyAlignment="1"/>
    <xf numFmtId="0" fontId="1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0" fillId="0" borderId="0" xfId="0" applyAlignment="1"/>
    <xf numFmtId="0" fontId="0" fillId="0" borderId="0" xfId="0" applyFont="1"/>
    <xf numFmtId="164" fontId="1" fillId="3" borderId="5" xfId="0" applyNumberFormat="1" applyFont="1" applyFill="1" applyBorder="1" applyAlignment="1">
      <alignment wrapText="1"/>
    </xf>
    <xf numFmtId="37" fontId="1" fillId="0" borderId="0" xfId="1" applyNumberFormat="1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/>
    <xf numFmtId="14" fontId="1" fillId="0" borderId="0" xfId="0" applyNumberFormat="1" applyFont="1" applyFill="1" applyBorder="1" applyAlignment="1"/>
    <xf numFmtId="164" fontId="14" fillId="0" borderId="0" xfId="0" applyNumberFormat="1" applyFont="1" applyFill="1"/>
    <xf numFmtId="0" fontId="15" fillId="3" borderId="0" xfId="0" applyFont="1" applyFill="1" applyBorder="1" applyAlignment="1"/>
    <xf numFmtId="164" fontId="1" fillId="3" borderId="0" xfId="0" applyNumberFormat="1" applyFont="1" applyFill="1" applyBorder="1" applyAlignment="1"/>
    <xf numFmtId="164" fontId="1" fillId="3" borderId="5" xfId="0" applyNumberFormat="1" applyFont="1" applyFill="1" applyBorder="1" applyAlignment="1"/>
    <xf numFmtId="164" fontId="4" fillId="3" borderId="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0" borderId="0" xfId="0" applyFont="1" applyFill="1"/>
    <xf numFmtId="14" fontId="3" fillId="0" borderId="0" xfId="0" applyNumberFormat="1" applyFont="1" applyFill="1" applyAlignment="1"/>
    <xf numFmtId="0" fontId="1" fillId="0" borderId="1" xfId="0" applyFont="1" applyFill="1" applyBorder="1"/>
    <xf numFmtId="164" fontId="4" fillId="0" borderId="0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center" wrapText="1"/>
    </xf>
    <xf numFmtId="164" fontId="1" fillId="0" borderId="0" xfId="0" applyNumberFormat="1" applyFont="1" applyFill="1"/>
    <xf numFmtId="165" fontId="4" fillId="0" borderId="3" xfId="0" applyNumberFormat="1" applyFont="1" applyFill="1" applyBorder="1"/>
    <xf numFmtId="43" fontId="1" fillId="0" borderId="0" xfId="0" applyNumberFormat="1" applyFont="1" applyFill="1"/>
    <xf numFmtId="0" fontId="0" fillId="0" borderId="0" xfId="0" applyFill="1"/>
    <xf numFmtId="14" fontId="4" fillId="3" borderId="2" xfId="0" quotePrefix="1" applyNumberFormat="1" applyFont="1" applyFill="1" applyBorder="1" applyAlignment="1">
      <alignment horizontal="right" vertical="center" wrapText="1"/>
    </xf>
    <xf numFmtId="14" fontId="4" fillId="0" borderId="2" xfId="0" quotePrefix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wrapText="1"/>
    </xf>
    <xf numFmtId="164" fontId="4" fillId="0" borderId="3" xfId="0" applyNumberFormat="1" applyFont="1" applyFill="1" applyBorder="1" applyAlignment="1"/>
    <xf numFmtId="167" fontId="11" fillId="0" borderId="0" xfId="0" applyNumberFormat="1" applyFont="1" applyFill="1"/>
    <xf numFmtId="0" fontId="10" fillId="0" borderId="0" xfId="0" applyFont="1" applyFill="1"/>
    <xf numFmtId="0" fontId="5" fillId="0" borderId="0" xfId="0" applyFont="1" applyFill="1" applyBorder="1" applyAlignment="1">
      <alignment wrapText="1"/>
    </xf>
    <xf numFmtId="164" fontId="0" fillId="0" borderId="0" xfId="0" applyNumberFormat="1" applyFill="1"/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wrapText="1"/>
    </xf>
    <xf numFmtId="164" fontId="1" fillId="0" borderId="5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14" fontId="4" fillId="0" borderId="2" xfId="0" quotePrefix="1" applyNumberFormat="1" applyFont="1" applyFill="1" applyBorder="1" applyAlignment="1">
      <alignment horizontal="center" vertical="top" wrapText="1"/>
    </xf>
    <xf numFmtId="0" fontId="13" fillId="0" borderId="0" xfId="0" applyFont="1" applyFill="1" applyAlignment="1"/>
    <xf numFmtId="14" fontId="2" fillId="0" borderId="0" xfId="0" applyNumberFormat="1" applyFont="1" applyFill="1" applyAlignment="1"/>
    <xf numFmtId="0" fontId="3" fillId="0" borderId="1" xfId="0" applyFont="1" applyFill="1" applyBorder="1" applyAlignment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4" fillId="0" borderId="3" xfId="0" applyFont="1" applyFill="1" applyBorder="1" applyAlignment="1"/>
    <xf numFmtId="0" fontId="4" fillId="0" borderId="3" xfId="0" applyFont="1" applyFill="1" applyBorder="1"/>
    <xf numFmtId="0" fontId="7" fillId="0" borderId="0" xfId="0" applyFont="1" applyFill="1"/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49"/>
  <sheetViews>
    <sheetView workbookViewId="0">
      <selection activeCell="N24" sqref="N24"/>
    </sheetView>
  </sheetViews>
  <sheetFormatPr defaultColWidth="8.88671875" defaultRowHeight="14.4" x14ac:dyDescent="0.3"/>
  <cols>
    <col min="1" max="1" width="38.88671875" style="85" customWidth="1"/>
    <col min="2" max="2" width="10.33203125" style="85" customWidth="1"/>
    <col min="3" max="3" width="14.21875" style="85" hidden="1" customWidth="1"/>
    <col min="4" max="4" width="16.109375" style="85" customWidth="1"/>
    <col min="5" max="5" width="15.33203125" style="85" customWidth="1"/>
    <col min="6" max="6" width="10.33203125" style="85" bestFit="1" customWidth="1"/>
    <col min="7" max="7" width="12" style="85" hidden="1" customWidth="1"/>
    <col min="8" max="9" width="0" style="85" hidden="1" customWidth="1"/>
    <col min="10" max="16384" width="8.88671875" style="85"/>
  </cols>
  <sheetData>
    <row r="1" spans="1:5" x14ac:dyDescent="0.3">
      <c r="A1" s="84" t="s">
        <v>0</v>
      </c>
      <c r="B1" s="43"/>
      <c r="C1" s="43"/>
      <c r="D1" s="43"/>
      <c r="E1" s="43"/>
    </row>
    <row r="2" spans="1:5" x14ac:dyDescent="0.3">
      <c r="A2" s="84" t="s">
        <v>90</v>
      </c>
      <c r="B2" s="43"/>
      <c r="C2" s="43"/>
      <c r="D2" s="43"/>
      <c r="E2" s="43"/>
    </row>
    <row r="3" spans="1:5" x14ac:dyDescent="0.3">
      <c r="A3" s="86" t="s">
        <v>91</v>
      </c>
      <c r="B3" s="44"/>
      <c r="C3" s="44"/>
      <c r="D3" s="44"/>
      <c r="E3" s="44"/>
    </row>
    <row r="4" spans="1:5" ht="15" thickBot="1" x14ac:dyDescent="0.35">
      <c r="A4" s="45"/>
      <c r="B4" s="46"/>
      <c r="C4" s="46"/>
      <c r="D4" s="46"/>
      <c r="E4" s="46"/>
    </row>
    <row r="5" spans="1:5" x14ac:dyDescent="0.3">
      <c r="A5" s="47"/>
      <c r="B5" s="43"/>
      <c r="C5" s="43"/>
      <c r="D5" s="43"/>
      <c r="E5" s="43"/>
    </row>
    <row r="6" spans="1:5" ht="29.25" customHeight="1" x14ac:dyDescent="0.3">
      <c r="A6" s="48" t="s">
        <v>1</v>
      </c>
      <c r="B6" s="49" t="s">
        <v>2</v>
      </c>
      <c r="C6" s="49"/>
      <c r="D6" s="121" t="s">
        <v>93</v>
      </c>
      <c r="E6" s="121" t="s">
        <v>92</v>
      </c>
    </row>
    <row r="7" spans="1:5" x14ac:dyDescent="0.3">
      <c r="A7" s="56" t="s">
        <v>17</v>
      </c>
      <c r="B7" s="50"/>
      <c r="C7" s="50"/>
      <c r="D7" s="51"/>
      <c r="E7" s="51"/>
    </row>
    <row r="8" spans="1:5" x14ac:dyDescent="0.3">
      <c r="A8" s="56" t="s">
        <v>18</v>
      </c>
      <c r="B8" s="50"/>
      <c r="C8" s="50"/>
      <c r="D8" s="51"/>
      <c r="E8" s="51"/>
    </row>
    <row r="9" spans="1:5" x14ac:dyDescent="0.3">
      <c r="A9" s="52" t="s">
        <v>19</v>
      </c>
      <c r="B9" s="74">
        <v>3</v>
      </c>
      <c r="C9" s="74"/>
      <c r="D9" s="53">
        <f>15984123</f>
        <v>15984123</v>
      </c>
      <c r="E9" s="51">
        <v>28998262</v>
      </c>
    </row>
    <row r="10" spans="1:5" x14ac:dyDescent="0.3">
      <c r="A10" s="52" t="s">
        <v>73</v>
      </c>
      <c r="B10" s="74">
        <v>5</v>
      </c>
      <c r="C10" s="74"/>
      <c r="D10" s="116">
        <v>747846</v>
      </c>
      <c r="E10" s="51">
        <v>840878</v>
      </c>
    </row>
    <row r="11" spans="1:5" x14ac:dyDescent="0.3">
      <c r="A11" s="52" t="s">
        <v>20</v>
      </c>
      <c r="B11" s="74"/>
      <c r="C11" s="74"/>
      <c r="D11" s="116">
        <v>5706</v>
      </c>
      <c r="E11" s="51">
        <v>5706</v>
      </c>
    </row>
    <row r="12" spans="1:5" x14ac:dyDescent="0.3">
      <c r="A12" s="52" t="s">
        <v>72</v>
      </c>
      <c r="B12" s="74">
        <v>4</v>
      </c>
      <c r="C12" s="74"/>
      <c r="D12" s="116">
        <v>1437599</v>
      </c>
      <c r="E12" s="51">
        <v>1435075</v>
      </c>
    </row>
    <row r="13" spans="1:5" x14ac:dyDescent="0.3">
      <c r="A13" s="52" t="s">
        <v>85</v>
      </c>
      <c r="B13" s="74"/>
      <c r="C13" s="74"/>
      <c r="D13" s="116">
        <v>1341294</v>
      </c>
      <c r="E13" s="51">
        <v>1341294</v>
      </c>
    </row>
    <row r="14" spans="1:5" x14ac:dyDescent="0.3">
      <c r="A14" s="54"/>
      <c r="B14" s="75"/>
      <c r="C14" s="75"/>
      <c r="D14" s="55">
        <f>SUM(D9:D13)</f>
        <v>19516568</v>
      </c>
      <c r="E14" s="55">
        <f>SUM(E9:E13)</f>
        <v>32621215</v>
      </c>
    </row>
    <row r="15" spans="1:5" x14ac:dyDescent="0.3">
      <c r="A15" s="56" t="s">
        <v>21</v>
      </c>
      <c r="B15" s="74"/>
      <c r="C15" s="74"/>
      <c r="D15" s="53"/>
      <c r="E15" s="53"/>
    </row>
    <row r="16" spans="1:5" x14ac:dyDescent="0.3">
      <c r="A16" s="52" t="s">
        <v>22</v>
      </c>
      <c r="B16" s="74"/>
      <c r="C16" s="74"/>
      <c r="D16" s="116">
        <v>56264</v>
      </c>
      <c r="E16" s="53">
        <v>65623</v>
      </c>
    </row>
    <row r="17" spans="1:9" x14ac:dyDescent="0.3">
      <c r="A17" s="52" t="s">
        <v>23</v>
      </c>
      <c r="B17" s="74"/>
      <c r="C17" s="74"/>
      <c r="D17" s="116">
        <v>12574</v>
      </c>
      <c r="E17" s="53">
        <v>10761</v>
      </c>
    </row>
    <row r="18" spans="1:9" x14ac:dyDescent="0.3">
      <c r="A18" s="52" t="s">
        <v>24</v>
      </c>
      <c r="B18" s="74"/>
      <c r="C18" s="74"/>
      <c r="D18" s="53">
        <v>122940</v>
      </c>
      <c r="E18" s="53">
        <v>202941</v>
      </c>
    </row>
    <row r="19" spans="1:9" x14ac:dyDescent="0.3">
      <c r="A19" s="48" t="s">
        <v>25</v>
      </c>
      <c r="B19" s="76">
        <v>6</v>
      </c>
      <c r="C19" s="74"/>
      <c r="D19" s="117">
        <v>158316</v>
      </c>
      <c r="E19" s="117">
        <f>49927+132839</f>
        <v>182766</v>
      </c>
    </row>
    <row r="20" spans="1:9" x14ac:dyDescent="0.3">
      <c r="A20" s="56"/>
      <c r="B20" s="74"/>
      <c r="C20" s="74"/>
      <c r="D20" s="53">
        <f>SUM(D15:D19)</f>
        <v>350094</v>
      </c>
      <c r="E20" s="53">
        <f>SUM(E16:E19)</f>
        <v>462091</v>
      </c>
    </row>
    <row r="21" spans="1:9" x14ac:dyDescent="0.3">
      <c r="A21" s="54" t="s">
        <v>26</v>
      </c>
      <c r="B21" s="77"/>
      <c r="C21" s="77"/>
      <c r="D21" s="42">
        <f>D14+D20</f>
        <v>19866662</v>
      </c>
      <c r="E21" s="42">
        <f>E14+E20</f>
        <v>33083306</v>
      </c>
      <c r="F21" s="87"/>
    </row>
    <row r="22" spans="1:9" x14ac:dyDescent="0.3">
      <c r="A22" s="56"/>
      <c r="B22" s="78"/>
      <c r="C22" s="78"/>
      <c r="D22" s="53"/>
      <c r="E22" s="53"/>
    </row>
    <row r="23" spans="1:9" x14ac:dyDescent="0.3">
      <c r="A23" s="56" t="s">
        <v>27</v>
      </c>
      <c r="B23" s="78"/>
      <c r="C23" s="78"/>
      <c r="D23" s="53"/>
      <c r="E23" s="53"/>
    </row>
    <row r="24" spans="1:9" x14ac:dyDescent="0.3">
      <c r="A24" s="52" t="s">
        <v>79</v>
      </c>
      <c r="B24" s="74">
        <v>7</v>
      </c>
      <c r="C24" s="118">
        <f>D24</f>
        <v>23387466</v>
      </c>
      <c r="D24" s="53">
        <v>23387466</v>
      </c>
      <c r="E24" s="53">
        <v>23387466</v>
      </c>
    </row>
    <row r="25" spans="1:9" x14ac:dyDescent="0.3">
      <c r="A25" s="52" t="s">
        <v>28</v>
      </c>
      <c r="B25" s="74"/>
      <c r="C25" s="118">
        <f>-25718395</f>
        <v>-25718395</v>
      </c>
      <c r="D25" s="53">
        <f>-25718395</f>
        <v>-25718395</v>
      </c>
      <c r="E25" s="53">
        <f>-26236820</f>
        <v>-26236820</v>
      </c>
    </row>
    <row r="26" spans="1:9" x14ac:dyDescent="0.3">
      <c r="A26" s="52" t="s">
        <v>29</v>
      </c>
      <c r="B26" s="74"/>
      <c r="C26" s="118">
        <f>-12475717</f>
        <v>-12475717</v>
      </c>
      <c r="D26" s="53">
        <f>-11738472</f>
        <v>-11738472</v>
      </c>
      <c r="E26" s="53">
        <v>-10131628</v>
      </c>
      <c r="G26" s="87">
        <f>D26-E26</f>
        <v>-1606844</v>
      </c>
    </row>
    <row r="27" spans="1:9" x14ac:dyDescent="0.3">
      <c r="A27" s="54" t="s">
        <v>30</v>
      </c>
      <c r="B27" s="77"/>
      <c r="C27" s="119">
        <f>SUM(C24:C26)</f>
        <v>-14806646</v>
      </c>
      <c r="D27" s="42">
        <f>SUM(D22:D26)</f>
        <v>-14069401</v>
      </c>
      <c r="E27" s="42">
        <f>SUM(E24:E26)</f>
        <v>-12980982</v>
      </c>
    </row>
    <row r="28" spans="1:9" x14ac:dyDescent="0.3">
      <c r="A28" s="56"/>
      <c r="B28" s="79"/>
      <c r="C28" s="120">
        <f>SUM(C24:C26)</f>
        <v>-14806646</v>
      </c>
      <c r="D28" s="57"/>
      <c r="E28" s="57"/>
      <c r="G28" s="85">
        <v>16237847</v>
      </c>
      <c r="I28" s="85">
        <v>2849354</v>
      </c>
    </row>
    <row r="29" spans="1:9" x14ac:dyDescent="0.3">
      <c r="A29" s="56" t="s">
        <v>31</v>
      </c>
      <c r="B29" s="74"/>
      <c r="C29" s="74"/>
      <c r="D29" s="53"/>
      <c r="E29" s="53"/>
      <c r="G29" s="85">
        <f>G28-I28</f>
        <v>13388493</v>
      </c>
    </row>
    <row r="30" spans="1:9" x14ac:dyDescent="0.3">
      <c r="A30" s="52" t="s">
        <v>32</v>
      </c>
      <c r="B30" s="74"/>
      <c r="C30" s="74"/>
      <c r="D30" s="53"/>
      <c r="E30" s="53"/>
    </row>
    <row r="31" spans="1:9" x14ac:dyDescent="0.3">
      <c r="A31" s="52" t="s">
        <v>81</v>
      </c>
      <c r="B31" s="74">
        <v>8</v>
      </c>
      <c r="C31" s="74"/>
      <c r="D31" s="53">
        <f>3598144</f>
        <v>3598144</v>
      </c>
      <c r="E31" s="53">
        <v>5698955</v>
      </c>
    </row>
    <row r="32" spans="1:9" x14ac:dyDescent="0.3">
      <c r="A32" s="54"/>
      <c r="B32" s="75"/>
      <c r="C32" s="75"/>
      <c r="D32" s="55">
        <f>SUM(D29:D31)</f>
        <v>3598144</v>
      </c>
      <c r="E32" s="55">
        <f>SUM(E30:E31)</f>
        <v>5698955</v>
      </c>
    </row>
    <row r="33" spans="1:7" x14ac:dyDescent="0.3">
      <c r="A33" s="56" t="s">
        <v>33</v>
      </c>
      <c r="B33" s="74"/>
      <c r="C33" s="74"/>
      <c r="D33" s="53"/>
      <c r="E33" s="53"/>
    </row>
    <row r="34" spans="1:7" x14ac:dyDescent="0.3">
      <c r="A34" s="52" t="s">
        <v>81</v>
      </c>
      <c r="B34" s="74"/>
      <c r="C34" s="74"/>
      <c r="D34" s="53"/>
      <c r="E34" s="53">
        <v>55818</v>
      </c>
    </row>
    <row r="35" spans="1:7" ht="19.5" customHeight="1" x14ac:dyDescent="0.3">
      <c r="A35" s="52" t="s">
        <v>82</v>
      </c>
      <c r="B35" s="74">
        <v>9</v>
      </c>
      <c r="C35" s="74"/>
      <c r="D35" s="53">
        <v>709507</v>
      </c>
      <c r="E35" s="53">
        <v>729193</v>
      </c>
    </row>
    <row r="36" spans="1:7" x14ac:dyDescent="0.3">
      <c r="A36" s="52" t="s">
        <v>74</v>
      </c>
      <c r="B36" s="74">
        <v>10</v>
      </c>
      <c r="C36" s="74"/>
      <c r="D36" s="53">
        <f>29628412</f>
        <v>29628412</v>
      </c>
      <c r="E36" s="53">
        <v>39580322</v>
      </c>
    </row>
    <row r="37" spans="1:7" x14ac:dyDescent="0.3">
      <c r="A37" s="54"/>
      <c r="B37" s="75"/>
      <c r="C37" s="75"/>
      <c r="D37" s="55">
        <f>SUM(D34:D36)</f>
        <v>30337919</v>
      </c>
      <c r="E37" s="55">
        <f>SUM(E34:E36)</f>
        <v>40365333</v>
      </c>
    </row>
    <row r="38" spans="1:7" x14ac:dyDescent="0.3">
      <c r="A38" s="54" t="s">
        <v>34</v>
      </c>
      <c r="B38" s="77"/>
      <c r="C38" s="77"/>
      <c r="D38" s="42">
        <f>D32+D37</f>
        <v>33936063</v>
      </c>
      <c r="E38" s="42">
        <f>E32+E37</f>
        <v>46064288</v>
      </c>
      <c r="G38" s="87"/>
    </row>
    <row r="39" spans="1:7" x14ac:dyDescent="0.3">
      <c r="A39" s="54" t="s">
        <v>35</v>
      </c>
      <c r="B39" s="77"/>
      <c r="C39" s="77"/>
      <c r="D39" s="42">
        <f>D38+D27</f>
        <v>19866662</v>
      </c>
      <c r="E39" s="42">
        <f>E38+E27</f>
        <v>33083306</v>
      </c>
      <c r="G39" s="87">
        <f>D39-D21</f>
        <v>0</v>
      </c>
    </row>
    <row r="40" spans="1:7" ht="21.75" customHeight="1" x14ac:dyDescent="0.3">
      <c r="A40" s="58"/>
      <c r="B40" s="80"/>
      <c r="C40" s="80"/>
      <c r="D40" s="59"/>
      <c r="E40" s="59"/>
    </row>
    <row r="41" spans="1:7" x14ac:dyDescent="0.3">
      <c r="A41" s="60" t="s">
        <v>36</v>
      </c>
      <c r="B41" s="81"/>
      <c r="C41" s="81"/>
      <c r="D41" s="61">
        <v>23387466</v>
      </c>
      <c r="E41" s="61">
        <v>23387466</v>
      </c>
      <c r="G41" s="87">
        <f>G39-G40</f>
        <v>0</v>
      </c>
    </row>
    <row r="42" spans="1:7" x14ac:dyDescent="0.3">
      <c r="A42" s="62" t="s">
        <v>37</v>
      </c>
      <c r="B42" s="82"/>
      <c r="C42" s="82"/>
      <c r="D42" s="63">
        <v>-601.79999999999995</v>
      </c>
      <c r="E42" s="63">
        <v>-632.69000000000005</v>
      </c>
    </row>
    <row r="43" spans="1:7" x14ac:dyDescent="0.3">
      <c r="A43" s="58"/>
      <c r="B43" s="43"/>
      <c r="C43" s="43"/>
      <c r="D43" s="43"/>
      <c r="E43" s="43"/>
    </row>
    <row r="44" spans="1:7" x14ac:dyDescent="0.3">
      <c r="A44" s="58"/>
      <c r="B44" s="43"/>
      <c r="C44" s="43"/>
      <c r="D44" s="59">
        <f>D21-D39</f>
        <v>0</v>
      </c>
      <c r="E44" s="43"/>
    </row>
    <row r="45" spans="1:7" x14ac:dyDescent="0.3">
      <c r="A45" s="58"/>
      <c r="B45" s="43"/>
      <c r="C45" s="43"/>
      <c r="D45" s="43"/>
      <c r="E45" s="43"/>
    </row>
    <row r="46" spans="1:7" x14ac:dyDescent="0.3">
      <c r="A46" s="58" t="s">
        <v>14</v>
      </c>
      <c r="B46" s="43"/>
      <c r="C46" s="43"/>
      <c r="D46" s="43"/>
      <c r="E46" s="43" t="s">
        <v>70</v>
      </c>
    </row>
    <row r="47" spans="1:7" x14ac:dyDescent="0.3">
      <c r="A47" s="58"/>
      <c r="B47" s="43"/>
      <c r="C47" s="43"/>
      <c r="D47" s="43"/>
      <c r="E47" s="43"/>
    </row>
    <row r="48" spans="1:7" x14ac:dyDescent="0.3">
      <c r="A48" s="58"/>
      <c r="B48" s="43"/>
      <c r="C48" s="43"/>
      <c r="D48" s="43"/>
      <c r="E48" s="43"/>
    </row>
    <row r="49" spans="1:5" ht="15.75" customHeight="1" x14ac:dyDescent="0.3">
      <c r="A49" s="58" t="s">
        <v>15</v>
      </c>
      <c r="B49" s="43"/>
      <c r="C49" s="43"/>
      <c r="D49" s="43"/>
      <c r="E49" s="43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G38" sqref="G38"/>
    </sheetView>
  </sheetViews>
  <sheetFormatPr defaultRowHeight="14.4" x14ac:dyDescent="0.3"/>
  <cols>
    <col min="1" max="1" width="44" customWidth="1"/>
    <col min="3" max="3" width="14.6640625" style="68" customWidth="1"/>
    <col min="4" max="4" width="19.33203125" style="68" customWidth="1"/>
  </cols>
  <sheetData>
    <row r="1" spans="1:5" x14ac:dyDescent="0.3">
      <c r="A1" s="88" t="s">
        <v>0</v>
      </c>
      <c r="B1" s="18"/>
      <c r="C1" s="41"/>
      <c r="D1" s="71"/>
    </row>
    <row r="2" spans="1:5" x14ac:dyDescent="0.3">
      <c r="A2" s="88" t="s">
        <v>96</v>
      </c>
      <c r="B2" s="18"/>
      <c r="C2" s="41"/>
      <c r="D2" s="41"/>
    </row>
    <row r="3" spans="1:5" x14ac:dyDescent="0.3">
      <c r="A3" s="12" t="s">
        <v>95</v>
      </c>
      <c r="B3" s="38"/>
      <c r="C3" s="38"/>
      <c r="D3" s="38"/>
    </row>
    <row r="4" spans="1:5" ht="9" customHeight="1" thickBot="1" x14ac:dyDescent="0.35">
      <c r="A4" s="39"/>
      <c r="B4" s="40"/>
      <c r="C4" s="67"/>
      <c r="D4" s="67"/>
    </row>
    <row r="5" spans="1:5" ht="24.75" customHeight="1" x14ac:dyDescent="0.3">
      <c r="A5" s="13" t="s">
        <v>1</v>
      </c>
      <c r="B5" s="93" t="s">
        <v>2</v>
      </c>
      <c r="C5" s="106" t="s">
        <v>93</v>
      </c>
      <c r="D5" s="106" t="s">
        <v>92</v>
      </c>
    </row>
    <row r="6" spans="1:5" x14ac:dyDescent="0.3">
      <c r="A6" s="64" t="s">
        <v>48</v>
      </c>
      <c r="B6" s="16"/>
      <c r="C6" s="17"/>
      <c r="D6" s="17"/>
    </row>
    <row r="7" spans="1:5" x14ac:dyDescent="0.3">
      <c r="A7" s="14" t="s">
        <v>49</v>
      </c>
      <c r="B7" s="16"/>
      <c r="C7" s="15"/>
      <c r="D7" s="15"/>
      <c r="E7" s="69"/>
    </row>
    <row r="8" spans="1:5" x14ac:dyDescent="0.3">
      <c r="A8" s="92" t="s">
        <v>50</v>
      </c>
      <c r="B8" s="16"/>
      <c r="C8" s="15"/>
      <c r="D8" s="15"/>
      <c r="E8" s="69"/>
    </row>
    <row r="9" spans="1:5" x14ac:dyDescent="0.3">
      <c r="A9" s="14" t="s">
        <v>63</v>
      </c>
      <c r="B9" s="16"/>
      <c r="C9" s="15"/>
      <c r="D9" s="15"/>
      <c r="E9" s="69"/>
    </row>
    <row r="10" spans="1:5" x14ac:dyDescent="0.3">
      <c r="A10" s="14" t="s">
        <v>51</v>
      </c>
      <c r="B10" s="16"/>
      <c r="C10" s="15"/>
      <c r="D10" s="15"/>
      <c r="E10" s="69"/>
    </row>
    <row r="11" spans="1:5" x14ac:dyDescent="0.3">
      <c r="A11" s="92" t="s">
        <v>50</v>
      </c>
      <c r="B11" s="16"/>
      <c r="C11" s="15"/>
      <c r="D11" s="15"/>
      <c r="E11" s="69"/>
    </row>
    <row r="12" spans="1:5" x14ac:dyDescent="0.3">
      <c r="A12" s="14" t="s">
        <v>64</v>
      </c>
      <c r="B12" s="16"/>
      <c r="C12" s="89">
        <f>760409</f>
        <v>760409</v>
      </c>
      <c r="D12" s="89">
        <f>796723</f>
        <v>796723</v>
      </c>
      <c r="E12" s="69"/>
    </row>
    <row r="13" spans="1:5" ht="16.5" customHeight="1" x14ac:dyDescent="0.3">
      <c r="A13" s="65" t="s">
        <v>65</v>
      </c>
      <c r="B13" s="66"/>
      <c r="C13" s="90">
        <v>543473</v>
      </c>
      <c r="D13" s="90">
        <v>508121</v>
      </c>
      <c r="E13" s="69"/>
    </row>
    <row r="14" spans="1:5" ht="27" customHeight="1" x14ac:dyDescent="0.3">
      <c r="A14" s="14" t="s">
        <v>52</v>
      </c>
      <c r="B14" s="16"/>
      <c r="C14" s="15">
        <f>C7-C12-C13</f>
        <v>-1303882</v>
      </c>
      <c r="D14" s="15">
        <f>D7-D12-D13</f>
        <v>-1304844</v>
      </c>
      <c r="E14" s="69"/>
    </row>
    <row r="15" spans="1:5" ht="10.95" customHeight="1" x14ac:dyDescent="0.3">
      <c r="A15" s="14"/>
      <c r="B15" s="16"/>
      <c r="C15" s="15"/>
      <c r="D15" s="15"/>
      <c r="E15" s="69"/>
    </row>
    <row r="16" spans="1:5" ht="14.25" customHeight="1" x14ac:dyDescent="0.3">
      <c r="A16" s="64" t="s">
        <v>53</v>
      </c>
      <c r="B16" s="16"/>
      <c r="C16" s="15"/>
      <c r="D16" s="15"/>
      <c r="E16" s="69"/>
    </row>
    <row r="17" spans="1:5" x14ac:dyDescent="0.3">
      <c r="A17" s="14" t="s">
        <v>54</v>
      </c>
      <c r="B17" s="16"/>
      <c r="C17" s="15"/>
      <c r="D17" s="15"/>
      <c r="E17" s="69"/>
    </row>
    <row r="18" spans="1:5" x14ac:dyDescent="0.3">
      <c r="A18" s="92" t="s">
        <v>50</v>
      </c>
      <c r="B18" s="16"/>
      <c r="C18" s="15"/>
      <c r="D18" s="15"/>
      <c r="E18" s="69"/>
    </row>
    <row r="19" spans="1:5" x14ac:dyDescent="0.3">
      <c r="A19" s="14" t="s">
        <v>80</v>
      </c>
      <c r="B19" s="16"/>
      <c r="C19" s="15">
        <f>148266</f>
        <v>148266</v>
      </c>
      <c r="D19" s="15">
        <f>981853</f>
        <v>981853</v>
      </c>
      <c r="E19" s="69"/>
    </row>
    <row r="20" spans="1:5" ht="15.75" customHeight="1" x14ac:dyDescent="0.3">
      <c r="A20" s="14" t="s">
        <v>51</v>
      </c>
      <c r="B20" s="16"/>
      <c r="C20" s="15"/>
      <c r="D20" s="15"/>
      <c r="E20" s="69"/>
    </row>
    <row r="21" spans="1:5" ht="15.75" customHeight="1" x14ac:dyDescent="0.3">
      <c r="A21" s="92" t="s">
        <v>50</v>
      </c>
      <c r="B21" s="16"/>
      <c r="C21" s="15"/>
      <c r="D21" s="15"/>
      <c r="E21" s="69"/>
    </row>
    <row r="22" spans="1:5" x14ac:dyDescent="0.3">
      <c r="A22" s="14" t="s">
        <v>55</v>
      </c>
      <c r="B22" s="16"/>
      <c r="C22" s="15">
        <f>17854-4330</f>
        <v>13524</v>
      </c>
      <c r="D22" s="15">
        <v>17071</v>
      </c>
      <c r="E22" s="69"/>
    </row>
    <row r="23" spans="1:5" ht="15.75" customHeight="1" x14ac:dyDescent="0.3">
      <c r="A23" s="65" t="s">
        <v>56</v>
      </c>
      <c r="B23" s="66"/>
      <c r="C23" s="70">
        <f>-15689</f>
        <v>-15689</v>
      </c>
      <c r="D23" s="70">
        <f>42949</f>
        <v>42949</v>
      </c>
      <c r="E23" s="69"/>
    </row>
    <row r="24" spans="1:5" ht="25.5" customHeight="1" x14ac:dyDescent="0.3">
      <c r="A24" s="14" t="s">
        <v>57</v>
      </c>
      <c r="B24" s="16"/>
      <c r="C24" s="15">
        <f>C19-C22-C23</f>
        <v>150431</v>
      </c>
      <c r="D24" s="15">
        <f>D19-D22-D23</f>
        <v>921833</v>
      </c>
      <c r="E24" s="69"/>
    </row>
    <row r="25" spans="1:5" ht="6" customHeight="1" x14ac:dyDescent="0.3">
      <c r="A25" s="14"/>
      <c r="B25" s="16"/>
      <c r="C25" s="15"/>
      <c r="D25" s="15"/>
      <c r="E25" s="69"/>
    </row>
    <row r="26" spans="1:5" ht="13.5" customHeight="1" x14ac:dyDescent="0.3">
      <c r="A26" s="64" t="s">
        <v>58</v>
      </c>
      <c r="B26" s="16"/>
      <c r="C26" s="15"/>
      <c r="D26" s="15"/>
      <c r="E26" s="69"/>
    </row>
    <row r="27" spans="1:5" ht="18.75" customHeight="1" x14ac:dyDescent="0.3">
      <c r="A27" s="14" t="s">
        <v>67</v>
      </c>
      <c r="B27" s="16"/>
      <c r="C27" s="15"/>
      <c r="D27" s="15"/>
      <c r="E27" s="69"/>
    </row>
    <row r="28" spans="1:5" ht="16.5" customHeight="1" x14ac:dyDescent="0.3">
      <c r="A28" s="92" t="s">
        <v>50</v>
      </c>
      <c r="B28" s="16"/>
      <c r="C28" s="15"/>
      <c r="D28" s="15"/>
      <c r="E28" s="69"/>
    </row>
    <row r="29" spans="1:5" ht="15.75" customHeight="1" x14ac:dyDescent="0.3">
      <c r="A29" s="14" t="s">
        <v>59</v>
      </c>
      <c r="B29" s="16"/>
      <c r="C29" s="15">
        <f>1129950</f>
        <v>1129950</v>
      </c>
      <c r="D29" s="15">
        <f>365890</f>
        <v>365890</v>
      </c>
      <c r="E29" s="69"/>
    </row>
    <row r="30" spans="1:5" ht="20.25" customHeight="1" x14ac:dyDescent="0.3">
      <c r="A30" s="14" t="s">
        <v>51</v>
      </c>
      <c r="B30" s="16"/>
      <c r="C30" s="15"/>
      <c r="D30" s="15"/>
      <c r="E30" s="69"/>
    </row>
    <row r="31" spans="1:5" ht="13.2" customHeight="1" x14ac:dyDescent="0.3">
      <c r="A31" s="92" t="s">
        <v>50</v>
      </c>
      <c r="B31" s="16"/>
      <c r="C31" s="15"/>
      <c r="D31" s="15"/>
      <c r="E31" s="69"/>
    </row>
    <row r="32" spans="1:5" ht="18" customHeight="1" x14ac:dyDescent="0.3">
      <c r="A32" s="65" t="s">
        <v>66</v>
      </c>
      <c r="B32" s="66"/>
      <c r="C32" s="70"/>
      <c r="D32" s="70"/>
      <c r="E32" s="69"/>
    </row>
    <row r="33" spans="1:5" ht="28.5" customHeight="1" x14ac:dyDescent="0.3">
      <c r="A33" s="14" t="s">
        <v>60</v>
      </c>
      <c r="B33" s="16"/>
      <c r="C33" s="15">
        <f>C29-C30</f>
        <v>1129950</v>
      </c>
      <c r="D33" s="15">
        <f>D29-D30</f>
        <v>365890</v>
      </c>
      <c r="E33" s="69"/>
    </row>
    <row r="34" spans="1:5" ht="20.25" customHeight="1" x14ac:dyDescent="0.3">
      <c r="A34" s="14" t="s">
        <v>61</v>
      </c>
      <c r="B34" s="16"/>
      <c r="C34" s="15">
        <f>-948</f>
        <v>-948</v>
      </c>
      <c r="D34" s="15">
        <v>8396</v>
      </c>
      <c r="E34" s="69"/>
    </row>
    <row r="35" spans="1:5" ht="32.25" customHeight="1" x14ac:dyDescent="0.3">
      <c r="A35" s="65" t="s">
        <v>62</v>
      </c>
      <c r="B35" s="66"/>
      <c r="C35" s="70">
        <f>C14+C24+C33+C34</f>
        <v>-24449</v>
      </c>
      <c r="D35" s="70">
        <f>D14+D24+D33+D34</f>
        <v>-8725</v>
      </c>
      <c r="E35" s="69"/>
    </row>
    <row r="36" spans="1:5" ht="27.75" customHeight="1" x14ac:dyDescent="0.3">
      <c r="A36" s="14" t="s">
        <v>68</v>
      </c>
      <c r="B36" s="16"/>
      <c r="C36" s="15">
        <v>182765</v>
      </c>
      <c r="D36" s="15">
        <v>191490</v>
      </c>
      <c r="E36" s="69"/>
    </row>
    <row r="37" spans="1:5" ht="25.5" customHeight="1" x14ac:dyDescent="0.3">
      <c r="A37" s="14" t="s">
        <v>69</v>
      </c>
      <c r="B37" s="16"/>
      <c r="C37" s="15">
        <f>C36+C35</f>
        <v>158316</v>
      </c>
      <c r="D37" s="15">
        <f>D36+D35</f>
        <v>182765</v>
      </c>
      <c r="E37" s="69"/>
    </row>
    <row r="38" spans="1:5" ht="30.75" customHeight="1" x14ac:dyDescent="0.3">
      <c r="A38" s="14"/>
      <c r="B38" s="91"/>
      <c r="C38" s="17"/>
      <c r="D38" s="17"/>
    </row>
    <row r="39" spans="1:5" ht="30.75" customHeight="1" x14ac:dyDescent="0.3">
      <c r="A39" s="14"/>
      <c r="B39" s="91"/>
      <c r="C39" s="17"/>
      <c r="D39" s="17"/>
    </row>
    <row r="40" spans="1:5" x14ac:dyDescent="0.3">
      <c r="A40" s="41"/>
      <c r="B40" s="37"/>
      <c r="C40" s="15"/>
      <c r="D40" s="15"/>
    </row>
    <row r="41" spans="1:5" x14ac:dyDescent="0.3">
      <c r="A41" s="72" t="s">
        <v>14</v>
      </c>
      <c r="B41" s="18"/>
      <c r="C41" s="18"/>
      <c r="D41" s="18" t="s">
        <v>70</v>
      </c>
    </row>
    <row r="42" spans="1:5" ht="9.75" customHeight="1" x14ac:dyDescent="0.3">
      <c r="A42" s="72"/>
      <c r="B42" s="18"/>
      <c r="C42" s="18"/>
      <c r="D42" s="18"/>
    </row>
    <row r="43" spans="1:5" ht="10.5" customHeight="1" x14ac:dyDescent="0.3">
      <c r="A43" s="72"/>
      <c r="B43" s="18"/>
      <c r="C43" s="18"/>
      <c r="D43" s="18"/>
    </row>
    <row r="44" spans="1:5" x14ac:dyDescent="0.3">
      <c r="A44" s="72" t="s">
        <v>15</v>
      </c>
      <c r="B44" s="18"/>
      <c r="C44" s="18"/>
      <c r="D44" s="18" t="s">
        <v>16</v>
      </c>
    </row>
  </sheetData>
  <pageMargins left="0.31496062992125984" right="0.5118110236220472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29"/>
  <sheetViews>
    <sheetView workbookViewId="0">
      <selection activeCell="G18" sqref="G18"/>
    </sheetView>
  </sheetViews>
  <sheetFormatPr defaultRowHeight="14.4" x14ac:dyDescent="0.3"/>
  <cols>
    <col min="1" max="1" width="44.33203125" style="105" customWidth="1"/>
    <col min="2" max="2" width="8.88671875" style="105"/>
    <col min="3" max="3" width="15.5546875" style="105" customWidth="1"/>
    <col min="4" max="4" width="16" style="105" customWidth="1"/>
    <col min="5" max="5" width="8.88671875" style="105"/>
    <col min="6" max="6" width="10" style="105" bestFit="1" customWidth="1"/>
    <col min="7" max="16384" width="8.88671875" style="105"/>
  </cols>
  <sheetData>
    <row r="1" spans="1:7" x14ac:dyDescent="0.3">
      <c r="A1" s="122" t="s">
        <v>0</v>
      </c>
      <c r="B1" s="94"/>
      <c r="C1" s="94"/>
      <c r="D1" s="94"/>
    </row>
    <row r="2" spans="1:7" x14ac:dyDescent="0.3">
      <c r="A2" s="122" t="s">
        <v>97</v>
      </c>
      <c r="B2" s="94"/>
      <c r="C2" s="94"/>
      <c r="D2" s="94"/>
    </row>
    <row r="3" spans="1:7" x14ac:dyDescent="0.3">
      <c r="A3" s="123" t="s">
        <v>95</v>
      </c>
      <c r="B3" s="95"/>
      <c r="C3" s="95"/>
      <c r="D3" s="95"/>
    </row>
    <row r="4" spans="1:7" ht="15" thickBot="1" x14ac:dyDescent="0.35">
      <c r="A4" s="124"/>
      <c r="B4" s="96"/>
      <c r="C4" s="96"/>
      <c r="D4" s="96"/>
    </row>
    <row r="5" spans="1:7" x14ac:dyDescent="0.3">
      <c r="A5" s="125"/>
      <c r="B5" s="94"/>
      <c r="C5" s="94"/>
      <c r="D5" s="94"/>
    </row>
    <row r="6" spans="1:7" x14ac:dyDescent="0.3">
      <c r="A6" s="48" t="s">
        <v>1</v>
      </c>
      <c r="B6" s="126" t="s">
        <v>2</v>
      </c>
      <c r="C6" s="107" t="s">
        <v>93</v>
      </c>
      <c r="D6" s="107" t="s">
        <v>92</v>
      </c>
    </row>
    <row r="7" spans="1:7" x14ac:dyDescent="0.3">
      <c r="A7" s="127" t="s">
        <v>3</v>
      </c>
      <c r="B7" s="128"/>
      <c r="C7" s="73"/>
      <c r="D7" s="73"/>
    </row>
    <row r="8" spans="1:7" x14ac:dyDescent="0.3">
      <c r="A8" s="52" t="s">
        <v>4</v>
      </c>
      <c r="B8" s="74">
        <v>11</v>
      </c>
      <c r="C8" s="73">
        <v>-813930</v>
      </c>
      <c r="D8" s="73">
        <v>-307302</v>
      </c>
    </row>
    <row r="9" spans="1:7" x14ac:dyDescent="0.3">
      <c r="A9" s="52" t="s">
        <v>88</v>
      </c>
      <c r="B9" s="74"/>
      <c r="C9" s="73"/>
      <c r="D9" s="73">
        <f>-5067</f>
        <v>-5067</v>
      </c>
    </row>
    <row r="10" spans="1:7" x14ac:dyDescent="0.3">
      <c r="A10" s="52" t="s">
        <v>7</v>
      </c>
      <c r="B10" s="50"/>
      <c r="C10" s="73">
        <v>1079</v>
      </c>
      <c r="D10" s="73">
        <v>3111</v>
      </c>
    </row>
    <row r="11" spans="1:7" x14ac:dyDescent="0.3">
      <c r="A11" s="112" t="s">
        <v>5</v>
      </c>
      <c r="B11" s="129"/>
      <c r="C11" s="97">
        <f>SUM(C8:C10)</f>
        <v>-812851</v>
      </c>
      <c r="D11" s="97">
        <f>SUM(D8:D10)</f>
        <v>-309258</v>
      </c>
    </row>
    <row r="12" spans="1:7" x14ac:dyDescent="0.3">
      <c r="A12" s="52" t="s">
        <v>6</v>
      </c>
      <c r="B12" s="129"/>
      <c r="C12" s="73">
        <f>-799916</f>
        <v>-799916</v>
      </c>
      <c r="D12" s="73">
        <f>-2976968</f>
        <v>-2976968</v>
      </c>
    </row>
    <row r="13" spans="1:7" x14ac:dyDescent="0.3">
      <c r="A13" s="48" t="s">
        <v>84</v>
      </c>
      <c r="B13" s="130"/>
      <c r="C13" s="98">
        <f>5923</f>
        <v>5923</v>
      </c>
      <c r="D13" s="73">
        <f>-2210152</f>
        <v>-2210152</v>
      </c>
    </row>
    <row r="14" spans="1:7" x14ac:dyDescent="0.3">
      <c r="A14" s="131" t="s">
        <v>8</v>
      </c>
      <c r="B14" s="132"/>
      <c r="C14" s="99">
        <f>SUM(C11:C13)</f>
        <v>-1606844</v>
      </c>
      <c r="D14" s="99">
        <f>SUM(D11:D13)</f>
        <v>-5496378</v>
      </c>
      <c r="F14" s="113"/>
    </row>
    <row r="15" spans="1:7" x14ac:dyDescent="0.3">
      <c r="A15" s="52" t="s">
        <v>87</v>
      </c>
      <c r="B15" s="50"/>
      <c r="C15" s="73"/>
      <c r="D15" s="105">
        <v>449085</v>
      </c>
    </row>
    <row r="16" spans="1:7" x14ac:dyDescent="0.3">
      <c r="A16" s="108" t="s">
        <v>9</v>
      </c>
      <c r="B16" s="133"/>
      <c r="C16" s="100">
        <f>C14</f>
        <v>-1606844</v>
      </c>
      <c r="D16" s="100">
        <f>D14+D15</f>
        <v>-5047293</v>
      </c>
      <c r="G16" s="113"/>
    </row>
    <row r="17" spans="1:6" x14ac:dyDescent="0.3">
      <c r="A17" s="134" t="s">
        <v>10</v>
      </c>
      <c r="B17" s="50"/>
      <c r="C17" s="73">
        <v>0</v>
      </c>
      <c r="D17" s="73">
        <v>0</v>
      </c>
    </row>
    <row r="18" spans="1:6" ht="27.6" x14ac:dyDescent="0.3">
      <c r="A18" s="108" t="s">
        <v>11</v>
      </c>
      <c r="B18" s="133"/>
      <c r="C18" s="101">
        <f>C16</f>
        <v>-1606844</v>
      </c>
      <c r="D18" s="101">
        <f>D16</f>
        <v>-5047293</v>
      </c>
    </row>
    <row r="19" spans="1:6" x14ac:dyDescent="0.3">
      <c r="A19" s="135"/>
      <c r="B19" s="94"/>
      <c r="C19" s="102"/>
      <c r="D19" s="102"/>
      <c r="F19" s="113"/>
    </row>
    <row r="20" spans="1:6" x14ac:dyDescent="0.3">
      <c r="A20" s="136" t="s">
        <v>12</v>
      </c>
      <c r="B20" s="137"/>
      <c r="C20" s="103">
        <f>-68.7</f>
        <v>-68.7</v>
      </c>
      <c r="D20" s="103">
        <v>-215.81</v>
      </c>
    </row>
    <row r="21" spans="1:6" x14ac:dyDescent="0.3">
      <c r="A21" s="135"/>
      <c r="B21" s="94"/>
      <c r="C21" s="94"/>
      <c r="D21" s="94"/>
    </row>
    <row r="22" spans="1:6" x14ac:dyDescent="0.3">
      <c r="A22" s="138" t="s">
        <v>13</v>
      </c>
      <c r="B22" s="94"/>
      <c r="C22" s="102"/>
      <c r="D22" s="94"/>
    </row>
    <row r="23" spans="1:6" ht="11.25" customHeight="1" x14ac:dyDescent="0.3">
      <c r="A23" s="138"/>
      <c r="B23" s="94"/>
      <c r="C23" s="104"/>
      <c r="D23" s="94"/>
    </row>
    <row r="24" spans="1:6" ht="12.75" customHeight="1" x14ac:dyDescent="0.3">
      <c r="A24" s="138"/>
      <c r="B24" s="94"/>
      <c r="C24" s="94"/>
      <c r="D24" s="94"/>
    </row>
    <row r="25" spans="1:6" x14ac:dyDescent="0.3">
      <c r="A25" s="135"/>
      <c r="B25" s="94"/>
      <c r="C25" s="94"/>
      <c r="D25" s="94"/>
    </row>
    <row r="26" spans="1:6" ht="20.25" customHeight="1" x14ac:dyDescent="0.3">
      <c r="A26" s="135" t="s">
        <v>14</v>
      </c>
      <c r="B26" s="94"/>
      <c r="C26" s="94"/>
      <c r="D26" s="94" t="s">
        <v>70</v>
      </c>
    </row>
    <row r="27" spans="1:6" x14ac:dyDescent="0.3">
      <c r="A27" s="135"/>
      <c r="B27" s="94"/>
      <c r="C27" s="94"/>
      <c r="D27" s="94"/>
    </row>
    <row r="28" spans="1:6" ht="10.5" customHeight="1" x14ac:dyDescent="0.3">
      <c r="A28" s="135"/>
      <c r="B28" s="94"/>
      <c r="C28" s="94"/>
      <c r="D28" s="94"/>
    </row>
    <row r="29" spans="1:6" ht="20.25" customHeight="1" x14ac:dyDescent="0.3">
      <c r="A29" s="135" t="s">
        <v>15</v>
      </c>
      <c r="B29" s="94"/>
      <c r="C29" s="94"/>
      <c r="D29" s="94" t="s">
        <v>16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50"/>
  <sheetViews>
    <sheetView showGridLines="0" tabSelected="1" workbookViewId="0">
      <selection activeCell="M47" sqref="M47"/>
    </sheetView>
  </sheetViews>
  <sheetFormatPr defaultColWidth="8.88671875" defaultRowHeight="13.8" x14ac:dyDescent="0.3"/>
  <cols>
    <col min="1" max="1" width="2.33203125" style="19" customWidth="1"/>
    <col min="2" max="2" width="43.109375" style="19" customWidth="1"/>
    <col min="3" max="3" width="6.33203125" style="19" customWidth="1"/>
    <col min="4" max="4" width="10.6640625" style="19" customWidth="1"/>
    <col min="5" max="5" width="13.33203125" style="19" customWidth="1"/>
    <col min="6" max="6" width="12.88671875" style="19" customWidth="1"/>
    <col min="7" max="7" width="12.44140625" style="19" customWidth="1"/>
    <col min="8" max="8" width="9.21875" style="19" bestFit="1" customWidth="1"/>
    <col min="9" max="9" width="10.44140625" style="19" bestFit="1" customWidth="1"/>
    <col min="10" max="16384" width="8.88671875" style="19"/>
  </cols>
  <sheetData>
    <row r="1" spans="1:8" x14ac:dyDescent="0.3">
      <c r="B1" s="83" t="s">
        <v>0</v>
      </c>
      <c r="C1" s="20"/>
      <c r="D1" s="20"/>
      <c r="E1" s="20"/>
      <c r="F1" s="20"/>
      <c r="G1" s="20"/>
    </row>
    <row r="2" spans="1:8" x14ac:dyDescent="0.3">
      <c r="B2" s="83" t="s">
        <v>94</v>
      </c>
      <c r="C2" s="20"/>
      <c r="D2" s="20"/>
      <c r="E2" s="20"/>
      <c r="F2" s="20"/>
      <c r="G2" s="20"/>
    </row>
    <row r="3" spans="1:8" x14ac:dyDescent="0.3">
      <c r="B3" s="2" t="s">
        <v>95</v>
      </c>
      <c r="C3" s="21"/>
      <c r="D3" s="21"/>
      <c r="E3" s="21"/>
      <c r="F3" s="3"/>
      <c r="G3" s="3"/>
    </row>
    <row r="4" spans="1:8" ht="11.25" customHeight="1" thickBot="1" x14ac:dyDescent="0.35">
      <c r="B4" s="22"/>
      <c r="C4" s="4"/>
      <c r="D4" s="4"/>
      <c r="E4" s="4"/>
      <c r="F4" s="4"/>
      <c r="G4" s="4"/>
    </row>
    <row r="5" spans="1:8" x14ac:dyDescent="0.3">
      <c r="B5" s="23"/>
      <c r="C5" s="23"/>
      <c r="D5" s="23"/>
      <c r="E5" s="23"/>
      <c r="F5" s="23"/>
      <c r="G5" s="23"/>
    </row>
    <row r="6" spans="1:8" ht="44.25" customHeight="1" x14ac:dyDescent="0.3">
      <c r="B6" s="5" t="s">
        <v>1</v>
      </c>
      <c r="C6" s="6" t="s">
        <v>2</v>
      </c>
      <c r="D6" s="6" t="s">
        <v>27</v>
      </c>
      <c r="E6" s="6" t="s">
        <v>28</v>
      </c>
      <c r="F6" s="6" t="s">
        <v>29</v>
      </c>
      <c r="G6" s="6" t="s">
        <v>38</v>
      </c>
    </row>
    <row r="7" spans="1:8" s="26" customFormat="1" hidden="1" x14ac:dyDescent="0.3">
      <c r="A7" s="24"/>
      <c r="B7" s="10" t="s">
        <v>39</v>
      </c>
      <c r="C7" s="10"/>
      <c r="D7" s="25">
        <v>0</v>
      </c>
      <c r="E7" s="25">
        <v>0</v>
      </c>
      <c r="F7" s="25">
        <v>0</v>
      </c>
      <c r="G7" s="25">
        <f>SUM(D7:F7)</f>
        <v>0</v>
      </c>
      <c r="H7" s="27"/>
    </row>
    <row r="8" spans="1:8" s="26" customFormat="1" hidden="1" x14ac:dyDescent="0.3">
      <c r="A8" s="24"/>
      <c r="B8" s="9"/>
      <c r="C8" s="9"/>
      <c r="D8" s="28"/>
      <c r="E8" s="28"/>
      <c r="F8" s="28"/>
      <c r="G8" s="28"/>
    </row>
    <row r="9" spans="1:8" s="30" customFormat="1" hidden="1" x14ac:dyDescent="0.3">
      <c r="A9" s="19"/>
      <c r="B9" s="7" t="s">
        <v>40</v>
      </c>
      <c r="C9" s="7"/>
      <c r="D9" s="29">
        <v>0</v>
      </c>
      <c r="E9" s="29">
        <v>0</v>
      </c>
      <c r="F9" s="29">
        <f>[1]BS!N31</f>
        <v>-28058</v>
      </c>
      <c r="G9" s="29">
        <f>SUM(D9:F9)</f>
        <v>-28058</v>
      </c>
    </row>
    <row r="10" spans="1:8" s="30" customFormat="1" hidden="1" x14ac:dyDescent="0.3">
      <c r="A10" s="19"/>
      <c r="B10" s="7" t="s">
        <v>41</v>
      </c>
      <c r="C10" s="7"/>
      <c r="D10" s="29">
        <f>121000+23266466</f>
        <v>23387466</v>
      </c>
      <c r="E10" s="29">
        <f>-E7</f>
        <v>0</v>
      </c>
      <c r="F10" s="29">
        <f>-E10</f>
        <v>0</v>
      </c>
      <c r="G10" s="31">
        <f>SUM(D10:F10)</f>
        <v>23387466</v>
      </c>
    </row>
    <row r="11" spans="1:8" s="30" customFormat="1" ht="41.4" hidden="1" x14ac:dyDescent="0.3">
      <c r="A11" s="19"/>
      <c r="B11" s="7" t="s">
        <v>42</v>
      </c>
      <c r="C11" s="7"/>
      <c r="D11" s="31">
        <v>0</v>
      </c>
      <c r="E11" s="31">
        <v>0</v>
      </c>
      <c r="F11" s="31">
        <v>0</v>
      </c>
      <c r="G11" s="31">
        <f>SUM(D11:F11)</f>
        <v>0</v>
      </c>
    </row>
    <row r="12" spans="1:8" s="30" customFormat="1" hidden="1" x14ac:dyDescent="0.3">
      <c r="A12" s="19"/>
      <c r="B12" s="5" t="s">
        <v>43</v>
      </c>
      <c r="C12" s="8"/>
      <c r="D12" s="32">
        <v>0</v>
      </c>
      <c r="E12" s="32">
        <v>0</v>
      </c>
      <c r="F12" s="32">
        <v>0</v>
      </c>
      <c r="G12" s="32">
        <f>SUM(D12:F12)</f>
        <v>0</v>
      </c>
    </row>
    <row r="13" spans="1:8" s="30" customFormat="1" hidden="1" x14ac:dyDescent="0.3">
      <c r="A13" s="19"/>
      <c r="B13" s="7" t="s">
        <v>44</v>
      </c>
      <c r="C13" s="7"/>
      <c r="D13" s="29">
        <f>SUM(D9:D12)</f>
        <v>23387466</v>
      </c>
      <c r="E13" s="29">
        <f>SUM(E9:E12)</f>
        <v>0</v>
      </c>
      <c r="F13" s="29">
        <f>SUM(F9:F12)</f>
        <v>-28058</v>
      </c>
      <c r="G13" s="29">
        <f>SUM(G9:G12)</f>
        <v>23359408</v>
      </c>
    </row>
    <row r="14" spans="1:8" s="30" customFormat="1" hidden="1" x14ac:dyDescent="0.3">
      <c r="A14" s="19"/>
      <c r="B14" s="7"/>
      <c r="C14" s="7"/>
      <c r="D14" s="29"/>
      <c r="E14" s="29"/>
      <c r="F14" s="29"/>
      <c r="G14" s="29"/>
    </row>
    <row r="15" spans="1:8" s="26" customFormat="1" hidden="1" x14ac:dyDescent="0.3">
      <c r="A15" s="24"/>
      <c r="B15" s="10" t="s">
        <v>45</v>
      </c>
      <c r="C15" s="10"/>
      <c r="D15" s="25">
        <f>SUM(D7,D13)</f>
        <v>23387466</v>
      </c>
      <c r="E15" s="25"/>
      <c r="F15" s="25">
        <f>F13</f>
        <v>-28058</v>
      </c>
      <c r="G15" s="25">
        <f>SUM(D15:F15)</f>
        <v>23359408</v>
      </c>
      <c r="H15" s="27"/>
    </row>
    <row r="16" spans="1:8" s="30" customFormat="1" hidden="1" x14ac:dyDescent="0.3">
      <c r="A16" s="19"/>
      <c r="B16" s="7" t="s">
        <v>40</v>
      </c>
      <c r="C16" s="7"/>
      <c r="D16" s="29">
        <v>0</v>
      </c>
      <c r="E16" s="29">
        <v>0</v>
      </c>
      <c r="F16" s="29">
        <f>-193502</f>
        <v>-193502</v>
      </c>
      <c r="G16" s="29">
        <f>SUM(D16:F16)</f>
        <v>-193502</v>
      </c>
    </row>
    <row r="17" spans="1:8" s="30" customFormat="1" hidden="1" x14ac:dyDescent="0.3">
      <c r="A17" s="19"/>
      <c r="B17" s="7" t="s">
        <v>41</v>
      </c>
      <c r="C17" s="7"/>
      <c r="D17" s="29"/>
      <c r="E17" s="29">
        <f>-E14</f>
        <v>0</v>
      </c>
      <c r="F17" s="29">
        <f>-E17</f>
        <v>0</v>
      </c>
      <c r="G17" s="31">
        <f>SUM(D17:F17)</f>
        <v>0</v>
      </c>
    </row>
    <row r="18" spans="1:8" s="30" customFormat="1" ht="41.4" hidden="1" x14ac:dyDescent="0.3">
      <c r="A18" s="19"/>
      <c r="B18" s="7" t="s">
        <v>42</v>
      </c>
      <c r="C18" s="7"/>
      <c r="D18" s="31">
        <v>0</v>
      </c>
      <c r="E18" s="31">
        <v>37139</v>
      </c>
      <c r="F18" s="31">
        <v>0</v>
      </c>
      <c r="G18" s="31">
        <f>SUM(D18:F18)</f>
        <v>37139</v>
      </c>
    </row>
    <row r="19" spans="1:8" s="30" customFormat="1" hidden="1" x14ac:dyDescent="0.3">
      <c r="A19" s="19"/>
      <c r="B19" s="5" t="s">
        <v>43</v>
      </c>
      <c r="C19" s="8"/>
      <c r="D19" s="32">
        <v>0</v>
      </c>
      <c r="E19" s="32">
        <v>-28900988</v>
      </c>
      <c r="F19" s="32">
        <v>0</v>
      </c>
      <c r="G19" s="32">
        <f>SUM(D19:F19)</f>
        <v>-28900988</v>
      </c>
    </row>
    <row r="20" spans="1:8" s="30" customFormat="1" hidden="1" x14ac:dyDescent="0.3">
      <c r="A20" s="19"/>
      <c r="B20" s="7" t="s">
        <v>44</v>
      </c>
      <c r="C20" s="7"/>
      <c r="D20" s="29">
        <f>SUM(D16:D19)</f>
        <v>0</v>
      </c>
      <c r="E20" s="33">
        <f>SUM(E16:E19)</f>
        <v>-28863849</v>
      </c>
      <c r="F20" s="29">
        <f>SUM(F15:F19)</f>
        <v>-221560</v>
      </c>
      <c r="G20" s="29">
        <f>SUM(G16:G19)</f>
        <v>-29057351</v>
      </c>
    </row>
    <row r="21" spans="1:8" s="26" customFormat="1" hidden="1" x14ac:dyDescent="0.3">
      <c r="A21" s="24"/>
      <c r="B21" s="10" t="s">
        <v>46</v>
      </c>
      <c r="C21" s="10"/>
      <c r="D21" s="25">
        <f>D15</f>
        <v>23387466</v>
      </c>
      <c r="E21" s="25">
        <f>E20</f>
        <v>-28863849</v>
      </c>
      <c r="F21" s="25">
        <f>F20</f>
        <v>-221560</v>
      </c>
      <c r="G21" s="25">
        <f>D21+E21+F21</f>
        <v>-5697943</v>
      </c>
      <c r="H21" s="27"/>
    </row>
    <row r="22" spans="1:8" s="26" customFormat="1" hidden="1" x14ac:dyDescent="0.3">
      <c r="A22" s="24"/>
      <c r="B22" s="9"/>
      <c r="C22" s="9"/>
      <c r="D22" s="28"/>
      <c r="E22" s="28"/>
      <c r="F22" s="28"/>
      <c r="G22" s="28"/>
      <c r="H22" s="27"/>
    </row>
    <row r="23" spans="1:8" s="26" customFormat="1" hidden="1" x14ac:dyDescent="0.3">
      <c r="A23" s="24"/>
      <c r="B23" s="9" t="s">
        <v>71</v>
      </c>
      <c r="C23" s="9"/>
      <c r="D23" s="28">
        <v>23387466</v>
      </c>
      <c r="E23" s="28">
        <v>-28863849</v>
      </c>
      <c r="F23" s="28">
        <v>-221560</v>
      </c>
      <c r="G23" s="28">
        <v>-5697943</v>
      </c>
      <c r="H23" s="27"/>
    </row>
    <row r="24" spans="1:8" s="30" customFormat="1" hidden="1" x14ac:dyDescent="0.3">
      <c r="A24" s="19"/>
      <c r="B24" s="7" t="s">
        <v>76</v>
      </c>
      <c r="C24" s="7"/>
      <c r="D24" s="29">
        <v>0</v>
      </c>
      <c r="E24" s="29">
        <v>0</v>
      </c>
      <c r="F24" s="29">
        <f>-3333416</f>
        <v>-3333416</v>
      </c>
      <c r="G24" s="29">
        <f>SUM(D24:F24)</f>
        <v>-3333416</v>
      </c>
    </row>
    <row r="25" spans="1:8" s="30" customFormat="1" ht="27.6" hidden="1" x14ac:dyDescent="0.3">
      <c r="A25" s="19"/>
      <c r="B25" s="7" t="s">
        <v>75</v>
      </c>
      <c r="C25" s="7"/>
      <c r="D25" s="31">
        <v>0</v>
      </c>
      <c r="E25" s="31">
        <v>37399</v>
      </c>
      <c r="F25" s="31"/>
      <c r="G25" s="31">
        <f>E25</f>
        <v>37399</v>
      </c>
    </row>
    <row r="26" spans="1:8" s="30" customFormat="1" hidden="1" x14ac:dyDescent="0.3">
      <c r="A26" s="19"/>
      <c r="B26" s="5" t="s">
        <v>43</v>
      </c>
      <c r="C26" s="8"/>
      <c r="D26" s="32">
        <v>0</v>
      </c>
      <c r="E26" s="32"/>
      <c r="F26" s="32"/>
      <c r="G26" s="32"/>
    </row>
    <row r="27" spans="1:8" s="30" customFormat="1" hidden="1" x14ac:dyDescent="0.3">
      <c r="A27" s="19"/>
      <c r="B27" s="7" t="s">
        <v>44</v>
      </c>
      <c r="C27" s="7"/>
      <c r="D27" s="29">
        <f>SUM(D24:D26)</f>
        <v>0</v>
      </c>
      <c r="E27" s="33">
        <f>SUM(E24:E26)</f>
        <v>37399</v>
      </c>
      <c r="F27" s="29">
        <f>F24</f>
        <v>-3333416</v>
      </c>
      <c r="G27" s="29">
        <f>SUM(G24:G26)</f>
        <v>-3296017</v>
      </c>
    </row>
    <row r="28" spans="1:8" s="26" customFormat="1" ht="15.75" hidden="1" customHeight="1" x14ac:dyDescent="0.3">
      <c r="A28" s="24"/>
      <c r="B28" s="10" t="s">
        <v>47</v>
      </c>
      <c r="C28" s="10"/>
      <c r="D28" s="25">
        <f>D21</f>
        <v>23387466</v>
      </c>
      <c r="E28" s="25">
        <f>E21+E25</f>
        <v>-28826450</v>
      </c>
      <c r="F28" s="25">
        <f>F27+F21</f>
        <v>-3554976</v>
      </c>
      <c r="G28" s="25">
        <f>D28+E28+F28</f>
        <v>-8993960</v>
      </c>
      <c r="H28" s="27"/>
    </row>
    <row r="29" spans="1:8" s="24" customFormat="1" ht="14.25" hidden="1" customHeight="1" x14ac:dyDescent="0.3">
      <c r="B29" s="7" t="s">
        <v>78</v>
      </c>
      <c r="C29" s="7"/>
      <c r="D29" s="29">
        <v>0</v>
      </c>
      <c r="E29" s="29">
        <v>0</v>
      </c>
      <c r="F29" s="29">
        <f>-1529359</f>
        <v>-1529359</v>
      </c>
      <c r="G29" s="29">
        <f>SUM(D29:F29)</f>
        <v>-1529359</v>
      </c>
    </row>
    <row r="30" spans="1:8" s="24" customFormat="1" ht="30.75" hidden="1" customHeight="1" x14ac:dyDescent="0.3">
      <c r="B30" s="7" t="s">
        <v>75</v>
      </c>
      <c r="C30" s="7"/>
      <c r="D30" s="31">
        <v>0</v>
      </c>
      <c r="E30" s="31"/>
      <c r="F30" s="31"/>
      <c r="G30" s="31"/>
    </row>
    <row r="31" spans="1:8" s="24" customFormat="1" hidden="1" x14ac:dyDescent="0.3">
      <c r="B31" s="7" t="s">
        <v>77</v>
      </c>
      <c r="C31" s="7"/>
      <c r="D31" s="29">
        <f>SUM(D29:D30)</f>
        <v>0</v>
      </c>
      <c r="E31" s="29">
        <f>SUM(E29:E30)</f>
        <v>0</v>
      </c>
      <c r="F31" s="29">
        <f>SUM(F29:F30)</f>
        <v>-1529359</v>
      </c>
      <c r="G31" s="29">
        <f>SUM(G29:G30)</f>
        <v>-1529359</v>
      </c>
    </row>
    <row r="32" spans="1:8" s="24" customFormat="1" hidden="1" x14ac:dyDescent="0.3">
      <c r="B32" s="7"/>
      <c r="C32" s="7"/>
      <c r="D32" s="29"/>
      <c r="E32" s="29"/>
      <c r="F32" s="29"/>
      <c r="G32" s="29"/>
    </row>
    <row r="33" spans="2:8" s="24" customFormat="1" ht="22.5" hidden="1" customHeight="1" x14ac:dyDescent="0.3">
      <c r="B33" s="10" t="s">
        <v>83</v>
      </c>
      <c r="C33" s="10"/>
      <c r="D33" s="25">
        <f>D28</f>
        <v>23387466</v>
      </c>
      <c r="E33" s="25">
        <f>E28</f>
        <v>-28826450</v>
      </c>
      <c r="F33" s="25">
        <f>F28+F29</f>
        <v>-5084335</v>
      </c>
      <c r="G33" s="25">
        <f>D33+E33+F33</f>
        <v>-10523319</v>
      </c>
      <c r="H33" s="27"/>
    </row>
    <row r="34" spans="2:8" s="24" customFormat="1" ht="14.25" hidden="1" customHeight="1" x14ac:dyDescent="0.3">
      <c r="B34" s="7" t="s">
        <v>78</v>
      </c>
      <c r="C34" s="7"/>
      <c r="D34" s="29">
        <v>0</v>
      </c>
      <c r="E34" s="29">
        <v>0</v>
      </c>
      <c r="F34" s="29"/>
      <c r="G34" s="29">
        <f>SUM(D34:F34)</f>
        <v>0</v>
      </c>
    </row>
    <row r="35" spans="2:8" s="24" customFormat="1" ht="30.75" hidden="1" customHeight="1" x14ac:dyDescent="0.3">
      <c r="B35" s="7" t="s">
        <v>75</v>
      </c>
      <c r="C35" s="7"/>
      <c r="D35" s="31">
        <v>0</v>
      </c>
      <c r="E35" s="31">
        <v>2589630</v>
      </c>
      <c r="F35" s="31"/>
      <c r="G35" s="31"/>
    </row>
    <row r="36" spans="2:8" s="24" customFormat="1" ht="15" hidden="1" customHeight="1" x14ac:dyDescent="0.3">
      <c r="B36" s="7" t="s">
        <v>77</v>
      </c>
      <c r="C36" s="7"/>
      <c r="D36" s="29">
        <f>SUM(D34:D35)</f>
        <v>0</v>
      </c>
      <c r="E36" s="29"/>
      <c r="F36" s="29">
        <f>-5047293</f>
        <v>-5047293</v>
      </c>
      <c r="G36" s="29">
        <f>SUM(G34:G35)</f>
        <v>0</v>
      </c>
    </row>
    <row r="37" spans="2:8" s="24" customFormat="1" ht="10.5" hidden="1" customHeight="1" x14ac:dyDescent="0.3">
      <c r="B37" s="7"/>
      <c r="C37" s="7"/>
      <c r="D37" s="29"/>
      <c r="E37" s="29"/>
      <c r="F37" s="29"/>
      <c r="G37" s="29"/>
    </row>
    <row r="38" spans="2:8" s="111" customFormat="1" ht="18" customHeight="1" x14ac:dyDescent="0.3">
      <c r="B38" s="108" t="s">
        <v>86</v>
      </c>
      <c r="C38" s="108"/>
      <c r="D38" s="109">
        <f>SUM(D15,D36)</f>
        <v>23387466</v>
      </c>
      <c r="E38" s="109">
        <f>E33+E35</f>
        <v>-26236820</v>
      </c>
      <c r="F38" s="109">
        <f>F33+F36</f>
        <v>-10131628</v>
      </c>
      <c r="G38" s="109">
        <f>D38+E38+F38</f>
        <v>-12980982</v>
      </c>
      <c r="H38" s="110"/>
    </row>
    <row r="39" spans="2:8" s="111" customFormat="1" ht="23.4" customHeight="1" x14ac:dyDescent="0.3">
      <c r="B39" s="52" t="s">
        <v>78</v>
      </c>
      <c r="C39" s="52"/>
      <c r="D39" s="114">
        <v>0</v>
      </c>
      <c r="E39" s="114">
        <v>0</v>
      </c>
      <c r="F39" s="114"/>
      <c r="G39" s="114">
        <f>SUM(D39:F39)</f>
        <v>0</v>
      </c>
      <c r="H39" s="110"/>
    </row>
    <row r="40" spans="2:8" s="111" customFormat="1" ht="36.6" customHeight="1" x14ac:dyDescent="0.3">
      <c r="B40" s="52" t="s">
        <v>75</v>
      </c>
      <c r="C40" s="52"/>
      <c r="D40" s="115">
        <v>0</v>
      </c>
      <c r="E40" s="115">
        <v>518425</v>
      </c>
      <c r="F40" s="115"/>
      <c r="G40" s="115"/>
      <c r="H40" s="110"/>
    </row>
    <row r="41" spans="2:8" s="111" customFormat="1" ht="18" customHeight="1" x14ac:dyDescent="0.3">
      <c r="B41" s="52" t="s">
        <v>77</v>
      </c>
      <c r="C41" s="52"/>
      <c r="D41" s="114">
        <f>SUM(D39:D40)</f>
        <v>0</v>
      </c>
      <c r="E41" s="114"/>
      <c r="F41" s="114">
        <f>-1583244-23600</f>
        <v>-1606844</v>
      </c>
      <c r="G41" s="114">
        <f>SUM(G39:G40)</f>
        <v>0</v>
      </c>
      <c r="H41" s="110"/>
    </row>
    <row r="42" spans="2:8" s="111" customFormat="1" ht="18" customHeight="1" x14ac:dyDescent="0.3">
      <c r="B42" s="52"/>
      <c r="C42" s="52"/>
      <c r="D42" s="114"/>
      <c r="E42" s="114"/>
      <c r="F42" s="114"/>
      <c r="G42" s="114"/>
      <c r="H42" s="110"/>
    </row>
    <row r="43" spans="2:8" s="111" customFormat="1" ht="18" customHeight="1" x14ac:dyDescent="0.3">
      <c r="B43" s="108" t="s">
        <v>89</v>
      </c>
      <c r="C43" s="108"/>
      <c r="D43" s="109">
        <v>23387466</v>
      </c>
      <c r="E43" s="109">
        <f>E38+E40</f>
        <v>-25718395</v>
      </c>
      <c r="F43" s="109">
        <f>F38+F41</f>
        <v>-11738472</v>
      </c>
      <c r="G43" s="109">
        <f>D43+E43+F43</f>
        <v>-14069401</v>
      </c>
      <c r="H43" s="110"/>
    </row>
    <row r="44" spans="2:8" s="24" customFormat="1" x14ac:dyDescent="0.3">
      <c r="B44" s="9"/>
      <c r="C44" s="9"/>
      <c r="D44" s="28"/>
      <c r="E44" s="28"/>
      <c r="F44" s="28"/>
      <c r="G44" s="28"/>
    </row>
    <row r="45" spans="2:8" s="24" customFormat="1" x14ac:dyDescent="0.3">
      <c r="B45" s="9"/>
      <c r="C45" s="9"/>
      <c r="D45" s="28"/>
      <c r="E45" s="28"/>
      <c r="F45" s="28"/>
      <c r="G45" s="28"/>
    </row>
    <row r="46" spans="2:8" s="24" customFormat="1" ht="15.75" customHeight="1" x14ac:dyDescent="0.3">
      <c r="B46" s="35" t="s">
        <v>14</v>
      </c>
      <c r="C46" s="11"/>
      <c r="D46" s="34"/>
      <c r="E46" s="1"/>
      <c r="F46" s="1"/>
      <c r="G46" s="1" t="s">
        <v>70</v>
      </c>
    </row>
    <row r="47" spans="2:8" s="24" customFormat="1" x14ac:dyDescent="0.3">
      <c r="B47" s="35"/>
      <c r="C47" s="11"/>
      <c r="D47" s="1"/>
      <c r="E47" s="1"/>
      <c r="F47" s="28"/>
      <c r="G47" s="1"/>
    </row>
    <row r="48" spans="2:8" s="24" customFormat="1" x14ac:dyDescent="0.3">
      <c r="B48" s="35"/>
      <c r="C48" s="11"/>
      <c r="D48" s="1"/>
      <c r="E48" s="1"/>
      <c r="F48" s="28"/>
      <c r="G48" s="1"/>
    </row>
    <row r="49" spans="2:7" s="24" customFormat="1" ht="18" customHeight="1" x14ac:dyDescent="0.3">
      <c r="B49" s="35" t="s">
        <v>15</v>
      </c>
      <c r="C49" s="11"/>
      <c r="D49" s="1"/>
      <c r="E49" s="1"/>
      <c r="F49" s="1"/>
      <c r="G49" s="1" t="s">
        <v>16</v>
      </c>
    </row>
    <row r="50" spans="2:7" s="24" customFormat="1" x14ac:dyDescent="0.3">
      <c r="B50" s="36"/>
      <c r="C50" s="9"/>
    </row>
  </sheetData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движении денег</vt:lpstr>
      <vt:lpstr>Отч о совокупном доходе</vt:lpstr>
      <vt:lpstr>Отч об изм в капитале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Kashkarova</cp:lastModifiedBy>
  <cp:lastPrinted>2024-06-05T03:27:59Z</cp:lastPrinted>
  <dcterms:created xsi:type="dcterms:W3CDTF">2020-11-13T09:40:50Z</dcterms:created>
  <dcterms:modified xsi:type="dcterms:W3CDTF">2024-06-05T08:27:44Z</dcterms:modified>
</cp:coreProperties>
</file>