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Viktoriya.kashkarova\Documents\Аскер\финальное размещкение\"/>
    </mc:Choice>
  </mc:AlternateContent>
  <xr:revisionPtr revIDLastSave="0" documentId="13_ncr:1_{D6401731-FA5F-4117-84ED-2497B34DB6A8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Отч о финансовом положении" sheetId="2" r:id="rId1"/>
    <sheet name="Отч о совокупном доходе" sheetId="1" r:id="rId2"/>
    <sheet name="Отч о движении денег" sheetId="6" r:id="rId3"/>
    <sheet name="Отч об изм в капитале 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6" l="1"/>
  <c r="D34" i="6"/>
  <c r="C32" i="6"/>
  <c r="D29" i="6"/>
  <c r="C29" i="6"/>
  <c r="D27" i="6"/>
  <c r="C27" i="6"/>
  <c r="D26" i="6"/>
  <c r="C26" i="6"/>
  <c r="D24" i="6"/>
  <c r="C24" i="6"/>
  <c r="C23" i="6"/>
  <c r="D21" i="6"/>
  <c r="C21" i="6"/>
  <c r="D20" i="6"/>
  <c r="C20" i="6"/>
  <c r="D19" i="6"/>
  <c r="C19" i="6"/>
  <c r="D17" i="6"/>
  <c r="C17" i="6"/>
  <c r="D16" i="6"/>
  <c r="C16" i="6"/>
  <c r="D15" i="6"/>
  <c r="C15" i="6"/>
  <c r="D14" i="6"/>
  <c r="C14" i="6"/>
  <c r="D13" i="6"/>
  <c r="D7" i="6"/>
  <c r="C7" i="6"/>
  <c r="E15" i="2" l="1"/>
  <c r="D15" i="2"/>
  <c r="F17" i="3"/>
  <c r="E17" i="3"/>
  <c r="F15" i="3"/>
  <c r="E15" i="3"/>
  <c r="F13" i="3"/>
  <c r="F14" i="3" s="1"/>
  <c r="E13" i="3"/>
  <c r="E14" i="3" s="1"/>
  <c r="E9" i="3"/>
  <c r="F8" i="3"/>
  <c r="E8" i="3"/>
  <c r="E7" i="3"/>
  <c r="D7" i="3"/>
  <c r="C19" i="1"/>
  <c r="D19" i="1"/>
  <c r="C15" i="1"/>
  <c r="D15" i="1"/>
  <c r="D12" i="1"/>
  <c r="D11" i="1"/>
  <c r="D10" i="1"/>
  <c r="C10" i="1"/>
  <c r="E39" i="2"/>
  <c r="D39" i="2"/>
  <c r="D27" i="2"/>
  <c r="E20" i="2"/>
  <c r="D20" i="2"/>
  <c r="F7" i="3" l="1"/>
  <c r="E12" i="3"/>
  <c r="D28" i="2" l="1"/>
  <c r="E28" i="2" l="1"/>
  <c r="C27" i="2" l="1"/>
  <c r="C26" i="2"/>
  <c r="C29" i="2" l="1"/>
  <c r="C28" i="2"/>
  <c r="F9" i="3" l="1"/>
  <c r="F12" i="3" s="1"/>
  <c r="E22" i="2" l="1"/>
  <c r="D13" i="1" l="1"/>
  <c r="D17" i="1" s="1"/>
  <c r="E23" i="2"/>
  <c r="F43" i="2" s="1"/>
  <c r="C13" i="1" l="1"/>
  <c r="C17" i="1" s="1"/>
  <c r="E33" i="2" l="1"/>
  <c r="E40" i="2" s="1"/>
  <c r="E41" i="2" s="1"/>
  <c r="D33" i="2"/>
  <c r="D40" i="2" s="1"/>
  <c r="E46" i="2" l="1"/>
  <c r="D41" i="2"/>
  <c r="D22" i="2" l="1"/>
  <c r="D23" i="2" l="1"/>
  <c r="D46" i="2" s="1"/>
  <c r="D17" i="3" l="1"/>
</calcChain>
</file>

<file path=xl/sharedStrings.xml><?xml version="1.0" encoding="utf-8"?>
<sst xmlns="http://schemas.openxmlformats.org/spreadsheetml/2006/main" count="131" uniqueCount="95">
  <si>
    <t>АО "Аскер Мунай Эксплорэйшн"</t>
  </si>
  <si>
    <t>В тысячах тенге</t>
  </si>
  <si>
    <t>Прим.</t>
  </si>
  <si>
    <t>Операционный убыток</t>
  </si>
  <si>
    <t>Генеральный директор</t>
  </si>
  <si>
    <t>Главный бухгалтер</t>
  </si>
  <si>
    <t>Кошкарова В.С.</t>
  </si>
  <si>
    <t xml:space="preserve">Активы </t>
  </si>
  <si>
    <t>Долгосрочные активы</t>
  </si>
  <si>
    <t>Разведочные и оценочные активы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</si>
  <si>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</si>
  <si>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</si>
  <si>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</si>
  <si>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</si>
  <si>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</si>
  <si>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</si>
  <si>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</si>
  <si>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Итого капитал</t>
  </si>
  <si>
    <t>Долгосрочные обязательства</t>
  </si>
  <si>
    <t>Текущие обязательства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</si>
  <si>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</si>
  <si>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</si>
  <si>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</si>
  <si>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</si>
  <si>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Кенчимова А.Б.</t>
  </si>
  <si>
    <t>Основные средства</t>
  </si>
  <si>
    <t>Акционерный капитал</t>
  </si>
  <si>
    <t>Провизии</t>
  </si>
  <si>
    <t>Торговая и прочая кредиторская задолженность</t>
  </si>
  <si>
    <t>Отложенный налоговый актив</t>
  </si>
  <si>
    <t>Экономия по подоходному налогу</t>
  </si>
  <si>
    <t>Убытки от обесценения</t>
  </si>
  <si>
    <t>На 31 декабря 2023 года</t>
  </si>
  <si>
    <t>Денежные средства ограниченные в использовании</t>
  </si>
  <si>
    <t>НДС к взмещению</t>
  </si>
  <si>
    <t>На 31 декабря 2024 года</t>
  </si>
  <si>
    <t>31 декабря 2024 года</t>
  </si>
  <si>
    <t>КОНСОЛИДИРОВАННЫЙ ОТЧЕТ О ФИНАНСОВОМ ПОЛОЖЕНИИ</t>
  </si>
  <si>
    <t>31 декабря 2023 года</t>
  </si>
  <si>
    <t>Нематериальные активы</t>
  </si>
  <si>
    <t xml:space="preserve">Предоплата по подоходному налогу </t>
  </si>
  <si>
    <t>Непокрытый убыток</t>
  </si>
  <si>
    <t xml:space="preserve">Займы </t>
  </si>
  <si>
    <t xml:space="preserve">Провизии </t>
  </si>
  <si>
    <t>Прочие обязательства</t>
  </si>
  <si>
    <t>Займы</t>
  </si>
  <si>
    <t>КОНСОЛИДИРОВАННЫЙ ОТЧЕТ О СОВОКУПНОМ ДОХОДЕ</t>
  </si>
  <si>
    <t>Общеадминистративные расходы</t>
  </si>
  <si>
    <t>Прочие операционные (расходы) доходы, нетто</t>
  </si>
  <si>
    <t>Финансовый расход, нетто</t>
  </si>
  <si>
    <t>(Убыток) доход от курсовой разницы</t>
  </si>
  <si>
    <t>Убыток до налогообложения</t>
  </si>
  <si>
    <t xml:space="preserve">Чистый убыток за год </t>
  </si>
  <si>
    <t>Прочая совокупный доход</t>
  </si>
  <si>
    <t>Общий совокупный убыток за год</t>
  </si>
  <si>
    <t>Базовый и разводненный убыток на акцию (в тенге)</t>
  </si>
  <si>
    <t>КОНСОЛИДИРОВАННЫЙ ОТЧЕТ ОБ ИЗМЕНЕНИЯХ В КАПИТАЛЕ</t>
  </si>
  <si>
    <t xml:space="preserve">ИТОГО </t>
  </si>
  <si>
    <t>На 1 января 2023 года</t>
  </si>
  <si>
    <t>Чистый убыток за год</t>
  </si>
  <si>
    <t>Общий совокупный убыток</t>
  </si>
  <si>
    <t>Дисконтирование займов полученных от связанных сторон, за вычетом подоходного налога</t>
  </si>
  <si>
    <t>КОНСОЛИДИРОВАННЫЙ ОТЧЕТ О ДВИЖЕНИИ ДЕНЕЖНЫХ СРЕДСТВ</t>
  </si>
  <si>
    <t>За двенадцать месяцев, закончившиеся 31 декабря 2024 года</t>
  </si>
  <si>
    <t>Корректировки:</t>
  </si>
  <si>
    <t>Финансовые расходы, нетто</t>
  </si>
  <si>
    <t xml:space="preserve">Износ и амортизация </t>
  </si>
  <si>
    <t>Убытки от выбытия основных средств</t>
  </si>
  <si>
    <t>Нереализованный убыток (доход) от курсовой разницы</t>
  </si>
  <si>
    <t>Операционная деятельность:</t>
  </si>
  <si>
    <t>Движение денежных средств от операционной деятельности до измеений оборотного капитала</t>
  </si>
  <si>
    <t>Уменьшение НДС к возмещению</t>
  </si>
  <si>
    <t>(Увеличение) уменьшение товарно-матеоиальных запасов</t>
  </si>
  <si>
    <t>Увеличение авансов выданных и прочих текущих активов</t>
  </si>
  <si>
    <t>Уменьшение торговой дебиторской задолженности</t>
  </si>
  <si>
    <t>Уменьшение прочих обязательств</t>
  </si>
  <si>
    <t>Увеличение (уменьшение) торговой и прочей кредиторской задолженности</t>
  </si>
  <si>
    <t>Денежные средства от операционной деятельности до получения процентов и уплаты подоходного налога</t>
  </si>
  <si>
    <t>Проценты полученные</t>
  </si>
  <si>
    <t>Подоходный налог уплаченный</t>
  </si>
  <si>
    <t>-</t>
  </si>
  <si>
    <t>Инвестиционная деятельность:</t>
  </si>
  <si>
    <t>Приобретение основных средств</t>
  </si>
  <si>
    <t>Инвестиции в разведочные и оценочные активы</t>
  </si>
  <si>
    <t>Поступление от продажи тестовой нефти</t>
  </si>
  <si>
    <t>Чистые денежные средства использованные в операционной деятельности</t>
  </si>
  <si>
    <t>Чистые денежные средства использованные в инвестиционной деятельности</t>
  </si>
  <si>
    <t>Финансовая деятельность:</t>
  </si>
  <si>
    <t>Поступления по займам</t>
  </si>
  <si>
    <t>Погашение займов</t>
  </si>
  <si>
    <t>Чистые денежные средства использованные в финансовой деятельности</t>
  </si>
  <si>
    <t>Чистое увеличение (уменьшение) денежных средств</t>
  </si>
  <si>
    <t>Эффект изменения обменного курса на денежные средства</t>
  </si>
  <si>
    <t>Денежные средства на начало года</t>
  </si>
  <si>
    <t>Денежные средства на конец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</si>
</sst>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_(* #,##0_);_(* \(#,##0\);_(* \-_);_(@_)"/>
    <numFmt numFmtId="166" formatCode="_(* #,##0.0_);_(* \(#,##0.0\);_(* \-_);_(@_)"/>
    <numFmt numFmtId="167" formatCode="_(* #,##0_);_(* \(#,##0\);_(* &quot;-&quot;??_);_(@_)"/>
    <numFmt numFmtId="168" formatCode="#,##0.0"/>
    <numFmt numFmtId="169" formatCode="_(* #,##0_);_(* \(#,##0\);_(* &quot;-&quot;_);_(@_)"/>
    <numFmt numFmtId="170" formatCode="_-* #,##0.0\ _₽_-;\-* #,##0.0\ _₽_-;_-* &quot;-&quot;?\ _₽_-;_-@_-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sz val="10"/>
      <color rgb="FF80808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9"/>
      <color rgb="FFFF0000"/>
      <name val="Arial Narrow"/>
      <family val="2"/>
      <charset val="204"/>
    </font>
    <font>
      <sz val="10"/>
      <name val="Arial"/>
      <family val="2"/>
    </font>
    <font>
      <sz val="11"/>
      <name val="Calibri"/>
      <family val="2"/>
      <charset val="204"/>
      <scheme val="minor"/>
    </font>
    <font>
      <sz val="9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/>
      <bottom style="thin">
        <color rgb="FF3333FF"/>
      </bottom>
      <diagonal/>
    </border>
  </borders>
  <cellStyleXfs count="2">
    <xf numFmtId="0" fontId="0" fillId="0" borderId="0"/>
    <xf numFmtId="0" fontId="12" fillId="0" borderId="0"/>
  </cellStyleXfs>
  <cellXfs count="123">
    <xf numFmtId="0" fontId="0" fillId="0" borderId="0" xfId="0"/>
    <xf numFmtId="0" fontId="1" fillId="2" borderId="0" xfId="0" applyFont="1" applyFill="1"/>
    <xf numFmtId="14" fontId="2" fillId="2" borderId="0" xfId="0" applyNumberFormat="1" applyFont="1" applyFill="1" applyAlignment="1"/>
    <xf numFmtId="14" fontId="3" fillId="2" borderId="0" xfId="0" applyNumberFormat="1" applyFont="1" applyFill="1" applyAlignment="1"/>
    <xf numFmtId="0" fontId="1" fillId="2" borderId="1" xfId="0" applyFont="1" applyFill="1" applyBorder="1"/>
    <xf numFmtId="0" fontId="1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wrapText="1"/>
    </xf>
    <xf numFmtId="0" fontId="1" fillId="2" borderId="0" xfId="0" applyFont="1" applyFill="1" applyAlignment="1"/>
    <xf numFmtId="0" fontId="9" fillId="2" borderId="0" xfId="0" applyFont="1" applyFill="1"/>
    <xf numFmtId="0" fontId="4" fillId="2" borderId="0" xfId="0" applyFont="1" applyFill="1" applyAlignment="1"/>
    <xf numFmtId="14" fontId="7" fillId="2" borderId="0" xfId="0" applyNumberFormat="1" applyFont="1" applyFill="1" applyAlignment="1"/>
    <xf numFmtId="0" fontId="7" fillId="2" borderId="1" xfId="0" applyFont="1" applyFill="1" applyBorder="1" applyAlignment="1"/>
    <xf numFmtId="14" fontId="3" fillId="2" borderId="0" xfId="0" applyNumberFormat="1" applyFont="1" applyFill="1" applyAlignment="1">
      <alignment horizontal="left"/>
    </xf>
    <xf numFmtId="0" fontId="10" fillId="2" borderId="0" xfId="0" applyFont="1" applyFill="1"/>
    <xf numFmtId="165" fontId="10" fillId="2" borderId="0" xfId="0" applyNumberFormat="1" applyFont="1" applyFill="1"/>
    <xf numFmtId="168" fontId="11" fillId="2" borderId="0" xfId="0" applyNumberFormat="1" applyFont="1" applyFill="1"/>
    <xf numFmtId="165" fontId="4" fillId="2" borderId="0" xfId="0" applyNumberFormat="1" applyFont="1" applyFill="1" applyBorder="1" applyAlignment="1"/>
    <xf numFmtId="169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7" fillId="0" borderId="0" xfId="0" applyFont="1" applyFill="1" applyBorder="1" applyAlignment="1"/>
    <xf numFmtId="0" fontId="1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65" fontId="1" fillId="0" borderId="0" xfId="0" applyNumberFormat="1" applyFont="1" applyFill="1" applyBorder="1" applyAlignment="1">
      <alignment wrapText="1"/>
    </xf>
    <xf numFmtId="165" fontId="4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/>
    <xf numFmtId="37" fontId="1" fillId="0" borderId="0" xfId="1" applyNumberFormat="1" applyFont="1" applyFill="1" applyBorder="1" applyAlignment="1"/>
    <xf numFmtId="0" fontId="4" fillId="0" borderId="0" xfId="0" applyFont="1" applyFill="1" applyBorder="1" applyAlignment="1"/>
    <xf numFmtId="0" fontId="1" fillId="0" borderId="1" xfId="0" applyFont="1" applyFill="1" applyBorder="1"/>
    <xf numFmtId="0" fontId="0" fillId="0" borderId="0" xfId="0" applyFill="1"/>
    <xf numFmtId="0" fontId="5" fillId="0" borderId="3" xfId="0" applyFont="1" applyFill="1" applyBorder="1" applyAlignment="1">
      <alignment wrapText="1"/>
    </xf>
    <xf numFmtId="165" fontId="4" fillId="0" borderId="3" xfId="0" applyNumberFormat="1" applyFont="1" applyFill="1" applyBorder="1" applyAlignment="1"/>
    <xf numFmtId="168" fontId="11" fillId="0" borderId="0" xfId="0" applyNumberFormat="1" applyFont="1" applyFill="1"/>
    <xf numFmtId="0" fontId="10" fillId="0" borderId="0" xfId="0" applyFont="1" applyFill="1"/>
    <xf numFmtId="0" fontId="5" fillId="0" borderId="0" xfId="0" applyFont="1" applyFill="1" applyBorder="1" applyAlignment="1">
      <alignment wrapText="1"/>
    </xf>
    <xf numFmtId="165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>
      <alignment vertical="top"/>
    </xf>
    <xf numFmtId="165" fontId="1" fillId="0" borderId="3" xfId="0" applyNumberFormat="1" applyFont="1" applyFill="1" applyBorder="1" applyAlignment="1"/>
    <xf numFmtId="14" fontId="8" fillId="0" borderId="0" xfId="0" applyNumberFormat="1" applyFont="1" applyFill="1" applyBorder="1" applyAlignment="1"/>
    <xf numFmtId="14" fontId="7" fillId="0" borderId="0" xfId="0" applyNumberFormat="1" applyFont="1" applyFill="1" applyBorder="1" applyAlignment="1"/>
    <xf numFmtId="0" fontId="7" fillId="0" borderId="1" xfId="0" applyFont="1" applyFill="1" applyBorder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>
      <alignment horizontal="center" wrapText="1"/>
    </xf>
    <xf numFmtId="14" fontId="4" fillId="0" borderId="2" xfId="0" quotePrefix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ont="1" applyFill="1"/>
    <xf numFmtId="0" fontId="14" fillId="0" borderId="0" xfId="0" applyFont="1" applyFill="1" applyBorder="1" applyAlignment="1">
      <alignment wrapText="1"/>
    </xf>
    <xf numFmtId="37" fontId="1" fillId="0" borderId="0" xfId="1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165" fontId="1" fillId="0" borderId="6" xfId="0" applyNumberFormat="1" applyFont="1" applyFill="1" applyBorder="1" applyAlignment="1">
      <alignment wrapText="1"/>
    </xf>
    <xf numFmtId="170" fontId="10" fillId="2" borderId="0" xfId="0" applyNumberFormat="1" applyFont="1" applyFill="1"/>
    <xf numFmtId="165" fontId="1" fillId="0" borderId="0" xfId="0" applyNumberFormat="1" applyFont="1" applyFill="1" applyAlignment="1">
      <alignment wrapText="1"/>
    </xf>
    <xf numFmtId="0" fontId="13" fillId="0" borderId="0" xfId="0" applyFont="1" applyFill="1"/>
    <xf numFmtId="0" fontId="4" fillId="0" borderId="0" xfId="0" applyFont="1" applyFill="1" applyAlignment="1"/>
    <xf numFmtId="0" fontId="1" fillId="0" borderId="0" xfId="0" applyFont="1" applyFill="1"/>
    <xf numFmtId="14" fontId="2" fillId="0" borderId="0" xfId="0" applyNumberFormat="1" applyFont="1" applyFill="1" applyAlignment="1"/>
    <xf numFmtId="14" fontId="3" fillId="0" borderId="0" xfId="0" applyNumberFormat="1" applyFont="1" applyFill="1" applyAlignment="1"/>
    <xf numFmtId="0" fontId="3" fillId="0" borderId="1" xfId="0" applyFont="1" applyFill="1" applyBorder="1" applyAlignment="1"/>
    <xf numFmtId="0" fontId="3" fillId="0" borderId="0" xfId="0" applyFont="1" applyFill="1" applyAlignment="1"/>
    <xf numFmtId="0" fontId="4" fillId="0" borderId="2" xfId="0" applyFont="1" applyFill="1" applyBorder="1" applyAlignment="1">
      <alignment horizontal="center" vertical="top" wrapText="1"/>
    </xf>
    <xf numFmtId="14" fontId="4" fillId="0" borderId="2" xfId="0" quotePrefix="1" applyNumberFormat="1" applyFont="1" applyFill="1" applyBorder="1" applyAlignment="1">
      <alignment horizontal="right" vertical="top" wrapText="1"/>
    </xf>
    <xf numFmtId="165" fontId="1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5" fontId="1" fillId="0" borderId="2" xfId="0" applyNumberFormat="1" applyFont="1" applyFill="1" applyBorder="1" applyAlignment="1">
      <alignment horizontal="center" wrapText="1"/>
    </xf>
    <xf numFmtId="165" fontId="1" fillId="0" borderId="2" xfId="0" applyNumberFormat="1" applyFont="1" applyFill="1" applyBorder="1" applyAlignment="1">
      <alignment horizontal="right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165" fontId="1" fillId="0" borderId="0" xfId="0" applyNumberFormat="1" applyFont="1" applyFill="1" applyAlignment="1">
      <alignment horizontal="right" wrapText="1"/>
    </xf>
    <xf numFmtId="0" fontId="4" fillId="0" borderId="3" xfId="0" applyFont="1" applyFill="1" applyBorder="1" applyAlignment="1">
      <alignment horizontal="center" wrapText="1"/>
    </xf>
    <xf numFmtId="165" fontId="1" fillId="0" borderId="3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165" fontId="1" fillId="0" borderId="3" xfId="0" applyNumberFormat="1" applyFont="1" applyFill="1" applyBorder="1" applyAlignment="1">
      <alignment horizontal="center" wrapText="1"/>
    </xf>
    <xf numFmtId="0" fontId="1" fillId="0" borderId="0" xfId="0" applyFont="1" applyFill="1" applyAlignment="1"/>
    <xf numFmtId="165" fontId="1" fillId="0" borderId="0" xfId="0" applyNumberFormat="1" applyFont="1" applyFill="1"/>
    <xf numFmtId="0" fontId="4" fillId="0" borderId="3" xfId="0" applyFont="1" applyFill="1" applyBorder="1" applyAlignment="1"/>
    <xf numFmtId="0" fontId="4" fillId="0" borderId="3" xfId="0" applyFont="1" applyFill="1" applyBorder="1"/>
    <xf numFmtId="166" fontId="1" fillId="0" borderId="3" xfId="0" applyNumberFormat="1" applyFont="1" applyFill="1" applyBorder="1"/>
    <xf numFmtId="0" fontId="7" fillId="0" borderId="0" xfId="0" applyFont="1" applyFill="1"/>
    <xf numFmtId="164" fontId="1" fillId="0" borderId="0" xfId="0" applyNumberFormat="1" applyFont="1" applyFill="1"/>
    <xf numFmtId="0" fontId="1" fillId="0" borderId="0" xfId="0" applyFont="1" applyFill="1" applyBorder="1"/>
    <xf numFmtId="14" fontId="1" fillId="0" borderId="0" xfId="0" applyNumberFormat="1" applyFont="1" applyFill="1" applyBorder="1" applyAlignment="1"/>
    <xf numFmtId="14" fontId="3" fillId="0" borderId="0" xfId="0" applyNumberFormat="1" applyFont="1" applyFill="1" applyBorder="1" applyAlignment="1"/>
    <xf numFmtId="14" fontId="1" fillId="0" borderId="1" xfId="0" applyNumberFormat="1" applyFont="1" applyFill="1" applyBorder="1" applyAlignment="1"/>
    <xf numFmtId="14" fontId="3" fillId="0" borderId="1" xfId="0" applyNumberFormat="1" applyFont="1" applyFill="1" applyBorder="1" applyAlignment="1"/>
    <xf numFmtId="0" fontId="4" fillId="0" borderId="2" xfId="0" applyFont="1" applyFill="1" applyBorder="1" applyAlignment="1">
      <alignment horizontal="center" wrapText="1"/>
    </xf>
    <xf numFmtId="14" fontId="4" fillId="0" borderId="2" xfId="0" quotePrefix="1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wrapText="1"/>
    </xf>
    <xf numFmtId="167" fontId="1" fillId="0" borderId="0" xfId="0" applyNumberFormat="1" applyFont="1" applyFill="1" applyBorder="1" applyAlignment="1">
      <alignment wrapText="1"/>
    </xf>
    <xf numFmtId="167" fontId="13" fillId="0" borderId="0" xfId="0" applyNumberFormat="1" applyFont="1" applyFill="1"/>
    <xf numFmtId="0" fontId="4" fillId="0" borderId="3" xfId="0" applyFont="1" applyFill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165" fontId="1" fillId="0" borderId="3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horizontal="center" wrapText="1"/>
    </xf>
    <xf numFmtId="165" fontId="1" fillId="0" borderId="5" xfId="0" applyNumberFormat="1" applyFont="1" applyFill="1" applyBorder="1" applyAlignment="1">
      <alignment wrapText="1"/>
    </xf>
    <xf numFmtId="165" fontId="13" fillId="0" borderId="0" xfId="0" applyNumberFormat="1" applyFont="1" applyFill="1"/>
    <xf numFmtId="0" fontId="3" fillId="0" borderId="3" xfId="0" applyFont="1" applyFill="1" applyBorder="1" applyAlignment="1">
      <alignment horizontal="center" wrapText="1"/>
    </xf>
    <xf numFmtId="165" fontId="4" fillId="0" borderId="3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65" fontId="7" fillId="0" borderId="0" xfId="0" applyNumberFormat="1" applyFont="1" applyFill="1" applyBorder="1" applyAlignment="1">
      <alignment horizontal="center" wrapText="1"/>
    </xf>
    <xf numFmtId="165" fontId="3" fillId="0" borderId="3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65" fontId="3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/>
    <xf numFmtId="165" fontId="1" fillId="0" borderId="0" xfId="0" applyNumberFormat="1" applyFont="1" applyFill="1" applyBorder="1"/>
    <xf numFmtId="0" fontId="1" fillId="0" borderId="4" xfId="0" applyFont="1" applyFill="1" applyBorder="1" applyAlignment="1"/>
    <xf numFmtId="0" fontId="7" fillId="0" borderId="4" xfId="0" applyFont="1" applyFill="1" applyBorder="1" applyAlignment="1">
      <alignment horizontal="center"/>
    </xf>
    <xf numFmtId="165" fontId="1" fillId="0" borderId="4" xfId="0" applyNumberFormat="1" applyFont="1" applyFill="1" applyBorder="1" applyAlignment="1">
      <alignment wrapText="1"/>
    </xf>
    <xf numFmtId="0" fontId="4" fillId="0" borderId="2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wrapText="1"/>
    </xf>
    <xf numFmtId="165" fontId="4" fillId="0" borderId="0" xfId="0" applyNumberFormat="1" applyFont="1" applyFill="1" applyBorder="1" applyAlignment="1"/>
    <xf numFmtId="0" fontId="0" fillId="0" borderId="0" xfId="0" applyFill="1" applyBorder="1"/>
    <xf numFmtId="0" fontId="3" fillId="0" borderId="0" xfId="0" applyFont="1" applyFill="1" applyBorder="1" applyAlignment="1"/>
    <xf numFmtId="165" fontId="7" fillId="0" borderId="6" xfId="0" applyNumberFormat="1" applyFont="1" applyFill="1" applyBorder="1" applyAlignment="1">
      <alignment horizontal="right" wrapText="1"/>
    </xf>
    <xf numFmtId="165" fontId="7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</cellXfs>
  <cellStyles count="2">
    <cellStyle name="Normal_Worksheet in 2251 Cash Flow Worksheet" xfId="1" xr:uid="{00000000-0005-0000-0000-000000000000}"/>
    <cellStyle name="Обычный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FF00"/>
    <pageSetUpPr fitToPage="1"/>
  </sheetPr>
  <dimension ref="A1:H51"/>
  <sheetViews>
    <sheetView topLeftCell="A31" workbookViewId="0">
      <selection activeCell="J15" sqref="J15"/>
    </sheetView>
  </sheetViews>
  <sheetFormatPr defaultColWidth="8.88671875" defaultRowHeight="14.4" x14ac:dyDescent="0.3"/>
  <cols>
    <col min="1" max="1" width="41.44140625" style="54" customWidth="1"/>
    <col min="2" max="2" width="10.33203125" style="122" customWidth="1"/>
    <col min="3" max="3" width="14.21875" style="54" hidden="1" customWidth="1"/>
    <col min="4" max="4" width="16.109375" style="54" customWidth="1"/>
    <col min="5" max="5" width="15.33203125" style="54" customWidth="1"/>
    <col min="6" max="6" width="13.6640625" style="54" customWidth="1"/>
    <col min="7" max="7" width="10" style="54" bestFit="1" customWidth="1"/>
    <col min="8" max="16384" width="8.88671875" style="54"/>
  </cols>
  <sheetData>
    <row r="1" spans="1:7" x14ac:dyDescent="0.3">
      <c r="A1" s="28" t="s">
        <v>0</v>
      </c>
      <c r="B1" s="118"/>
      <c r="C1" s="82"/>
      <c r="D1" s="82"/>
      <c r="E1" s="82"/>
    </row>
    <row r="2" spans="1:7" x14ac:dyDescent="0.3">
      <c r="A2" s="28" t="s">
        <v>37</v>
      </c>
      <c r="B2" s="118"/>
      <c r="C2" s="82"/>
      <c r="D2" s="82"/>
      <c r="E2" s="82"/>
    </row>
    <row r="3" spans="1:7" x14ac:dyDescent="0.3">
      <c r="A3" s="83" t="s">
        <v>63</v>
      </c>
      <c r="B3" s="119"/>
      <c r="C3" s="84"/>
      <c r="D3" s="84"/>
      <c r="E3" s="84"/>
    </row>
    <row r="4" spans="1:7" ht="15" thickBot="1" x14ac:dyDescent="0.35">
      <c r="A4" s="85"/>
      <c r="B4" s="120"/>
      <c r="C4" s="86"/>
      <c r="D4" s="86"/>
      <c r="E4" s="86"/>
    </row>
    <row r="5" spans="1:7" x14ac:dyDescent="0.3">
      <c r="A5" s="21"/>
      <c r="B5" s="118"/>
      <c r="C5" s="82"/>
      <c r="D5" s="82"/>
      <c r="E5" s="82"/>
    </row>
    <row r="6" spans="1:7" ht="29.25" customHeight="1" x14ac:dyDescent="0.3">
      <c r="A6" s="22" t="s">
        <v>1</v>
      </c>
      <c r="B6" s="87" t="s">
        <v>2</v>
      </c>
      <c r="C6" s="87"/>
      <c r="D6" s="88" t="s">
        <v>36</v>
      </c>
      <c r="E6" s="62" t="s">
        <v>38</v>
      </c>
    </row>
    <row r="7" spans="1:7" x14ac:dyDescent="0.3">
      <c r="A7" s="89" t="s">
        <v>7</v>
      </c>
      <c r="B7" s="65"/>
      <c r="C7" s="65"/>
      <c r="D7" s="90"/>
      <c r="E7" s="90"/>
    </row>
    <row r="8" spans="1:7" x14ac:dyDescent="0.3">
      <c r="A8" s="89" t="s">
        <v>8</v>
      </c>
      <c r="B8" s="65"/>
      <c r="C8" s="65"/>
      <c r="D8" s="90"/>
      <c r="E8" s="90"/>
    </row>
    <row r="9" spans="1:7" x14ac:dyDescent="0.3">
      <c r="A9" s="23" t="s">
        <v>25</v>
      </c>
      <c r="B9" s="64">
        <v>3</v>
      </c>
      <c r="C9" s="64"/>
      <c r="D9" s="53">
        <v>655352</v>
      </c>
      <c r="E9" s="90">
        <v>747849</v>
      </c>
    </row>
    <row r="10" spans="1:7" x14ac:dyDescent="0.3">
      <c r="A10" s="23" t="s">
        <v>9</v>
      </c>
      <c r="B10" s="64">
        <v>4</v>
      </c>
      <c r="C10" s="64"/>
      <c r="D10" s="24">
        <v>29124097</v>
      </c>
      <c r="E10" s="90">
        <v>28640523</v>
      </c>
      <c r="G10" s="91"/>
    </row>
    <row r="11" spans="1:7" x14ac:dyDescent="0.3">
      <c r="A11" s="23" t="s">
        <v>39</v>
      </c>
      <c r="B11" s="64"/>
      <c r="C11" s="64"/>
      <c r="D11" s="53">
        <v>5706</v>
      </c>
      <c r="E11" s="90">
        <v>5706</v>
      </c>
    </row>
    <row r="12" spans="1:7" x14ac:dyDescent="0.3">
      <c r="A12" s="23" t="s">
        <v>34</v>
      </c>
      <c r="B12" s="64">
        <v>5</v>
      </c>
      <c r="C12" s="64"/>
      <c r="D12" s="53">
        <v>1453698</v>
      </c>
      <c r="E12" s="90">
        <v>1437599</v>
      </c>
    </row>
    <row r="13" spans="1:7" x14ac:dyDescent="0.3">
      <c r="A13" s="23" t="s">
        <v>29</v>
      </c>
      <c r="B13" s="64"/>
      <c r="C13" s="64"/>
      <c r="D13" s="53">
        <v>624802</v>
      </c>
      <c r="E13" s="90">
        <v>706592</v>
      </c>
    </row>
    <row r="14" spans="1:7" x14ac:dyDescent="0.3">
      <c r="A14" s="23" t="s">
        <v>33</v>
      </c>
      <c r="B14" s="64"/>
      <c r="C14" s="64"/>
      <c r="D14" s="53">
        <v>132839</v>
      </c>
      <c r="E14" s="90">
        <v>132839</v>
      </c>
      <c r="F14" s="91"/>
    </row>
    <row r="15" spans="1:7" x14ac:dyDescent="0.3">
      <c r="A15" s="92"/>
      <c r="B15" s="93"/>
      <c r="C15" s="93"/>
      <c r="D15" s="94">
        <f>SUM(D9:D14)</f>
        <v>31996494</v>
      </c>
      <c r="E15" s="94">
        <f>SUM(E9:E14)</f>
        <v>31671108</v>
      </c>
    </row>
    <row r="16" spans="1:7" x14ac:dyDescent="0.3">
      <c r="A16" s="89" t="s">
        <v>10</v>
      </c>
      <c r="B16" s="64"/>
      <c r="C16" s="64"/>
      <c r="D16" s="24"/>
      <c r="E16" s="24"/>
    </row>
    <row r="17" spans="1:8" x14ac:dyDescent="0.3">
      <c r="A17" s="23" t="s">
        <v>11</v>
      </c>
      <c r="B17" s="64"/>
      <c r="C17" s="64"/>
      <c r="D17" s="53">
        <v>106281</v>
      </c>
      <c r="E17" s="24">
        <v>56264</v>
      </c>
    </row>
    <row r="18" spans="1:8" x14ac:dyDescent="0.3">
      <c r="A18" s="23" t="s">
        <v>12</v>
      </c>
      <c r="B18" s="64"/>
      <c r="C18" s="64"/>
      <c r="D18" s="53">
        <v>17084</v>
      </c>
      <c r="E18" s="24">
        <v>9690</v>
      </c>
    </row>
    <row r="19" spans="1:8" x14ac:dyDescent="0.3">
      <c r="A19" s="23" t="s">
        <v>40</v>
      </c>
      <c r="B19" s="64"/>
      <c r="C19" s="64"/>
      <c r="D19" s="53">
        <v>2839</v>
      </c>
      <c r="E19" s="24">
        <v>2826</v>
      </c>
    </row>
    <row r="20" spans="1:8" x14ac:dyDescent="0.3">
      <c r="A20" s="23" t="s">
        <v>13</v>
      </c>
      <c r="B20" s="64"/>
      <c r="C20" s="64"/>
      <c r="D20" s="24">
        <f>17109</f>
        <v>17109</v>
      </c>
      <c r="E20" s="24">
        <f>96849</f>
        <v>96849</v>
      </c>
    </row>
    <row r="21" spans="1:8" x14ac:dyDescent="0.3">
      <c r="A21" s="22" t="s">
        <v>14</v>
      </c>
      <c r="B21" s="95"/>
      <c r="C21" s="64"/>
      <c r="D21" s="96">
        <v>32638</v>
      </c>
      <c r="E21" s="96">
        <v>25478</v>
      </c>
      <c r="H21" s="97"/>
    </row>
    <row r="22" spans="1:8" x14ac:dyDescent="0.3">
      <c r="A22" s="89"/>
      <c r="B22" s="64"/>
      <c r="C22" s="64"/>
      <c r="D22" s="24">
        <f>SUM(D16:D21)</f>
        <v>175951</v>
      </c>
      <c r="E22" s="24">
        <f>SUM(E17:E21)</f>
        <v>191107</v>
      </c>
    </row>
    <row r="23" spans="1:8" x14ac:dyDescent="0.3">
      <c r="A23" s="92" t="s">
        <v>15</v>
      </c>
      <c r="B23" s="98"/>
      <c r="C23" s="98"/>
      <c r="D23" s="99">
        <f>D15+D22</f>
        <v>32172445</v>
      </c>
      <c r="E23" s="99">
        <f>E15+E22</f>
        <v>31862215</v>
      </c>
      <c r="F23" s="97"/>
    </row>
    <row r="24" spans="1:8" x14ac:dyDescent="0.3">
      <c r="A24" s="89"/>
      <c r="B24" s="64"/>
      <c r="C24" s="100"/>
      <c r="D24" s="24"/>
      <c r="E24" s="24"/>
    </row>
    <row r="25" spans="1:8" x14ac:dyDescent="0.3">
      <c r="A25" s="89" t="s">
        <v>16</v>
      </c>
      <c r="B25" s="64">
        <v>6</v>
      </c>
      <c r="C25" s="100"/>
      <c r="D25" s="24"/>
      <c r="E25" s="24"/>
    </row>
    <row r="26" spans="1:8" x14ac:dyDescent="0.3">
      <c r="A26" s="23" t="s">
        <v>26</v>
      </c>
      <c r="B26" s="64"/>
      <c r="C26" s="101">
        <f>D26</f>
        <v>23387466</v>
      </c>
      <c r="D26" s="24">
        <v>23387466</v>
      </c>
      <c r="E26" s="24">
        <v>23387466</v>
      </c>
    </row>
    <row r="27" spans="1:8" x14ac:dyDescent="0.3">
      <c r="A27" s="23" t="s">
        <v>41</v>
      </c>
      <c r="B27" s="64"/>
      <c r="C27" s="101">
        <f>-12475717</f>
        <v>-12475717</v>
      </c>
      <c r="D27" s="24">
        <f>-44733670</f>
        <v>-44733670</v>
      </c>
      <c r="E27" s="24">
        <v>-35264618</v>
      </c>
      <c r="F27" s="97"/>
    </row>
    <row r="28" spans="1:8" x14ac:dyDescent="0.3">
      <c r="A28" s="92" t="s">
        <v>17</v>
      </c>
      <c r="B28" s="98"/>
      <c r="C28" s="102">
        <f>SUM(C26:C27)</f>
        <v>10911749</v>
      </c>
      <c r="D28" s="99">
        <f>SUM(D24:D27)</f>
        <v>-21346204</v>
      </c>
      <c r="E28" s="99">
        <f>SUM(E26:E27)</f>
        <v>-11877152</v>
      </c>
    </row>
    <row r="29" spans="1:8" x14ac:dyDescent="0.3">
      <c r="A29" s="89"/>
      <c r="B29" s="103"/>
      <c r="C29" s="104">
        <f>SUM(C26:C27)</f>
        <v>10911749</v>
      </c>
      <c r="D29" s="25"/>
      <c r="E29" s="25"/>
    </row>
    <row r="30" spans="1:8" x14ac:dyDescent="0.3">
      <c r="A30" s="89" t="s">
        <v>18</v>
      </c>
      <c r="B30" s="64"/>
      <c r="C30" s="64"/>
      <c r="D30" s="24"/>
      <c r="E30" s="24"/>
    </row>
    <row r="31" spans="1:8" x14ac:dyDescent="0.3">
      <c r="A31" s="23" t="s">
        <v>42</v>
      </c>
      <c r="B31" s="64">
        <v>8</v>
      </c>
      <c r="C31" s="64"/>
      <c r="D31" s="24">
        <v>45173468</v>
      </c>
      <c r="E31" s="24">
        <v>37887368</v>
      </c>
      <c r="G31" s="97"/>
    </row>
    <row r="32" spans="1:8" x14ac:dyDescent="0.3">
      <c r="A32" s="23" t="s">
        <v>27</v>
      </c>
      <c r="B32" s="64">
        <v>7</v>
      </c>
      <c r="C32" s="64"/>
      <c r="D32" s="24">
        <v>7234049</v>
      </c>
      <c r="E32" s="24">
        <v>5021362</v>
      </c>
      <c r="F32" s="97"/>
    </row>
    <row r="33" spans="1:6" x14ac:dyDescent="0.3">
      <c r="A33" s="92"/>
      <c r="B33" s="93"/>
      <c r="C33" s="93"/>
      <c r="D33" s="94">
        <f>SUM(D30:D32)</f>
        <v>52407517</v>
      </c>
      <c r="E33" s="94">
        <f>SUM(E31:E32)</f>
        <v>42908730</v>
      </c>
    </row>
    <row r="34" spans="1:6" x14ac:dyDescent="0.3">
      <c r="A34" s="89" t="s">
        <v>19</v>
      </c>
      <c r="B34" s="64"/>
      <c r="C34" s="64"/>
      <c r="D34" s="24"/>
      <c r="E34" s="24"/>
    </row>
    <row r="35" spans="1:6" x14ac:dyDescent="0.3">
      <c r="A35" s="23" t="s">
        <v>43</v>
      </c>
      <c r="B35" s="64"/>
      <c r="C35" s="64"/>
      <c r="D35" s="24">
        <v>256780</v>
      </c>
      <c r="E35" s="24">
        <v>45456</v>
      </c>
    </row>
    <row r="36" spans="1:6" x14ac:dyDescent="0.3">
      <c r="A36" s="23" t="s">
        <v>44</v>
      </c>
      <c r="B36" s="64"/>
      <c r="C36" s="64"/>
      <c r="D36" s="24">
        <v>38617</v>
      </c>
      <c r="E36" s="24">
        <v>42129</v>
      </c>
    </row>
    <row r="37" spans="1:6" x14ac:dyDescent="0.3">
      <c r="A37" s="23" t="s">
        <v>45</v>
      </c>
      <c r="B37" s="64"/>
      <c r="C37" s="64"/>
      <c r="D37" s="24">
        <v>36703</v>
      </c>
      <c r="E37" s="24">
        <v>32245</v>
      </c>
    </row>
    <row r="38" spans="1:6" ht="19.5" customHeight="1" x14ac:dyDescent="0.3">
      <c r="A38" s="23" t="s">
        <v>28</v>
      </c>
      <c r="B38" s="64">
        <v>9</v>
      </c>
      <c r="C38" s="64"/>
      <c r="D38" s="24">
        <v>779032</v>
      </c>
      <c r="E38" s="24">
        <v>710807</v>
      </c>
    </row>
    <row r="39" spans="1:6" x14ac:dyDescent="0.3">
      <c r="A39" s="92"/>
      <c r="B39" s="93"/>
      <c r="C39" s="93"/>
      <c r="D39" s="94">
        <f>SUM(D35:D38)</f>
        <v>1111132</v>
      </c>
      <c r="E39" s="94">
        <f>SUM(E35:E38)</f>
        <v>830637</v>
      </c>
    </row>
    <row r="40" spans="1:6" x14ac:dyDescent="0.3">
      <c r="A40" s="92" t="s">
        <v>20</v>
      </c>
      <c r="B40" s="98"/>
      <c r="C40" s="98"/>
      <c r="D40" s="99">
        <f>D33+D39</f>
        <v>53518649</v>
      </c>
      <c r="E40" s="99">
        <f>E33+E39</f>
        <v>43739367</v>
      </c>
    </row>
    <row r="41" spans="1:6" x14ac:dyDescent="0.3">
      <c r="A41" s="92" t="s">
        <v>21</v>
      </c>
      <c r="B41" s="98"/>
      <c r="C41" s="98"/>
      <c r="D41" s="99">
        <f>D40+D28</f>
        <v>32172445</v>
      </c>
      <c r="E41" s="99">
        <f>E40+E28</f>
        <v>31862215</v>
      </c>
    </row>
    <row r="42" spans="1:6" ht="15" customHeight="1" x14ac:dyDescent="0.3">
      <c r="A42" s="26"/>
      <c r="B42" s="121"/>
      <c r="C42" s="105"/>
      <c r="D42" s="106"/>
      <c r="E42" s="106"/>
    </row>
    <row r="43" spans="1:6" x14ac:dyDescent="0.3">
      <c r="A43" s="107" t="s">
        <v>22</v>
      </c>
      <c r="B43" s="108"/>
      <c r="C43" s="108"/>
      <c r="D43" s="109">
        <v>23387466</v>
      </c>
      <c r="E43" s="109">
        <v>23387466</v>
      </c>
      <c r="F43" s="97">
        <f>E23-E41</f>
        <v>0</v>
      </c>
    </row>
    <row r="44" spans="1:6" x14ac:dyDescent="0.3">
      <c r="A44" s="110" t="s">
        <v>23</v>
      </c>
      <c r="B44" s="111"/>
      <c r="C44" s="111"/>
      <c r="D44" s="112">
        <v>-993</v>
      </c>
      <c r="E44" s="112">
        <v>-550</v>
      </c>
    </row>
    <row r="45" spans="1:6" x14ac:dyDescent="0.3">
      <c r="A45" s="26"/>
      <c r="B45" s="118"/>
      <c r="C45" s="82"/>
      <c r="D45" s="82"/>
      <c r="E45" s="82"/>
    </row>
    <row r="46" spans="1:6" x14ac:dyDescent="0.3">
      <c r="A46" s="26"/>
      <c r="B46" s="118"/>
      <c r="C46" s="82"/>
      <c r="D46" s="106">
        <f>D23-D41</f>
        <v>0</v>
      </c>
      <c r="E46" s="106">
        <f>E23-E41</f>
        <v>0</v>
      </c>
    </row>
    <row r="47" spans="1:6" x14ac:dyDescent="0.3">
      <c r="A47" s="26"/>
      <c r="B47" s="118"/>
      <c r="C47" s="82"/>
      <c r="D47" s="82"/>
      <c r="E47" s="82"/>
    </row>
    <row r="48" spans="1:6" x14ac:dyDescent="0.3">
      <c r="A48" s="26" t="s">
        <v>4</v>
      </c>
      <c r="B48" s="118"/>
      <c r="C48" s="82"/>
      <c r="D48" s="82"/>
      <c r="E48" s="82" t="s">
        <v>24</v>
      </c>
    </row>
    <row r="49" spans="1:5" x14ac:dyDescent="0.3">
      <c r="A49" s="26"/>
      <c r="B49" s="118"/>
      <c r="C49" s="82"/>
      <c r="D49" s="82"/>
      <c r="E49" s="82"/>
    </row>
    <row r="50" spans="1:5" x14ac:dyDescent="0.3">
      <c r="A50" s="26"/>
      <c r="B50" s="118"/>
      <c r="C50" s="82"/>
      <c r="D50" s="82"/>
      <c r="E50" s="82"/>
    </row>
    <row r="51" spans="1:5" ht="15.75" customHeight="1" x14ac:dyDescent="0.3">
      <c r="A51" s="26" t="s">
        <v>5</v>
      </c>
      <c r="B51" s="118"/>
      <c r="C51" s="82"/>
      <c r="D51" s="82"/>
      <c r="E51" s="82" t="s">
        <v>6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FFFF00"/>
    <pageSetUpPr fitToPage="1"/>
  </sheetPr>
  <dimension ref="A1:D28"/>
  <sheetViews>
    <sheetView workbookViewId="0">
      <selection activeCell="I19" sqref="I19"/>
    </sheetView>
  </sheetViews>
  <sheetFormatPr defaultRowHeight="14.4" x14ac:dyDescent="0.3"/>
  <cols>
    <col min="1" max="1" width="44.33203125" style="30" customWidth="1"/>
    <col min="2" max="2" width="8.88671875" style="30"/>
    <col min="3" max="3" width="15.5546875" style="30" customWidth="1"/>
    <col min="4" max="4" width="16" style="30" customWidth="1"/>
    <col min="5" max="16384" width="8.88671875" style="30"/>
  </cols>
  <sheetData>
    <row r="1" spans="1:4" x14ac:dyDescent="0.3">
      <c r="A1" s="55" t="s">
        <v>0</v>
      </c>
      <c r="B1" s="56"/>
      <c r="C1" s="56"/>
      <c r="D1" s="56"/>
    </row>
    <row r="2" spans="1:4" x14ac:dyDescent="0.3">
      <c r="A2" s="55" t="s">
        <v>46</v>
      </c>
      <c r="B2" s="56"/>
      <c r="C2" s="56"/>
      <c r="D2" s="56"/>
    </row>
    <row r="3" spans="1:4" x14ac:dyDescent="0.3">
      <c r="A3" s="57" t="s">
        <v>63</v>
      </c>
      <c r="B3" s="58"/>
      <c r="C3" s="58"/>
      <c r="D3" s="58"/>
    </row>
    <row r="4" spans="1:4" ht="15" thickBot="1" x14ac:dyDescent="0.35">
      <c r="A4" s="59"/>
      <c r="B4" s="29"/>
      <c r="C4" s="29"/>
      <c r="D4" s="29"/>
    </row>
    <row r="5" spans="1:4" x14ac:dyDescent="0.3">
      <c r="A5" s="60"/>
      <c r="B5" s="56"/>
      <c r="C5" s="56"/>
      <c r="D5" s="56"/>
    </row>
    <row r="6" spans="1:4" ht="27.6" x14ac:dyDescent="0.3">
      <c r="A6" s="22" t="s">
        <v>1</v>
      </c>
      <c r="B6" s="61" t="s">
        <v>2</v>
      </c>
      <c r="C6" s="62" t="s">
        <v>36</v>
      </c>
      <c r="D6" s="62" t="s">
        <v>38</v>
      </c>
    </row>
    <row r="7" spans="1:4" x14ac:dyDescent="0.3">
      <c r="A7" s="23" t="s">
        <v>47</v>
      </c>
      <c r="B7" s="64">
        <v>10</v>
      </c>
      <c r="C7" s="63">
        <v>-487213</v>
      </c>
      <c r="D7" s="63">
        <v>-821932</v>
      </c>
    </row>
    <row r="8" spans="1:4" x14ac:dyDescent="0.3">
      <c r="A8" s="23" t="s">
        <v>31</v>
      </c>
      <c r="B8" s="64">
        <v>11</v>
      </c>
      <c r="C8" s="63">
        <v>-1077132</v>
      </c>
      <c r="D8" s="63">
        <v>-26138</v>
      </c>
    </row>
    <row r="9" spans="1:4" x14ac:dyDescent="0.3">
      <c r="A9" s="23" t="s">
        <v>48</v>
      </c>
      <c r="B9" s="65"/>
      <c r="C9" s="63">
        <v>-554</v>
      </c>
      <c r="D9" s="63">
        <v>829</v>
      </c>
    </row>
    <row r="10" spans="1:4" x14ac:dyDescent="0.3">
      <c r="A10" s="35" t="s">
        <v>3</v>
      </c>
      <c r="B10" s="45"/>
      <c r="C10" s="63">
        <f>C7+C8+C9</f>
        <v>-1564899</v>
      </c>
      <c r="D10" s="63">
        <f>D7+D8+D9</f>
        <v>-847241</v>
      </c>
    </row>
    <row r="11" spans="1:4" x14ac:dyDescent="0.3">
      <c r="A11" s="23" t="s">
        <v>49</v>
      </c>
      <c r="B11" s="45"/>
      <c r="C11" s="63">
        <v>-3332116</v>
      </c>
      <c r="D11" s="63">
        <f>-4688549</f>
        <v>-4688549</v>
      </c>
    </row>
    <row r="12" spans="1:4" x14ac:dyDescent="0.3">
      <c r="A12" s="22" t="s">
        <v>50</v>
      </c>
      <c r="B12" s="43"/>
      <c r="C12" s="66">
        <v>-5722521</v>
      </c>
      <c r="D12" s="67">
        <f>563665</f>
        <v>563665</v>
      </c>
    </row>
    <row r="13" spans="1:4" x14ac:dyDescent="0.3">
      <c r="A13" s="68" t="s">
        <v>51</v>
      </c>
      <c r="B13" s="69"/>
      <c r="C13" s="70">
        <f>SUM(C10:C12)</f>
        <v>-10619536</v>
      </c>
      <c r="D13" s="70">
        <f>SUM(D10:D12)</f>
        <v>-4972125</v>
      </c>
    </row>
    <row r="14" spans="1:4" x14ac:dyDescent="0.3">
      <c r="A14" s="23" t="s">
        <v>30</v>
      </c>
      <c r="B14" s="65"/>
      <c r="C14" s="63">
        <v>164665</v>
      </c>
      <c r="D14" s="63">
        <v>707429</v>
      </c>
    </row>
    <row r="15" spans="1:4" x14ac:dyDescent="0.3">
      <c r="A15" s="31" t="s">
        <v>52</v>
      </c>
      <c r="B15" s="71"/>
      <c r="C15" s="72">
        <f>C13+C14</f>
        <v>-10454871</v>
      </c>
      <c r="D15" s="72">
        <f>D13+D14</f>
        <v>-4264696</v>
      </c>
    </row>
    <row r="16" spans="1:4" x14ac:dyDescent="0.3">
      <c r="A16" s="73" t="s">
        <v>53</v>
      </c>
      <c r="B16" s="65"/>
      <c r="C16" s="63">
        <v>0</v>
      </c>
      <c r="D16" s="63">
        <v>0</v>
      </c>
    </row>
    <row r="17" spans="1:4" x14ac:dyDescent="0.3">
      <c r="A17" s="31" t="s">
        <v>54</v>
      </c>
      <c r="B17" s="71"/>
      <c r="C17" s="74">
        <f>C15</f>
        <v>-10454871</v>
      </c>
      <c r="D17" s="74">
        <f>D15</f>
        <v>-4264696</v>
      </c>
    </row>
    <row r="18" spans="1:4" x14ac:dyDescent="0.3">
      <c r="A18" s="75"/>
      <c r="B18" s="56"/>
      <c r="C18" s="76"/>
      <c r="D18" s="76"/>
    </row>
    <row r="19" spans="1:4" x14ac:dyDescent="0.3">
      <c r="A19" s="77" t="s">
        <v>55</v>
      </c>
      <c r="B19" s="78"/>
      <c r="C19" s="79">
        <f>-447</f>
        <v>-447</v>
      </c>
      <c r="D19" s="79">
        <f>-182</f>
        <v>-182</v>
      </c>
    </row>
    <row r="20" spans="1:4" x14ac:dyDescent="0.3">
      <c r="A20" s="75"/>
      <c r="B20" s="56"/>
      <c r="C20" s="56"/>
      <c r="D20" s="56"/>
    </row>
    <row r="21" spans="1:4" x14ac:dyDescent="0.3">
      <c r="A21" s="80"/>
      <c r="B21" s="56"/>
      <c r="C21" s="56"/>
      <c r="D21" s="56"/>
    </row>
    <row r="22" spans="1:4" ht="11.25" customHeight="1" x14ac:dyDescent="0.3">
      <c r="A22" s="80"/>
      <c r="B22" s="56"/>
      <c r="C22" s="81"/>
      <c r="D22" s="81"/>
    </row>
    <row r="23" spans="1:4" ht="12.75" customHeight="1" x14ac:dyDescent="0.3">
      <c r="A23" s="80"/>
      <c r="B23" s="56"/>
      <c r="C23" s="56"/>
      <c r="D23" s="56"/>
    </row>
    <row r="24" spans="1:4" x14ac:dyDescent="0.3">
      <c r="A24" s="75"/>
      <c r="B24" s="56"/>
      <c r="C24" s="56"/>
      <c r="D24" s="56"/>
    </row>
    <row r="25" spans="1:4" ht="20.25" customHeight="1" x14ac:dyDescent="0.3">
      <c r="A25" s="75" t="s">
        <v>4</v>
      </c>
      <c r="B25" s="56"/>
      <c r="C25" s="56"/>
      <c r="D25" s="56" t="s">
        <v>24</v>
      </c>
    </row>
    <row r="26" spans="1:4" x14ac:dyDescent="0.3">
      <c r="A26" s="75"/>
      <c r="B26" s="56"/>
      <c r="C26" s="56"/>
      <c r="D26" s="56"/>
    </row>
    <row r="27" spans="1:4" ht="10.5" customHeight="1" x14ac:dyDescent="0.3">
      <c r="A27" s="75"/>
      <c r="B27" s="56"/>
      <c r="C27" s="56"/>
      <c r="D27" s="56"/>
    </row>
    <row r="28" spans="1:4" ht="20.25" customHeight="1" x14ac:dyDescent="0.3">
      <c r="A28" s="75" t="s">
        <v>5</v>
      </c>
      <c r="B28" s="56"/>
      <c r="C28" s="56"/>
      <c r="D28" s="56" t="s">
        <v>6</v>
      </c>
    </row>
  </sheetData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G43"/>
  <sheetViews>
    <sheetView topLeftCell="A28" workbookViewId="0">
      <selection activeCell="J47" sqref="J47"/>
    </sheetView>
  </sheetViews>
  <sheetFormatPr defaultRowHeight="14.4" x14ac:dyDescent="0.3"/>
  <cols>
    <col min="1" max="1" width="44" style="30" customWidth="1"/>
    <col min="2" max="2" width="8.88671875" style="30"/>
    <col min="3" max="3" width="16.44140625" style="50" customWidth="1"/>
    <col min="4" max="4" width="15.88671875" style="50" customWidth="1"/>
    <col min="5" max="16384" width="8.88671875" style="30"/>
  </cols>
  <sheetData>
    <row r="1" spans="1:5" x14ac:dyDescent="0.3">
      <c r="A1" s="28" t="s">
        <v>0</v>
      </c>
      <c r="B1" s="26"/>
      <c r="C1" s="27"/>
      <c r="D1" s="27"/>
    </row>
    <row r="2" spans="1:5" x14ac:dyDescent="0.3">
      <c r="A2" s="28" t="s">
        <v>62</v>
      </c>
      <c r="B2" s="26"/>
      <c r="C2" s="27"/>
      <c r="D2" s="27"/>
    </row>
    <row r="3" spans="1:5" x14ac:dyDescent="0.3">
      <c r="A3" s="39" t="s">
        <v>63</v>
      </c>
      <c r="B3" s="40"/>
      <c r="C3" s="40"/>
      <c r="D3" s="40"/>
    </row>
    <row r="4" spans="1:5" ht="9" customHeight="1" thickBot="1" x14ac:dyDescent="0.35">
      <c r="A4" s="41"/>
      <c r="B4" s="29"/>
      <c r="C4" s="42"/>
      <c r="D4" s="42"/>
    </row>
    <row r="5" spans="1:5" ht="24.75" customHeight="1" x14ac:dyDescent="0.3">
      <c r="A5" s="22" t="s">
        <v>1</v>
      </c>
      <c r="B5" s="43" t="s">
        <v>2</v>
      </c>
      <c r="C5" s="44" t="s">
        <v>36</v>
      </c>
      <c r="D5" s="44" t="s">
        <v>38</v>
      </c>
    </row>
    <row r="6" spans="1:5" x14ac:dyDescent="0.3">
      <c r="A6" s="115" t="s">
        <v>69</v>
      </c>
      <c r="B6" s="45"/>
      <c r="C6" s="25"/>
      <c r="D6" s="25"/>
    </row>
    <row r="7" spans="1:5" x14ac:dyDescent="0.3">
      <c r="A7" s="23" t="s">
        <v>51</v>
      </c>
      <c r="B7" s="45"/>
      <c r="C7" s="24">
        <f>-10619536</f>
        <v>-10619536</v>
      </c>
      <c r="D7" s="24">
        <f>-4972125</f>
        <v>-4972125</v>
      </c>
      <c r="E7" s="46"/>
    </row>
    <row r="8" spans="1:5" x14ac:dyDescent="0.3">
      <c r="A8" s="47" t="s">
        <v>64</v>
      </c>
      <c r="B8" s="45"/>
      <c r="C8" s="24"/>
      <c r="D8" s="24"/>
      <c r="E8" s="46"/>
    </row>
    <row r="9" spans="1:5" x14ac:dyDescent="0.3">
      <c r="A9" s="23" t="s">
        <v>65</v>
      </c>
      <c r="B9" s="45"/>
      <c r="C9" s="24">
        <v>3332116</v>
      </c>
      <c r="D9" s="24">
        <v>4688549</v>
      </c>
      <c r="E9" s="46"/>
    </row>
    <row r="10" spans="1:5" x14ac:dyDescent="0.3">
      <c r="A10" s="23" t="s">
        <v>66</v>
      </c>
      <c r="B10" s="45"/>
      <c r="C10" s="24">
        <v>9855</v>
      </c>
      <c r="D10" s="24">
        <v>10459</v>
      </c>
      <c r="E10" s="46"/>
    </row>
    <row r="11" spans="1:5" x14ac:dyDescent="0.3">
      <c r="A11" s="23" t="s">
        <v>31</v>
      </c>
      <c r="B11" s="45"/>
      <c r="C11" s="24">
        <v>1077132</v>
      </c>
      <c r="D11" s="24">
        <v>26138</v>
      </c>
      <c r="E11" s="46"/>
    </row>
    <row r="12" spans="1:5" x14ac:dyDescent="0.3">
      <c r="A12" s="23" t="s">
        <v>67</v>
      </c>
      <c r="B12" s="45"/>
      <c r="C12" s="24">
        <v>368</v>
      </c>
      <c r="D12" s="24">
        <v>8</v>
      </c>
      <c r="E12" s="46"/>
    </row>
    <row r="13" spans="1:5" x14ac:dyDescent="0.3">
      <c r="A13" s="23" t="s">
        <v>68</v>
      </c>
      <c r="B13" s="45"/>
      <c r="C13" s="51">
        <v>5722710</v>
      </c>
      <c r="D13" s="51">
        <f>-558614</f>
        <v>-558614</v>
      </c>
      <c r="E13" s="46"/>
    </row>
    <row r="14" spans="1:5" ht="27.6" x14ac:dyDescent="0.3">
      <c r="A14" s="100" t="s">
        <v>70</v>
      </c>
      <c r="B14" s="45"/>
      <c r="C14" s="24">
        <f>-477355</f>
        <v>-477355</v>
      </c>
      <c r="D14" s="24">
        <f>-805585</f>
        <v>-805585</v>
      </c>
      <c r="E14" s="46"/>
    </row>
    <row r="15" spans="1:5" x14ac:dyDescent="0.3">
      <c r="A15" s="23" t="s">
        <v>71</v>
      </c>
      <c r="B15" s="45"/>
      <c r="C15" s="24">
        <f>-16099</f>
        <v>-16099</v>
      </c>
      <c r="D15" s="24">
        <f>-2524</f>
        <v>-2524</v>
      </c>
      <c r="E15" s="46"/>
    </row>
    <row r="16" spans="1:5" ht="27.6" x14ac:dyDescent="0.3">
      <c r="A16" s="23" t="s">
        <v>72</v>
      </c>
      <c r="B16" s="45"/>
      <c r="C16" s="24">
        <f>-50017</f>
        <v>-50017</v>
      </c>
      <c r="D16" s="24">
        <f>9359</f>
        <v>9359</v>
      </c>
      <c r="E16" s="46"/>
    </row>
    <row r="17" spans="1:7" x14ac:dyDescent="0.3">
      <c r="A17" s="23" t="s">
        <v>73</v>
      </c>
      <c r="B17" s="45"/>
      <c r="C17" s="24">
        <f>-7394</f>
        <v>-7394</v>
      </c>
      <c r="D17" s="24">
        <f>-1755</f>
        <v>-1755</v>
      </c>
      <c r="E17" s="46"/>
    </row>
    <row r="18" spans="1:7" x14ac:dyDescent="0.3">
      <c r="A18" s="23" t="s">
        <v>74</v>
      </c>
      <c r="B18" s="45"/>
      <c r="C18" s="24">
        <v>47</v>
      </c>
      <c r="D18" s="24">
        <v>79954</v>
      </c>
      <c r="E18" s="46"/>
    </row>
    <row r="19" spans="1:7" x14ac:dyDescent="0.3">
      <c r="A19" s="23" t="s">
        <v>75</v>
      </c>
      <c r="B19" s="45"/>
      <c r="C19" s="24">
        <f>-3512</f>
        <v>-3512</v>
      </c>
      <c r="D19" s="24">
        <f>-13689</f>
        <v>-13689</v>
      </c>
      <c r="E19" s="46"/>
    </row>
    <row r="20" spans="1:7" ht="27.6" x14ac:dyDescent="0.3">
      <c r="A20" s="23" t="s">
        <v>76</v>
      </c>
      <c r="B20" s="45"/>
      <c r="C20" s="51">
        <f>68225</f>
        <v>68225</v>
      </c>
      <c r="D20" s="51">
        <f>-18386</f>
        <v>-18386</v>
      </c>
      <c r="E20" s="46"/>
    </row>
    <row r="21" spans="1:7" ht="27.6" x14ac:dyDescent="0.3">
      <c r="A21" s="23" t="s">
        <v>77</v>
      </c>
      <c r="B21" s="45"/>
      <c r="C21" s="24">
        <f>-486105</f>
        <v>-486105</v>
      </c>
      <c r="D21" s="24">
        <f>-752626</f>
        <v>-752626</v>
      </c>
      <c r="E21" s="46"/>
      <c r="G21" s="114"/>
    </row>
    <row r="22" spans="1:7" x14ac:dyDescent="0.3">
      <c r="A22" s="23" t="s">
        <v>78</v>
      </c>
      <c r="B22" s="45"/>
      <c r="C22" s="24">
        <v>75</v>
      </c>
      <c r="D22" s="24">
        <v>222</v>
      </c>
      <c r="E22" s="46"/>
    </row>
    <row r="23" spans="1:7" x14ac:dyDescent="0.3">
      <c r="A23" s="23" t="s">
        <v>79</v>
      </c>
      <c r="B23" s="45"/>
      <c r="C23" s="24">
        <f>-13</f>
        <v>-13</v>
      </c>
      <c r="D23" s="24" t="s">
        <v>80</v>
      </c>
      <c r="E23" s="46"/>
    </row>
    <row r="24" spans="1:7" ht="27.6" x14ac:dyDescent="0.3">
      <c r="A24" s="100" t="s">
        <v>85</v>
      </c>
      <c r="B24" s="45"/>
      <c r="C24" s="51">
        <f>-486043</f>
        <v>-486043</v>
      </c>
      <c r="D24" s="51">
        <f>-752404</f>
        <v>-752404</v>
      </c>
      <c r="E24" s="46"/>
    </row>
    <row r="25" spans="1:7" x14ac:dyDescent="0.3">
      <c r="A25" s="89" t="s">
        <v>81</v>
      </c>
      <c r="B25" s="45"/>
      <c r="C25" s="24"/>
      <c r="D25" s="24"/>
      <c r="E25" s="46"/>
    </row>
    <row r="26" spans="1:7" x14ac:dyDescent="0.3">
      <c r="A26" s="23" t="s">
        <v>82</v>
      </c>
      <c r="B26" s="45"/>
      <c r="C26" s="24">
        <f>-5959</f>
        <v>-5959</v>
      </c>
      <c r="D26" s="24">
        <f>-969</f>
        <v>-969</v>
      </c>
      <c r="E26" s="46"/>
    </row>
    <row r="27" spans="1:7" x14ac:dyDescent="0.3">
      <c r="A27" s="23" t="s">
        <v>83</v>
      </c>
      <c r="B27" s="45"/>
      <c r="C27" s="24">
        <f>-760294</f>
        <v>-760294</v>
      </c>
      <c r="D27" s="24">
        <f>-534042</f>
        <v>-534042</v>
      </c>
      <c r="E27" s="46"/>
    </row>
    <row r="28" spans="1:7" x14ac:dyDescent="0.3">
      <c r="A28" s="23" t="s">
        <v>84</v>
      </c>
      <c r="B28" s="45"/>
      <c r="C28" s="24">
        <v>400903</v>
      </c>
      <c r="D28" s="24">
        <v>133990</v>
      </c>
      <c r="E28" s="46"/>
    </row>
    <row r="29" spans="1:7" ht="27.6" x14ac:dyDescent="0.3">
      <c r="A29" s="23" t="s">
        <v>86</v>
      </c>
      <c r="B29" s="45"/>
      <c r="C29" s="51">
        <f>-365350</f>
        <v>-365350</v>
      </c>
      <c r="D29" s="51">
        <f>-401021</f>
        <v>-401021</v>
      </c>
      <c r="E29" s="46"/>
    </row>
    <row r="30" spans="1:7" x14ac:dyDescent="0.3">
      <c r="A30" s="115" t="s">
        <v>87</v>
      </c>
      <c r="B30" s="45"/>
      <c r="C30" s="24"/>
      <c r="D30" s="24"/>
      <c r="E30" s="46"/>
    </row>
    <row r="31" spans="1:7" x14ac:dyDescent="0.3">
      <c r="A31" s="23" t="s">
        <v>88</v>
      </c>
      <c r="B31" s="45"/>
      <c r="C31" s="24">
        <v>1134250</v>
      </c>
      <c r="D31" s="24">
        <v>1129751</v>
      </c>
      <c r="E31" s="46"/>
    </row>
    <row r="32" spans="1:7" x14ac:dyDescent="0.3">
      <c r="A32" s="23" t="s">
        <v>89</v>
      </c>
      <c r="B32" s="45"/>
      <c r="C32" s="24">
        <f>-276300</f>
        <v>-276300</v>
      </c>
      <c r="D32" s="24" t="s">
        <v>80</v>
      </c>
      <c r="E32" s="46"/>
    </row>
    <row r="33" spans="1:5" ht="28.2" customHeight="1" x14ac:dyDescent="0.3">
      <c r="A33" s="100" t="s">
        <v>90</v>
      </c>
      <c r="B33" s="45"/>
      <c r="C33" s="51">
        <v>857950</v>
      </c>
      <c r="D33" s="51">
        <v>1129751</v>
      </c>
      <c r="E33" s="46"/>
    </row>
    <row r="34" spans="1:5" x14ac:dyDescent="0.3">
      <c r="A34" s="23" t="s">
        <v>91</v>
      </c>
      <c r="B34" s="45"/>
      <c r="C34" s="24">
        <v>6557</v>
      </c>
      <c r="D34" s="24">
        <f>-23674</f>
        <v>-23674</v>
      </c>
      <c r="E34" s="46"/>
    </row>
    <row r="35" spans="1:5" ht="27.6" x14ac:dyDescent="0.3">
      <c r="A35" s="23" t="s">
        <v>92</v>
      </c>
      <c r="B35" s="45"/>
      <c r="C35" s="24">
        <v>603</v>
      </c>
      <c r="D35" s="24">
        <f>-775</f>
        <v>-775</v>
      </c>
      <c r="E35" s="46"/>
    </row>
    <row r="36" spans="1:5" ht="25.8" customHeight="1" x14ac:dyDescent="0.3">
      <c r="A36" s="23" t="s">
        <v>93</v>
      </c>
      <c r="B36" s="45"/>
      <c r="C36" s="63">
        <v>25478</v>
      </c>
      <c r="D36" s="63">
        <v>49927</v>
      </c>
      <c r="E36" s="46"/>
    </row>
    <row r="37" spans="1:5" ht="25.8" customHeight="1" x14ac:dyDescent="0.3">
      <c r="A37" s="100" t="s">
        <v>94</v>
      </c>
      <c r="B37" s="45"/>
      <c r="C37" s="116">
        <v>32638</v>
      </c>
      <c r="D37" s="116">
        <v>25478</v>
      </c>
      <c r="E37" s="46"/>
    </row>
    <row r="38" spans="1:5" ht="21" customHeight="1" x14ac:dyDescent="0.3">
      <c r="A38" s="100"/>
      <c r="B38" s="45"/>
      <c r="C38" s="117"/>
      <c r="D38" s="117"/>
      <c r="E38" s="46"/>
    </row>
    <row r="39" spans="1:5" x14ac:dyDescent="0.3">
      <c r="A39" s="27"/>
      <c r="B39" s="48"/>
      <c r="C39" s="24"/>
      <c r="D39" s="24"/>
    </row>
    <row r="40" spans="1:5" x14ac:dyDescent="0.3">
      <c r="A40" s="49" t="s">
        <v>4</v>
      </c>
      <c r="B40" s="26"/>
      <c r="C40" s="26"/>
      <c r="D40" s="26" t="s">
        <v>24</v>
      </c>
    </row>
    <row r="41" spans="1:5" ht="9.75" customHeight="1" x14ac:dyDescent="0.3">
      <c r="A41" s="49"/>
      <c r="B41" s="26"/>
      <c r="C41" s="26"/>
      <c r="D41" s="26"/>
    </row>
    <row r="42" spans="1:5" ht="10.5" customHeight="1" x14ac:dyDescent="0.3">
      <c r="A42" s="49"/>
      <c r="B42" s="26"/>
      <c r="C42" s="26"/>
      <c r="D42" s="26"/>
    </row>
    <row r="43" spans="1:5" x14ac:dyDescent="0.3">
      <c r="A43" s="49" t="s">
        <v>5</v>
      </c>
      <c r="B43" s="26"/>
      <c r="C43" s="26"/>
      <c r="D43" s="26" t="s">
        <v>6</v>
      </c>
    </row>
  </sheetData>
  <pageMargins left="0.31496062992125984" right="0.51181102362204722" top="0.74803149606299213" bottom="0.74803149606299213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tabColor rgb="FFFFFF00"/>
  </sheetPr>
  <dimension ref="B1:I24"/>
  <sheetViews>
    <sheetView showGridLines="0" tabSelected="1" workbookViewId="0">
      <selection activeCell="I27" sqref="I27"/>
    </sheetView>
  </sheetViews>
  <sheetFormatPr defaultColWidth="8.88671875" defaultRowHeight="13.8" x14ac:dyDescent="0.3"/>
  <cols>
    <col min="1" max="1" width="2.33203125" style="9" customWidth="1"/>
    <col min="2" max="2" width="43.109375" style="9" customWidth="1"/>
    <col min="3" max="3" width="6.33203125" style="9" customWidth="1"/>
    <col min="4" max="4" width="13.109375" style="9" customWidth="1"/>
    <col min="5" max="5" width="12.88671875" style="9" customWidth="1"/>
    <col min="6" max="6" width="12.44140625" style="9" customWidth="1"/>
    <col min="7" max="7" width="9.21875" style="9" bestFit="1" customWidth="1"/>
    <col min="8" max="8" width="12.6640625" style="9" bestFit="1" customWidth="1"/>
    <col min="9" max="9" width="11.77734375" style="9" bestFit="1" customWidth="1"/>
    <col min="10" max="16384" width="8.88671875" style="9"/>
  </cols>
  <sheetData>
    <row r="1" spans="2:7" x14ac:dyDescent="0.3">
      <c r="B1" s="10" t="s">
        <v>0</v>
      </c>
      <c r="C1" s="10"/>
      <c r="D1" s="10"/>
      <c r="E1" s="10"/>
      <c r="F1" s="10"/>
    </row>
    <row r="2" spans="2:7" x14ac:dyDescent="0.3">
      <c r="B2" s="10" t="s">
        <v>56</v>
      </c>
      <c r="C2" s="10"/>
      <c r="D2" s="10"/>
      <c r="E2" s="10"/>
      <c r="F2" s="10"/>
    </row>
    <row r="3" spans="2:7" x14ac:dyDescent="0.3">
      <c r="B3" s="2" t="s">
        <v>63</v>
      </c>
      <c r="C3" s="11"/>
      <c r="D3" s="11"/>
      <c r="E3" s="3"/>
      <c r="F3" s="3"/>
    </row>
    <row r="4" spans="2:7" ht="11.25" customHeight="1" thickBot="1" x14ac:dyDescent="0.35">
      <c r="B4" s="12"/>
      <c r="C4" s="4"/>
      <c r="D4" s="4"/>
      <c r="E4" s="4"/>
      <c r="F4" s="4"/>
    </row>
    <row r="5" spans="2:7" x14ac:dyDescent="0.3">
      <c r="B5" s="13"/>
      <c r="C5" s="13"/>
      <c r="D5" s="13"/>
      <c r="E5" s="13"/>
      <c r="F5" s="13"/>
    </row>
    <row r="6" spans="2:7" ht="44.25" customHeight="1" x14ac:dyDescent="0.3">
      <c r="B6" s="5" t="s">
        <v>1</v>
      </c>
      <c r="C6" s="6" t="s">
        <v>2</v>
      </c>
      <c r="D6" s="6" t="s">
        <v>26</v>
      </c>
      <c r="E6" s="6" t="s">
        <v>41</v>
      </c>
      <c r="F6" s="6" t="s">
        <v>57</v>
      </c>
    </row>
    <row r="7" spans="2:7" s="34" customFormat="1" ht="18" customHeight="1" x14ac:dyDescent="0.3">
      <c r="B7" s="31" t="s">
        <v>58</v>
      </c>
      <c r="C7" s="31"/>
      <c r="D7" s="32">
        <f>23387466</f>
        <v>23387466</v>
      </c>
      <c r="E7" s="32">
        <f>-36368448</f>
        <v>-36368448</v>
      </c>
      <c r="F7" s="32">
        <f>D7+E7</f>
        <v>-12980982</v>
      </c>
      <c r="G7" s="33"/>
    </row>
    <row r="8" spans="2:7" s="34" customFormat="1" ht="18" customHeight="1" x14ac:dyDescent="0.3">
      <c r="B8" s="73" t="s">
        <v>59</v>
      </c>
      <c r="C8" s="35"/>
      <c r="D8" s="113"/>
      <c r="E8" s="113">
        <f>-4264696</f>
        <v>-4264696</v>
      </c>
      <c r="F8" s="32">
        <f>D8+E8</f>
        <v>-4264696</v>
      </c>
      <c r="G8" s="33"/>
    </row>
    <row r="9" spans="2:7" s="34" customFormat="1" ht="17.399999999999999" customHeight="1" x14ac:dyDescent="0.3">
      <c r="B9" s="23" t="s">
        <v>60</v>
      </c>
      <c r="C9" s="23"/>
      <c r="D9" s="36">
        <v>0</v>
      </c>
      <c r="E9" s="113">
        <f>-4264696</f>
        <v>-4264696</v>
      </c>
      <c r="F9" s="36">
        <f>SUM(D9:E9)</f>
        <v>-4264696</v>
      </c>
      <c r="G9" s="33"/>
    </row>
    <row r="10" spans="2:7" s="34" customFormat="1" ht="36.6" customHeight="1" x14ac:dyDescent="0.3">
      <c r="B10" s="23" t="s">
        <v>61</v>
      </c>
      <c r="C10" s="23"/>
      <c r="D10" s="37">
        <v>0</v>
      </c>
      <c r="E10" s="36">
        <v>5368526</v>
      </c>
      <c r="F10" s="36">
        <v>5368526</v>
      </c>
      <c r="G10" s="33"/>
    </row>
    <row r="11" spans="2:7" s="34" customFormat="1" ht="18" customHeight="1" x14ac:dyDescent="0.3">
      <c r="B11" s="23"/>
      <c r="C11" s="23"/>
      <c r="D11" s="36"/>
      <c r="E11" s="36"/>
      <c r="F11" s="36"/>
      <c r="G11" s="33"/>
    </row>
    <row r="12" spans="2:7" s="34" customFormat="1" ht="18" customHeight="1" x14ac:dyDescent="0.3">
      <c r="B12" s="31" t="s">
        <v>32</v>
      </c>
      <c r="C12" s="31"/>
      <c r="D12" s="32">
        <v>23387466</v>
      </c>
      <c r="E12" s="32">
        <f>E7+E9+E10</f>
        <v>-35264618</v>
      </c>
      <c r="F12" s="32">
        <f>F7+F9+F10</f>
        <v>-11877152</v>
      </c>
      <c r="G12" s="33"/>
    </row>
    <row r="13" spans="2:7" s="34" customFormat="1" ht="19.5" customHeight="1" x14ac:dyDescent="0.3">
      <c r="B13" s="73" t="s">
        <v>59</v>
      </c>
      <c r="C13" s="35"/>
      <c r="D13" s="36"/>
      <c r="E13" s="36">
        <f>-10454871</f>
        <v>-10454871</v>
      </c>
      <c r="F13" s="36">
        <f>-10454871</f>
        <v>-10454871</v>
      </c>
      <c r="G13" s="33"/>
    </row>
    <row r="14" spans="2:7" s="34" customFormat="1" ht="19.5" customHeight="1" x14ac:dyDescent="0.3">
      <c r="B14" s="35" t="s">
        <v>60</v>
      </c>
      <c r="C14" s="35"/>
      <c r="D14" s="36"/>
      <c r="E14" s="36">
        <f>E13</f>
        <v>-10454871</v>
      </c>
      <c r="F14" s="36">
        <f>F13</f>
        <v>-10454871</v>
      </c>
      <c r="G14" s="33"/>
    </row>
    <row r="15" spans="2:7" s="14" customFormat="1" ht="30" customHeight="1" x14ac:dyDescent="0.3">
      <c r="B15" s="23" t="s">
        <v>61</v>
      </c>
      <c r="C15" s="23"/>
      <c r="D15" s="37"/>
      <c r="E15" s="36">
        <f>985819</f>
        <v>985819</v>
      </c>
      <c r="F15" s="36">
        <f>985819</f>
        <v>985819</v>
      </c>
      <c r="G15" s="16"/>
    </row>
    <row r="16" spans="2:7" s="14" customFormat="1" x14ac:dyDescent="0.3">
      <c r="B16" s="23"/>
      <c r="C16" s="23"/>
      <c r="D16" s="36"/>
      <c r="E16" s="36"/>
      <c r="F16" s="36"/>
      <c r="G16" s="16"/>
    </row>
    <row r="17" spans="2:9" s="14" customFormat="1" ht="18" customHeight="1" x14ac:dyDescent="0.3">
      <c r="B17" s="31" t="s">
        <v>35</v>
      </c>
      <c r="C17" s="31"/>
      <c r="D17" s="38">
        <f>D7</f>
        <v>23387466</v>
      </c>
      <c r="E17" s="38">
        <f>E12+E14+E15</f>
        <v>-44733670</v>
      </c>
      <c r="F17" s="38">
        <f>F12+F14+F15</f>
        <v>-21346204</v>
      </c>
      <c r="G17" s="16"/>
      <c r="H17" s="52"/>
      <c r="I17" s="52"/>
    </row>
    <row r="18" spans="2:9" s="14" customFormat="1" x14ac:dyDescent="0.3">
      <c r="B18" s="7"/>
      <c r="C18" s="7"/>
      <c r="D18" s="17"/>
      <c r="E18" s="17"/>
      <c r="F18" s="17"/>
      <c r="G18" s="15"/>
      <c r="H18" s="15"/>
    </row>
    <row r="19" spans="2:9" s="14" customFormat="1" x14ac:dyDescent="0.3">
      <c r="B19" s="7"/>
      <c r="C19" s="7"/>
      <c r="D19" s="17"/>
      <c r="E19" s="17"/>
      <c r="F19" s="17"/>
    </row>
    <row r="20" spans="2:9" s="14" customFormat="1" ht="15.75" customHeight="1" x14ac:dyDescent="0.3">
      <c r="B20" s="19" t="s">
        <v>4</v>
      </c>
      <c r="C20" s="8"/>
      <c r="D20" s="18"/>
      <c r="E20" s="1"/>
      <c r="F20" s="1" t="s">
        <v>24</v>
      </c>
    </row>
    <row r="21" spans="2:9" s="14" customFormat="1" x14ac:dyDescent="0.3">
      <c r="B21" s="19"/>
      <c r="C21" s="8"/>
      <c r="D21" s="1"/>
      <c r="E21" s="17"/>
      <c r="F21" s="1"/>
    </row>
    <row r="22" spans="2:9" s="14" customFormat="1" x14ac:dyDescent="0.3">
      <c r="B22" s="19"/>
      <c r="C22" s="8"/>
      <c r="D22" s="1"/>
      <c r="E22" s="17"/>
      <c r="F22" s="1"/>
    </row>
    <row r="23" spans="2:9" s="14" customFormat="1" ht="18" customHeight="1" x14ac:dyDescent="0.3">
      <c r="B23" s="19" t="s">
        <v>5</v>
      </c>
      <c r="C23" s="8"/>
      <c r="D23" s="1"/>
      <c r="E23" s="1"/>
      <c r="F23" s="1" t="s">
        <v>6</v>
      </c>
    </row>
    <row r="24" spans="2:9" s="14" customFormat="1" x14ac:dyDescent="0.3">
      <c r="B24" s="20"/>
      <c r="C24" s="7"/>
    </row>
  </sheetData>
  <pageMargins left="0" right="0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 о финансовом положении</vt:lpstr>
      <vt:lpstr>Отч о совокупном доходе</vt:lpstr>
      <vt:lpstr>Отч о движении денег</vt:lpstr>
      <vt:lpstr>Отч об изм в капитале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Viktoriya Koshkarova</dc:creator>
  <cp:lastModifiedBy>Viktoriya Kashkarova</cp:lastModifiedBy>
  <cp:lastPrinted>2025-05-27T12:06:13Z</cp:lastPrinted>
  <dcterms:created xsi:type="dcterms:W3CDTF">2020-11-13T09:40:50Z</dcterms:created>
  <dcterms:modified xsi:type="dcterms:W3CDTF">2025-08-05T05:17:40Z</dcterms:modified>
</cp:coreProperties>
</file>