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2023 Касе\9 мес\"/>
    </mc:Choice>
  </mc:AlternateContent>
  <bookViews>
    <workbookView xWindow="0" yWindow="0" windowWidth="28800" windowHeight="12432" activeTab="3"/>
  </bookViews>
  <sheets>
    <sheet name="Отч о финансовом положении" sheetId="2" r:id="rId1"/>
    <sheet name="Отч о движении денег" sheetId="6" r:id="rId2"/>
    <sheet name="Отч о совокупном доходе" sheetId="1" r:id="rId3"/>
    <sheet name="Отч об изм в капитале" sheetId="3" r:id="rId4"/>
  </sheets>
  <externalReferences>
    <externalReference r:id="rId5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4" i="1"/>
  <c r="C31" i="2" l="1"/>
  <c r="C11" i="1" l="1"/>
  <c r="C13" i="1"/>
  <c r="F42" i="3"/>
  <c r="C26" i="2"/>
  <c r="F26" i="2" s="1"/>
  <c r="C25" i="2"/>
  <c r="C27" i="2" s="1"/>
  <c r="F29" i="2"/>
  <c r="D14" i="1" l="1"/>
  <c r="D16" i="1"/>
  <c r="D18" i="1" s="1"/>
  <c r="D13" i="1"/>
  <c r="D11" i="1"/>
  <c r="C23" i="6"/>
  <c r="C34" i="6"/>
  <c r="C29" i="6"/>
  <c r="C19" i="6"/>
  <c r="C12" i="6"/>
  <c r="D34" i="6"/>
  <c r="D29" i="6"/>
  <c r="D33" i="6" s="1"/>
  <c r="D23" i="6"/>
  <c r="D22" i="6"/>
  <c r="D24" i="6" s="1"/>
  <c r="D19" i="6"/>
  <c r="D12" i="6"/>
  <c r="D14" i="6" s="1"/>
  <c r="D35" i="6" s="1"/>
  <c r="D37" i="6" s="1"/>
  <c r="C9" i="1" l="1"/>
  <c r="G42" i="3" l="1"/>
  <c r="C24" i="6" l="1"/>
  <c r="C35" i="6" s="1"/>
  <c r="D25" i="2" l="1"/>
  <c r="D27" i="2" s="1"/>
  <c r="D37" i="2"/>
  <c r="D19" i="2"/>
  <c r="D20" i="2" s="1"/>
  <c r="F36" i="3"/>
  <c r="C37" i="2" l="1"/>
  <c r="D10" i="1" l="1"/>
  <c r="D14" i="2" l="1"/>
  <c r="D21" i="2" s="1"/>
  <c r="C14" i="2" l="1"/>
  <c r="C33" i="6" l="1"/>
  <c r="F29" i="3" l="1"/>
  <c r="C10" i="1" l="1"/>
  <c r="C16" i="1" s="1"/>
  <c r="C18" i="1" s="1"/>
  <c r="C14" i="6" l="1"/>
  <c r="C37" i="6" l="1"/>
  <c r="E31" i="3"/>
  <c r="D31" i="3"/>
  <c r="G29" i="3"/>
  <c r="G31" i="3" s="1"/>
  <c r="F31" i="3" l="1"/>
  <c r="E27" i="3" l="1"/>
  <c r="F24" i="3"/>
  <c r="F27" i="3" l="1"/>
  <c r="G7" i="3" l="1"/>
  <c r="F9" i="3"/>
  <c r="G9" i="3" s="1"/>
  <c r="D10" i="3"/>
  <c r="D13" i="3" s="1"/>
  <c r="D15" i="3" s="1"/>
  <c r="E10" i="3"/>
  <c r="E13" i="3" s="1"/>
  <c r="G11" i="3"/>
  <c r="G12" i="3"/>
  <c r="F16" i="3"/>
  <c r="G16" i="3" s="1"/>
  <c r="E17" i="3"/>
  <c r="F17" i="3" s="1"/>
  <c r="G17" i="3" s="1"/>
  <c r="G18" i="3"/>
  <c r="G19" i="3"/>
  <c r="D20" i="3"/>
  <c r="G24" i="3"/>
  <c r="G25" i="3"/>
  <c r="D27" i="3"/>
  <c r="D32" i="2"/>
  <c r="D38" i="2" s="1"/>
  <c r="D39" i="2" s="1"/>
  <c r="C32" i="2"/>
  <c r="G27" i="3" l="1"/>
  <c r="C38" i="2"/>
  <c r="C39" i="2" s="1"/>
  <c r="E20" i="3"/>
  <c r="E21" i="3" s="1"/>
  <c r="E28" i="3" s="1"/>
  <c r="E33" i="3" s="1"/>
  <c r="F10" i="3"/>
  <c r="F13" i="3" s="1"/>
  <c r="F15" i="3" s="1"/>
  <c r="F20" i="3" s="1"/>
  <c r="G20" i="3"/>
  <c r="D21" i="3"/>
  <c r="D28" i="3" s="1"/>
  <c r="E38" i="3" l="1"/>
  <c r="E40" i="3" s="1"/>
  <c r="E44" i="3" s="1"/>
  <c r="D33" i="3"/>
  <c r="F21" i="3"/>
  <c r="G15" i="3"/>
  <c r="G10" i="3"/>
  <c r="G13" i="3" s="1"/>
  <c r="F28" i="3" l="1"/>
  <c r="F33" i="3" s="1"/>
  <c r="G21" i="3"/>
  <c r="F38" i="3" l="1"/>
  <c r="F44" i="3" s="1"/>
  <c r="G44" i="3" s="1"/>
  <c r="G33" i="3"/>
  <c r="G28" i="3"/>
  <c r="F40" i="3" l="1"/>
  <c r="C20" i="2"/>
  <c r="C21" i="2" s="1"/>
  <c r="C44" i="2" s="1"/>
  <c r="G34" i="3"/>
  <c r="G36" i="3" s="1"/>
  <c r="D36" i="3"/>
  <c r="F39" i="2" l="1"/>
  <c r="F41" i="2" s="1"/>
  <c r="D38" i="3"/>
  <c r="G38" i="3" s="1"/>
  <c r="G40" i="3" s="1"/>
  <c r="D44" i="3" l="1"/>
</calcChain>
</file>

<file path=xl/sharedStrings.xml><?xml version="1.0" encoding="utf-8"?>
<sst xmlns="http://schemas.openxmlformats.org/spreadsheetml/2006/main" count="150" uniqueCount="100">
  <si>
    <t>АО "Аскер Мунай Эксплорэйшн"</t>
  </si>
  <si>
    <t>ПРОМЕЖУТОЧНЫЙ КОНСОЛИДИРОВАННЫЙ ОТЧЕТ О СОВОКУПНОМ ДОХОДЕ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</si>
  <si>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</si>
  <si>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</si>
  <si>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</si>
  <si>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</si>
  <si>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</si>
  <si>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</si>
  <si>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</si>
  <si>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</si>
  <si>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</si>
  <si>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</si>
  <si>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</si>
  <si>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</si>
  <si>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</si>
  <si>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</si>
  <si>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</si>
  <si>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</si>
  <si>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>ПРОМЕЖУТОЧНЫЙ КОНСОЛИДИРОВАННЫЙ ОТЧЕТ О ФИНАНСОВОМ ПОЛОЖЕНИИ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</si>
  <si>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</si>
  <si>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</si>
  <si>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</si>
  <si>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</si>
  <si>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</si>
  <si>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</si>
  <si>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</si>
  <si>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</si>
  <si>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</si>
  <si>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</si>
  <si>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</si>
  <si>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</si>
  <si>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</si>
  <si>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</si>
  <si>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</si>
  <si>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</si>
  <si>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</si>
  <si>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</si>
  <si>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</si>
  <si>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</si>
  <si>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</si>
  <si>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ПРОМЕЖУТОЧНЫЙ КОНСОЛИДИРОВАННЫЙ ОТЧЕТ ОБ ИЗМЕНЕНИЯХ В КАПИТАЛЕ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</si>
  <si>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</si>
  <si>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</si>
  <si>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</si>
  <si>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</si>
  <si>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</si>
  <si>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</si>
  <si>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</si>
  <si>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</si>
  <si>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</si>
  <si>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ДВИЖЕНИИ ДЕНЕЖНЫХ СРЕДСТВ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</si>
  <si>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</si>
  <si>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</si>
  <si>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</si>
  <si>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</si>
  <si>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</si>
  <si>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</si>
  <si>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</si>
  <si>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</si>
  <si>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</si>
  <si>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</si>
  <si>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</si>
  <si>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</si>
  <si>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</si>
  <si>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</si>
  <si>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</si>
  <si>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</si>
  <si>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</si>
  <si>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</si>
  <si>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</si>
  <si>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</si>
  <si>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</si>
  <si>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</si>
  <si>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</si>
  <si>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</si>
  <si>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</si>
  <si>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</si>
  <si>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</si>
  <si>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</si>
  <si>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</si>
  <si>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</si>
  <si>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</si>
  <si>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</si>
  <si>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</si>
  <si>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</si>
  <si>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</si>
  <si>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</si>
  <si>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На 31 декабря 2021 года</t>
  </si>
  <si>
    <t>Курсовая разница</t>
  </si>
  <si>
    <t>Отложенный налоговый актив</t>
  </si>
  <si>
    <t>На 31 декабря 2022 года</t>
  </si>
  <si>
    <t>31 декабря 2022 года</t>
  </si>
  <si>
    <t>Экономия по подоходному налогу</t>
  </si>
  <si>
    <t>На 1 января 2023 года</t>
  </si>
  <si>
    <t>Убытки от обесценения</t>
  </si>
  <si>
    <t>За девять месяцев, закончившихся 30 сентября 2023 года</t>
  </si>
  <si>
    <t>30 сентября 2022 года</t>
  </si>
  <si>
    <t>30 сентября 2023 года</t>
  </si>
  <si>
    <t>На 30 сентября 2023 года</t>
  </si>
  <si>
    <t>По состоянию на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</si>
</sst>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(* #,##0_);_(* \(#,##0\);_(* \-_);_(@_)"/>
    <numFmt numFmtId="165" formatCode="_(* #,##0.0_);_(* \(#,##0.0\);_(* \-_);_(@_)"/>
    <numFmt numFmtId="166" formatCode="_(* #,##0_);_(* \(#,##0\);_(* &quot;-&quot;??_);_(@_)"/>
    <numFmt numFmtId="167" formatCode="#,##0.0"/>
    <numFmt numFmtId="168" formatCode="_(* #,##0_);_(* \(#,##0\);_(* &quot;-&quot;_);_(@_)"/>
    <numFmt numFmtId="169" formatCode="_-* #,##0.0\ _₽_-;\-* #,##0.0\ _₽_-;_-* &quot;-&quot;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b/>
      <sz val="10"/>
      <color theme="1" tint="0.34998626667073579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808080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2" fillId="0" borderId="0"/>
  </cellStyleXfs>
  <cellXfs count="144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3" fillId="2" borderId="0" xfId="0" applyFont="1" applyFill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164" fontId="1" fillId="2" borderId="0" xfId="0" applyNumberFormat="1" applyFont="1" applyFill="1"/>
    <xf numFmtId="0" fontId="4" fillId="2" borderId="3" xfId="0" applyFont="1" applyFill="1" applyBorder="1" applyAlignment="1"/>
    <xf numFmtId="0" fontId="4" fillId="2" borderId="3" xfId="0" applyFont="1" applyFill="1" applyBorder="1"/>
    <xf numFmtId="165" fontId="4" fillId="2" borderId="3" xfId="0" applyNumberFormat="1" applyFont="1" applyFill="1" applyBorder="1"/>
    <xf numFmtId="0" fontId="7" fillId="2" borderId="0" xfId="0" applyFont="1" applyFill="1"/>
    <xf numFmtId="14" fontId="8" fillId="3" borderId="0" xfId="0" applyNumberFormat="1" applyFont="1" applyFill="1" applyBorder="1" applyAlignment="1"/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4" fontId="1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10" fillId="2" borderId="0" xfId="0" applyFont="1" applyFill="1"/>
    <xf numFmtId="164" fontId="4" fillId="2" borderId="3" xfId="0" applyNumberFormat="1" applyFont="1" applyFill="1" applyBorder="1" applyAlignment="1"/>
    <xf numFmtId="164" fontId="10" fillId="2" borderId="0" xfId="0" applyNumberFormat="1" applyFont="1" applyFill="1"/>
    <xf numFmtId="167" fontId="11" fillId="2" borderId="0" xfId="0" applyNumberFormat="1" applyFont="1" applyFill="1"/>
    <xf numFmtId="164" fontId="4" fillId="2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9" fillId="2" borderId="0" xfId="0" applyNumberFormat="1" applyFont="1" applyFill="1"/>
    <xf numFmtId="164" fontId="1" fillId="2" borderId="0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/>
    <xf numFmtId="164" fontId="1" fillId="2" borderId="3" xfId="0" applyNumberFormat="1" applyFont="1" applyFill="1" applyBorder="1" applyAlignment="1"/>
    <xf numFmtId="168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37" fontId="1" fillId="3" borderId="0" xfId="1" applyNumberFormat="1" applyFont="1" applyFill="1" applyBorder="1"/>
    <xf numFmtId="14" fontId="7" fillId="3" borderId="0" xfId="0" applyNumberFormat="1" applyFont="1" applyFill="1" applyBorder="1" applyAlignment="1"/>
    <xf numFmtId="0" fontId="7" fillId="3" borderId="1" xfId="0" applyFont="1" applyFill="1" applyBorder="1" applyAlignment="1"/>
    <xf numFmtId="0" fontId="1" fillId="3" borderId="1" xfId="0" applyFont="1" applyFill="1" applyBorder="1"/>
    <xf numFmtId="37" fontId="1" fillId="3" borderId="0" xfId="1" applyNumberFormat="1" applyFont="1" applyFill="1" applyBorder="1" applyAlignment="1"/>
    <xf numFmtId="164" fontId="4" fillId="0" borderId="3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Border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4" fontId="1" fillId="0" borderId="3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1" fillId="0" borderId="5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1" fillId="0" borderId="4" xfId="0" applyFont="1" applyFill="1" applyBorder="1" applyAlignment="1"/>
    <xf numFmtId="164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65" fontId="4" fillId="0" borderId="2" xfId="0" applyNumberFormat="1" applyFont="1" applyFill="1" applyBorder="1" applyAlignment="1">
      <alignment wrapText="1"/>
    </xf>
    <xf numFmtId="0" fontId="7" fillId="3" borderId="0" xfId="0" applyFont="1" applyFill="1" applyBorder="1" applyAlignment="1"/>
    <xf numFmtId="0" fontId="1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0" fillId="0" borderId="0" xfId="0" applyAlignment="1"/>
    <xf numFmtId="0" fontId="0" fillId="0" borderId="0" xfId="0" applyFont="1"/>
    <xf numFmtId="164" fontId="1" fillId="3" borderId="5" xfId="0" applyNumberFormat="1" applyFont="1" applyFill="1" applyBorder="1" applyAlignment="1">
      <alignment wrapText="1"/>
    </xf>
    <xf numFmtId="37" fontId="1" fillId="0" borderId="0" xfId="1" applyNumberFormat="1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/>
    <xf numFmtId="14" fontId="1" fillId="0" borderId="0" xfId="0" applyNumberFormat="1" applyFont="1" applyFill="1" applyBorder="1" applyAlignment="1"/>
    <xf numFmtId="164" fontId="14" fillId="0" borderId="0" xfId="0" applyNumberFormat="1" applyFont="1" applyFill="1"/>
    <xf numFmtId="0" fontId="15" fillId="3" borderId="0" xfId="0" applyFont="1" applyFill="1" applyBorder="1" applyAlignment="1"/>
    <xf numFmtId="164" fontId="1" fillId="3" borderId="0" xfId="0" applyNumberFormat="1" applyFont="1" applyFill="1" applyBorder="1" applyAlignment="1"/>
    <xf numFmtId="164" fontId="1" fillId="3" borderId="5" xfId="0" applyNumberFormat="1" applyFont="1" applyFill="1" applyBorder="1" applyAlignment="1"/>
    <xf numFmtId="164" fontId="4" fillId="3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left" vertical="top" wrapText="1"/>
    </xf>
    <xf numFmtId="0" fontId="1" fillId="0" borderId="0" xfId="0" applyFont="1" applyFill="1"/>
    <xf numFmtId="14" fontId="3" fillId="0" borderId="0" xfId="0" applyNumberFormat="1" applyFont="1" applyFill="1" applyAlignment="1"/>
    <xf numFmtId="0" fontId="1" fillId="0" borderId="1" xfId="0" applyFont="1" applyFill="1" applyBorder="1"/>
    <xf numFmtId="164" fontId="4" fillId="0" borderId="0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center" wrapText="1"/>
    </xf>
    <xf numFmtId="164" fontId="1" fillId="0" borderId="0" xfId="0" applyNumberFormat="1" applyFont="1" applyFill="1"/>
    <xf numFmtId="165" fontId="4" fillId="0" borderId="3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14" fontId="4" fillId="3" borderId="2" xfId="0" quotePrefix="1" applyNumberFormat="1" applyFont="1" applyFill="1" applyBorder="1" applyAlignment="1">
      <alignment horizontal="right" vertical="center" wrapText="1"/>
    </xf>
    <xf numFmtId="14" fontId="4" fillId="0" borderId="2" xfId="0" quotePrefix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wrapText="1"/>
    </xf>
    <xf numFmtId="164" fontId="4" fillId="0" borderId="3" xfId="0" applyNumberFormat="1" applyFont="1" applyFill="1" applyBorder="1" applyAlignment="1"/>
    <xf numFmtId="167" fontId="11" fillId="0" borderId="0" xfId="0" applyNumberFormat="1" applyFont="1" applyFill="1"/>
    <xf numFmtId="164" fontId="10" fillId="0" borderId="0" xfId="0" applyNumberFormat="1" applyFont="1" applyFill="1"/>
    <xf numFmtId="0" fontId="10" fillId="0" borderId="0" xfId="0" applyFont="1" applyFill="1"/>
    <xf numFmtId="169" fontId="10" fillId="0" borderId="0" xfId="0" applyNumberFormat="1" applyFont="1" applyFill="1"/>
    <xf numFmtId="0" fontId="5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/>
    <xf numFmtId="14" fontId="4" fillId="2" borderId="2" xfId="0" quotePrefix="1" applyNumberFormat="1" applyFont="1" applyFill="1" applyBorder="1" applyAlignment="1">
      <alignment horizontal="right" vertical="top" wrapText="1"/>
    </xf>
    <xf numFmtId="164" fontId="0" fillId="0" borderId="0" xfId="0" applyNumberFormat="1" applyFill="1"/>
    <xf numFmtId="164" fontId="1" fillId="0" borderId="0" xfId="0" applyNumberFormat="1" applyFont="1" applyFill="1" applyAlignment="1">
      <alignment wrapText="1"/>
    </xf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49"/>
  <sheetViews>
    <sheetView workbookViewId="0">
      <selection activeCell="C26" sqref="C26"/>
    </sheetView>
  </sheetViews>
  <sheetFormatPr defaultColWidth="8.88671875" defaultRowHeight="14.4" x14ac:dyDescent="0.3"/>
  <cols>
    <col min="1" max="1" width="38.88671875" style="108" customWidth="1"/>
    <col min="2" max="2" width="10.33203125" style="108" customWidth="1"/>
    <col min="3" max="3" width="16.109375" style="108" customWidth="1"/>
    <col min="4" max="4" width="15.33203125" style="108" customWidth="1"/>
    <col min="5" max="5" width="10.33203125" style="108" bestFit="1" customWidth="1"/>
    <col min="6" max="6" width="12" style="108" hidden="1" customWidth="1"/>
    <col min="7" max="8" width="0" style="108" hidden="1" customWidth="1"/>
    <col min="9" max="16384" width="8.88671875" style="108"/>
  </cols>
  <sheetData>
    <row r="1" spans="1:4" x14ac:dyDescent="0.3">
      <c r="A1" s="107" t="s">
        <v>0</v>
      </c>
      <c r="B1" s="65"/>
      <c r="C1" s="65"/>
      <c r="D1" s="65"/>
    </row>
    <row r="2" spans="1:4" x14ac:dyDescent="0.3">
      <c r="A2" s="107" t="s">
        <v>18</v>
      </c>
      <c r="B2" s="65"/>
      <c r="C2" s="65"/>
      <c r="D2" s="65"/>
    </row>
    <row r="3" spans="1:4" x14ac:dyDescent="0.3">
      <c r="A3" s="109" t="s">
        <v>99</v>
      </c>
      <c r="B3" s="66"/>
      <c r="C3" s="66"/>
      <c r="D3" s="66"/>
    </row>
    <row r="4" spans="1:4" ht="15" thickBot="1" x14ac:dyDescent="0.35">
      <c r="A4" s="67"/>
      <c r="B4" s="68"/>
      <c r="C4" s="68"/>
      <c r="D4" s="68"/>
    </row>
    <row r="5" spans="1:4" x14ac:dyDescent="0.3">
      <c r="A5" s="69"/>
      <c r="B5" s="65"/>
      <c r="C5" s="65"/>
      <c r="D5" s="65"/>
    </row>
    <row r="6" spans="1:4" ht="29.25" customHeight="1" x14ac:dyDescent="0.3">
      <c r="A6" s="70" t="s">
        <v>2</v>
      </c>
      <c r="B6" s="71" t="s">
        <v>3</v>
      </c>
      <c r="C6" s="118" t="s">
        <v>97</v>
      </c>
      <c r="D6" s="118" t="s">
        <v>91</v>
      </c>
    </row>
    <row r="7" spans="1:4" x14ac:dyDescent="0.3">
      <c r="A7" s="78" t="s">
        <v>19</v>
      </c>
      <c r="B7" s="72"/>
      <c r="C7" s="73"/>
      <c r="D7" s="73"/>
    </row>
    <row r="8" spans="1:4" x14ac:dyDescent="0.3">
      <c r="A8" s="78" t="s">
        <v>20</v>
      </c>
      <c r="B8" s="72"/>
      <c r="C8" s="73"/>
      <c r="D8" s="73"/>
    </row>
    <row r="9" spans="1:4" x14ac:dyDescent="0.3">
      <c r="A9" s="74" t="s">
        <v>21</v>
      </c>
      <c r="B9" s="97">
        <v>3</v>
      </c>
      <c r="C9" s="75">
        <v>28225602</v>
      </c>
      <c r="D9" s="73">
        <v>28998262</v>
      </c>
    </row>
    <row r="10" spans="1:4" x14ac:dyDescent="0.3">
      <c r="A10" s="74" t="s">
        <v>77</v>
      </c>
      <c r="B10" s="97"/>
      <c r="C10" s="143">
        <v>765840</v>
      </c>
      <c r="D10" s="73">
        <v>840878</v>
      </c>
    </row>
    <row r="11" spans="1:4" x14ac:dyDescent="0.3">
      <c r="A11" s="74" t="s">
        <v>22</v>
      </c>
      <c r="B11" s="97"/>
      <c r="C11" s="143">
        <v>5706</v>
      </c>
      <c r="D11" s="73">
        <v>5706</v>
      </c>
    </row>
    <row r="12" spans="1:4" x14ac:dyDescent="0.3">
      <c r="A12" s="74" t="s">
        <v>76</v>
      </c>
      <c r="B12" s="97">
        <v>4</v>
      </c>
      <c r="C12" s="143">
        <v>1430228</v>
      </c>
      <c r="D12" s="73">
        <v>1435075</v>
      </c>
    </row>
    <row r="13" spans="1:4" x14ac:dyDescent="0.3">
      <c r="A13" s="74" t="s">
        <v>89</v>
      </c>
      <c r="B13" s="97"/>
      <c r="C13" s="143">
        <v>1341294</v>
      </c>
      <c r="D13" s="73">
        <v>1341294</v>
      </c>
    </row>
    <row r="14" spans="1:4" x14ac:dyDescent="0.3">
      <c r="A14" s="76"/>
      <c r="B14" s="98"/>
      <c r="C14" s="77">
        <f>SUM(C9:C13)</f>
        <v>31768670</v>
      </c>
      <c r="D14" s="77">
        <f>SUM(D9:D13)</f>
        <v>32621215</v>
      </c>
    </row>
    <row r="15" spans="1:4" x14ac:dyDescent="0.3">
      <c r="A15" s="78" t="s">
        <v>23</v>
      </c>
      <c r="B15" s="97"/>
      <c r="C15" s="75"/>
      <c r="D15" s="75"/>
    </row>
    <row r="16" spans="1:4" x14ac:dyDescent="0.3">
      <c r="A16" s="74" t="s">
        <v>24</v>
      </c>
      <c r="B16" s="97"/>
      <c r="C16" s="143">
        <v>57702</v>
      </c>
      <c r="D16" s="75">
        <v>65623</v>
      </c>
    </row>
    <row r="17" spans="1:8" x14ac:dyDescent="0.3">
      <c r="A17" s="74" t="s">
        <v>25</v>
      </c>
      <c r="B17" s="97"/>
      <c r="C17" s="143">
        <v>25055</v>
      </c>
      <c r="D17" s="75">
        <v>10761</v>
      </c>
    </row>
    <row r="18" spans="1:8" x14ac:dyDescent="0.3">
      <c r="A18" s="74" t="s">
        <v>26</v>
      </c>
      <c r="B18" s="97"/>
      <c r="C18" s="75">
        <v>122940</v>
      </c>
      <c r="D18" s="75">
        <v>202941</v>
      </c>
    </row>
    <row r="19" spans="1:8" x14ac:dyDescent="0.3">
      <c r="A19" s="70" t="s">
        <v>27</v>
      </c>
      <c r="B19" s="99">
        <v>5</v>
      </c>
      <c r="C19" s="79">
        <v>165415</v>
      </c>
      <c r="D19" s="79">
        <f>49927+132839</f>
        <v>182766</v>
      </c>
    </row>
    <row r="20" spans="1:8" x14ac:dyDescent="0.3">
      <c r="A20" s="78"/>
      <c r="B20" s="97"/>
      <c r="C20" s="75">
        <f>SUM(C15:C19)</f>
        <v>371112</v>
      </c>
      <c r="D20" s="75">
        <f>SUM(D16:D19)</f>
        <v>462091</v>
      </c>
    </row>
    <row r="21" spans="1:8" x14ac:dyDescent="0.3">
      <c r="A21" s="76" t="s">
        <v>28</v>
      </c>
      <c r="B21" s="100"/>
      <c r="C21" s="63">
        <f>C14+C20</f>
        <v>32139782</v>
      </c>
      <c r="D21" s="63">
        <f>D14+D20</f>
        <v>33083306</v>
      </c>
      <c r="E21" s="110"/>
    </row>
    <row r="22" spans="1:8" x14ac:dyDescent="0.3">
      <c r="A22" s="78"/>
      <c r="B22" s="101"/>
      <c r="C22" s="75"/>
      <c r="D22" s="75"/>
    </row>
    <row r="23" spans="1:8" x14ac:dyDescent="0.3">
      <c r="A23" s="78" t="s">
        <v>29</v>
      </c>
      <c r="B23" s="101"/>
      <c r="C23" s="75"/>
      <c r="D23" s="75"/>
    </row>
    <row r="24" spans="1:8" x14ac:dyDescent="0.3">
      <c r="A24" s="74" t="s">
        <v>83</v>
      </c>
      <c r="B24" s="97">
        <v>6</v>
      </c>
      <c r="C24" s="75">
        <v>23387466</v>
      </c>
      <c r="D24" s="75">
        <v>23387466</v>
      </c>
    </row>
    <row r="25" spans="1:8" x14ac:dyDescent="0.3">
      <c r="A25" s="74" t="s">
        <v>30</v>
      </c>
      <c r="B25" s="97"/>
      <c r="C25" s="75">
        <f>-26236820</f>
        <v>-26236820</v>
      </c>
      <c r="D25" s="75">
        <f>-26236820</f>
        <v>-26236820</v>
      </c>
    </row>
    <row r="26" spans="1:8" x14ac:dyDescent="0.3">
      <c r="A26" s="74" t="s">
        <v>31</v>
      </c>
      <c r="B26" s="97"/>
      <c r="C26" s="75">
        <f>-13388493-2426009</f>
        <v>-15814502</v>
      </c>
      <c r="D26" s="75">
        <v>-10131628</v>
      </c>
      <c r="F26" s="110">
        <f>C26-D26</f>
        <v>-5682874</v>
      </c>
    </row>
    <row r="27" spans="1:8" x14ac:dyDescent="0.3">
      <c r="A27" s="76" t="s">
        <v>32</v>
      </c>
      <c r="B27" s="100"/>
      <c r="C27" s="63">
        <f>SUM(C22:C26)</f>
        <v>-18663856</v>
      </c>
      <c r="D27" s="63">
        <f>SUM(D24:D26)</f>
        <v>-12980982</v>
      </c>
    </row>
    <row r="28" spans="1:8" x14ac:dyDescent="0.3">
      <c r="A28" s="78"/>
      <c r="B28" s="102"/>
      <c r="C28" s="80"/>
      <c r="D28" s="80"/>
      <c r="F28" s="108">
        <v>16237847</v>
      </c>
      <c r="H28" s="108">
        <v>2849354</v>
      </c>
    </row>
    <row r="29" spans="1:8" x14ac:dyDescent="0.3">
      <c r="A29" s="78" t="s">
        <v>33</v>
      </c>
      <c r="B29" s="97"/>
      <c r="C29" s="75"/>
      <c r="D29" s="75"/>
      <c r="F29" s="108">
        <f>F28-H28</f>
        <v>13388493</v>
      </c>
    </row>
    <row r="30" spans="1:8" x14ac:dyDescent="0.3">
      <c r="A30" s="74" t="s">
        <v>34</v>
      </c>
      <c r="B30" s="97"/>
      <c r="C30" s="75"/>
      <c r="D30" s="75"/>
    </row>
    <row r="31" spans="1:8" x14ac:dyDescent="0.3">
      <c r="A31" s="74" t="s">
        <v>85</v>
      </c>
      <c r="B31" s="97">
        <v>7</v>
      </c>
      <c r="C31" s="75">
        <f>5832044+48628</f>
        <v>5880672</v>
      </c>
      <c r="D31" s="75">
        <v>5698955</v>
      </c>
    </row>
    <row r="32" spans="1:8" x14ac:dyDescent="0.3">
      <c r="A32" s="76"/>
      <c r="B32" s="98"/>
      <c r="C32" s="77">
        <f>SUM(C29:C31)</f>
        <v>5880672</v>
      </c>
      <c r="D32" s="77">
        <f>SUM(D30:D31)</f>
        <v>5698955</v>
      </c>
    </row>
    <row r="33" spans="1:6" x14ac:dyDescent="0.3">
      <c r="A33" s="78" t="s">
        <v>35</v>
      </c>
      <c r="B33" s="97"/>
      <c r="C33" s="75"/>
      <c r="D33" s="75"/>
    </row>
    <row r="34" spans="1:6" x14ac:dyDescent="0.3">
      <c r="A34" s="74" t="s">
        <v>85</v>
      </c>
      <c r="B34" s="97"/>
      <c r="C34" s="75"/>
      <c r="D34" s="75">
        <v>55818</v>
      </c>
    </row>
    <row r="35" spans="1:6" ht="19.5" customHeight="1" x14ac:dyDescent="0.3">
      <c r="A35" s="74" t="s">
        <v>86</v>
      </c>
      <c r="B35" s="97">
        <v>8</v>
      </c>
      <c r="C35" s="75">
        <v>706286</v>
      </c>
      <c r="D35" s="75">
        <v>729193</v>
      </c>
    </row>
    <row r="36" spans="1:6" x14ac:dyDescent="0.3">
      <c r="A36" s="74" t="s">
        <v>78</v>
      </c>
      <c r="B36" s="97">
        <v>9</v>
      </c>
      <c r="C36" s="75">
        <v>44216680</v>
      </c>
      <c r="D36" s="75">
        <v>39580322</v>
      </c>
    </row>
    <row r="37" spans="1:6" x14ac:dyDescent="0.3">
      <c r="A37" s="76"/>
      <c r="B37" s="98"/>
      <c r="C37" s="77">
        <f>SUM(C34:C36)</f>
        <v>44922966</v>
      </c>
      <c r="D37" s="77">
        <f>SUM(D34:D36)</f>
        <v>40365333</v>
      </c>
    </row>
    <row r="38" spans="1:6" x14ac:dyDescent="0.3">
      <c r="A38" s="76" t="s">
        <v>36</v>
      </c>
      <c r="B38" s="100"/>
      <c r="C38" s="63">
        <f>C32+C37</f>
        <v>50803638</v>
      </c>
      <c r="D38" s="63">
        <f>D32+D37</f>
        <v>46064288</v>
      </c>
      <c r="F38" s="110"/>
    </row>
    <row r="39" spans="1:6" x14ac:dyDescent="0.3">
      <c r="A39" s="76" t="s">
        <v>37</v>
      </c>
      <c r="B39" s="100"/>
      <c r="C39" s="63">
        <f>C38+C27</f>
        <v>32139782</v>
      </c>
      <c r="D39" s="63">
        <f>D38+D27</f>
        <v>33083306</v>
      </c>
      <c r="F39" s="110">
        <f>C39-C21</f>
        <v>0</v>
      </c>
    </row>
    <row r="40" spans="1:6" ht="21.75" customHeight="1" x14ac:dyDescent="0.3">
      <c r="A40" s="81"/>
      <c r="B40" s="103"/>
      <c r="C40" s="82"/>
      <c r="D40" s="82"/>
    </row>
    <row r="41" spans="1:6" x14ac:dyDescent="0.3">
      <c r="A41" s="83" t="s">
        <v>38</v>
      </c>
      <c r="B41" s="104"/>
      <c r="C41" s="84">
        <v>23387466</v>
      </c>
      <c r="D41" s="84">
        <v>23387466</v>
      </c>
      <c r="F41" s="110">
        <f>F39-F40</f>
        <v>0</v>
      </c>
    </row>
    <row r="42" spans="1:6" x14ac:dyDescent="0.3">
      <c r="A42" s="85" t="s">
        <v>39</v>
      </c>
      <c r="B42" s="105"/>
      <c r="C42" s="86">
        <v>-798.27</v>
      </c>
      <c r="D42" s="86">
        <v>-632.69000000000005</v>
      </c>
    </row>
    <row r="43" spans="1:6" x14ac:dyDescent="0.3">
      <c r="A43" s="81"/>
      <c r="B43" s="65"/>
      <c r="C43" s="65"/>
      <c r="D43" s="65"/>
    </row>
    <row r="44" spans="1:6" x14ac:dyDescent="0.3">
      <c r="A44" s="81"/>
      <c r="B44" s="65"/>
      <c r="C44" s="82">
        <f>C21-C39</f>
        <v>0</v>
      </c>
      <c r="D44" s="65"/>
    </row>
    <row r="45" spans="1:6" x14ac:dyDescent="0.3">
      <c r="A45" s="81"/>
      <c r="B45" s="65"/>
      <c r="C45" s="65"/>
      <c r="D45" s="65"/>
    </row>
    <row r="46" spans="1:6" x14ac:dyDescent="0.3">
      <c r="A46" s="81" t="s">
        <v>15</v>
      </c>
      <c r="B46" s="65"/>
      <c r="C46" s="65"/>
      <c r="D46" s="65" t="s">
        <v>74</v>
      </c>
    </row>
    <row r="47" spans="1:6" x14ac:dyDescent="0.3">
      <c r="A47" s="81"/>
      <c r="B47" s="65"/>
      <c r="C47" s="65"/>
      <c r="D47" s="65"/>
    </row>
    <row r="48" spans="1:6" x14ac:dyDescent="0.3">
      <c r="A48" s="81"/>
      <c r="B48" s="65"/>
      <c r="C48" s="65"/>
      <c r="D48" s="65"/>
    </row>
    <row r="49" spans="1:4" ht="15.75" customHeight="1" x14ac:dyDescent="0.3">
      <c r="A49" s="81" t="s">
        <v>16</v>
      </c>
      <c r="B49" s="65"/>
      <c r="C49" s="65"/>
      <c r="D49" s="65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K20" sqref="K20"/>
    </sheetView>
  </sheetViews>
  <sheetFormatPr defaultRowHeight="14.4" x14ac:dyDescent="0.3"/>
  <cols>
    <col min="1" max="1" width="44" customWidth="1"/>
    <col min="3" max="3" width="14.6640625" style="91" customWidth="1"/>
    <col min="4" max="4" width="15.44140625" style="91" customWidth="1"/>
  </cols>
  <sheetData>
    <row r="1" spans="1:5" x14ac:dyDescent="0.3">
      <c r="A1" s="111" t="s">
        <v>0</v>
      </c>
      <c r="B1" s="39"/>
      <c r="C1" s="62"/>
      <c r="D1" s="94"/>
    </row>
    <row r="2" spans="1:5" x14ac:dyDescent="0.3">
      <c r="A2" s="111" t="s">
        <v>50</v>
      </c>
      <c r="B2" s="39"/>
      <c r="C2" s="62"/>
      <c r="D2" s="62"/>
    </row>
    <row r="3" spans="1:5" x14ac:dyDescent="0.3">
      <c r="A3" s="33" t="s">
        <v>95</v>
      </c>
      <c r="B3" s="59"/>
      <c r="C3" s="59"/>
      <c r="D3" s="59"/>
    </row>
    <row r="4" spans="1:5" ht="9" customHeight="1" thickBot="1" x14ac:dyDescent="0.35">
      <c r="A4" s="60"/>
      <c r="B4" s="61"/>
      <c r="C4" s="90"/>
      <c r="D4" s="90"/>
    </row>
    <row r="5" spans="1:5" ht="24.75" customHeight="1" x14ac:dyDescent="0.3">
      <c r="A5" s="34" t="s">
        <v>2</v>
      </c>
      <c r="B5" s="117" t="s">
        <v>3</v>
      </c>
      <c r="C5" s="131" t="s">
        <v>97</v>
      </c>
      <c r="D5" s="131" t="s">
        <v>96</v>
      </c>
    </row>
    <row r="6" spans="1:5" x14ac:dyDescent="0.3">
      <c r="A6" s="87" t="s">
        <v>52</v>
      </c>
      <c r="B6" s="37"/>
      <c r="C6" s="38"/>
      <c r="D6" s="38"/>
    </row>
    <row r="7" spans="1:5" x14ac:dyDescent="0.3">
      <c r="A7" s="35" t="s">
        <v>53</v>
      </c>
      <c r="B7" s="37"/>
      <c r="C7" s="36"/>
      <c r="D7" s="36"/>
      <c r="E7" s="92"/>
    </row>
    <row r="8" spans="1:5" x14ac:dyDescent="0.3">
      <c r="A8" s="115" t="s">
        <v>54</v>
      </c>
      <c r="B8" s="37"/>
      <c r="C8" s="36"/>
      <c r="D8" s="36"/>
      <c r="E8" s="92"/>
    </row>
    <row r="9" spans="1:5" x14ac:dyDescent="0.3">
      <c r="A9" s="35" t="s">
        <v>67</v>
      </c>
      <c r="B9" s="37"/>
      <c r="C9" s="36"/>
      <c r="D9" s="36"/>
      <c r="E9" s="92"/>
    </row>
    <row r="10" spans="1:5" x14ac:dyDescent="0.3">
      <c r="A10" s="35" t="s">
        <v>55</v>
      </c>
      <c r="B10" s="37"/>
      <c r="C10" s="36"/>
      <c r="D10" s="36"/>
      <c r="E10" s="92"/>
    </row>
    <row r="11" spans="1:5" x14ac:dyDescent="0.3">
      <c r="A11" s="115" t="s">
        <v>54</v>
      </c>
      <c r="B11" s="37"/>
      <c r="C11" s="36"/>
      <c r="D11" s="36"/>
      <c r="E11" s="92"/>
    </row>
    <row r="12" spans="1:5" x14ac:dyDescent="0.3">
      <c r="A12" s="35" t="s">
        <v>68</v>
      </c>
      <c r="B12" s="37"/>
      <c r="C12" s="112">
        <f>687611</f>
        <v>687611</v>
      </c>
      <c r="D12" s="112">
        <f>368323</f>
        <v>368323</v>
      </c>
      <c r="E12" s="92"/>
    </row>
    <row r="13" spans="1:5" ht="16.5" customHeight="1" x14ac:dyDescent="0.3">
      <c r="A13" s="88" t="s">
        <v>69</v>
      </c>
      <c r="B13" s="89"/>
      <c r="C13" s="113">
        <v>409460</v>
      </c>
      <c r="D13" s="113">
        <v>385255</v>
      </c>
      <c r="E13" s="92"/>
    </row>
    <row r="14" spans="1:5" ht="27" customHeight="1" x14ac:dyDescent="0.3">
      <c r="A14" s="35" t="s">
        <v>56</v>
      </c>
      <c r="B14" s="37"/>
      <c r="C14" s="36">
        <f>C7-C12-C13</f>
        <v>-1097071</v>
      </c>
      <c r="D14" s="36">
        <f>D7-D12-D13</f>
        <v>-753578</v>
      </c>
      <c r="E14" s="92"/>
    </row>
    <row r="15" spans="1:5" ht="10.95" customHeight="1" x14ac:dyDescent="0.3">
      <c r="A15" s="35"/>
      <c r="B15" s="37"/>
      <c r="C15" s="36"/>
      <c r="D15" s="36"/>
      <c r="E15" s="92"/>
    </row>
    <row r="16" spans="1:5" ht="14.25" customHeight="1" x14ac:dyDescent="0.3">
      <c r="A16" s="87" t="s">
        <v>57</v>
      </c>
      <c r="B16" s="37"/>
      <c r="C16" s="36"/>
      <c r="D16" s="36"/>
      <c r="E16" s="92"/>
    </row>
    <row r="17" spans="1:5" x14ac:dyDescent="0.3">
      <c r="A17" s="35" t="s">
        <v>58</v>
      </c>
      <c r="B17" s="37"/>
      <c r="C17" s="36"/>
      <c r="D17" s="36"/>
      <c r="E17" s="92"/>
    </row>
    <row r="18" spans="1:5" x14ac:dyDescent="0.3">
      <c r="A18" s="115" t="s">
        <v>54</v>
      </c>
      <c r="B18" s="37"/>
      <c r="C18" s="36"/>
      <c r="D18" s="36"/>
      <c r="E18" s="92"/>
    </row>
    <row r="19" spans="1:5" x14ac:dyDescent="0.3">
      <c r="A19" s="35" t="s">
        <v>84</v>
      </c>
      <c r="B19" s="37"/>
      <c r="C19" s="36">
        <f>148266</f>
        <v>148266</v>
      </c>
      <c r="D19" s="36">
        <f>792711</f>
        <v>792711</v>
      </c>
      <c r="E19" s="92"/>
    </row>
    <row r="20" spans="1:5" ht="15.75" customHeight="1" x14ac:dyDescent="0.3">
      <c r="A20" s="35" t="s">
        <v>55</v>
      </c>
      <c r="B20" s="37"/>
      <c r="C20" s="36"/>
      <c r="D20" s="36"/>
      <c r="E20" s="92"/>
    </row>
    <row r="21" spans="1:5" ht="15.75" customHeight="1" x14ac:dyDescent="0.3">
      <c r="A21" s="115" t="s">
        <v>54</v>
      </c>
      <c r="B21" s="37"/>
      <c r="C21" s="36"/>
      <c r="D21" s="36"/>
      <c r="E21" s="92"/>
    </row>
    <row r="22" spans="1:5" x14ac:dyDescent="0.3">
      <c r="A22" s="35" t="s">
        <v>59</v>
      </c>
      <c r="B22" s="37"/>
      <c r="C22" s="36"/>
      <c r="D22" s="36">
        <f>128603</f>
        <v>128603</v>
      </c>
      <c r="E22" s="92"/>
    </row>
    <row r="23" spans="1:5" ht="15.75" customHeight="1" x14ac:dyDescent="0.3">
      <c r="A23" s="88" t="s">
        <v>60</v>
      </c>
      <c r="B23" s="89"/>
      <c r="C23" s="93">
        <f>-14960</f>
        <v>-14960</v>
      </c>
      <c r="D23" s="93">
        <f>-19241</f>
        <v>-19241</v>
      </c>
      <c r="E23" s="92"/>
    </row>
    <row r="24" spans="1:5" ht="25.5" customHeight="1" x14ac:dyDescent="0.3">
      <c r="A24" s="35" t="s">
        <v>61</v>
      </c>
      <c r="B24" s="37"/>
      <c r="C24" s="36">
        <f>C19-C22-C23</f>
        <v>163226</v>
      </c>
      <c r="D24" s="36">
        <f>D19-D22-D23</f>
        <v>683349</v>
      </c>
      <c r="E24" s="92"/>
    </row>
    <row r="25" spans="1:5" ht="6" customHeight="1" x14ac:dyDescent="0.3">
      <c r="A25" s="35"/>
      <c r="B25" s="37"/>
      <c r="C25" s="36"/>
      <c r="D25" s="36"/>
      <c r="E25" s="92"/>
    </row>
    <row r="26" spans="1:5" ht="13.5" customHeight="1" x14ac:dyDescent="0.3">
      <c r="A26" s="87" t="s">
        <v>62</v>
      </c>
      <c r="B26" s="37"/>
      <c r="C26" s="36"/>
      <c r="D26" s="36"/>
      <c r="E26" s="92"/>
    </row>
    <row r="27" spans="1:5" ht="18.75" customHeight="1" x14ac:dyDescent="0.3">
      <c r="A27" s="35" t="s">
        <v>71</v>
      </c>
      <c r="B27" s="37"/>
      <c r="C27" s="36"/>
      <c r="D27" s="36"/>
      <c r="E27" s="92"/>
    </row>
    <row r="28" spans="1:5" ht="16.5" customHeight="1" x14ac:dyDescent="0.3">
      <c r="A28" s="115" t="s">
        <v>54</v>
      </c>
      <c r="B28" s="37"/>
      <c r="C28" s="36"/>
      <c r="D28" s="36"/>
      <c r="E28" s="92"/>
    </row>
    <row r="29" spans="1:5" ht="15.75" customHeight="1" x14ac:dyDescent="0.3">
      <c r="A29" s="35" t="s">
        <v>63</v>
      </c>
      <c r="B29" s="37"/>
      <c r="C29" s="36">
        <f>916250</f>
        <v>916250</v>
      </c>
      <c r="D29" s="36">
        <f>60176</f>
        <v>60176</v>
      </c>
      <c r="E29" s="92"/>
    </row>
    <row r="30" spans="1:5" ht="20.25" customHeight="1" x14ac:dyDescent="0.3">
      <c r="A30" s="35" t="s">
        <v>55</v>
      </c>
      <c r="B30" s="37"/>
      <c r="C30" s="36"/>
      <c r="D30" s="36"/>
      <c r="E30" s="92"/>
    </row>
    <row r="31" spans="1:5" ht="13.2" customHeight="1" x14ac:dyDescent="0.3">
      <c r="A31" s="115" t="s">
        <v>54</v>
      </c>
      <c r="B31" s="37"/>
      <c r="C31" s="36"/>
      <c r="D31" s="36"/>
      <c r="E31" s="92"/>
    </row>
    <row r="32" spans="1:5" ht="18" customHeight="1" x14ac:dyDescent="0.3">
      <c r="A32" s="88" t="s">
        <v>70</v>
      </c>
      <c r="B32" s="89"/>
      <c r="C32" s="93"/>
      <c r="D32" s="93"/>
      <c r="E32" s="92"/>
    </row>
    <row r="33" spans="1:5" ht="28.5" customHeight="1" x14ac:dyDescent="0.3">
      <c r="A33" s="35" t="s">
        <v>64</v>
      </c>
      <c r="B33" s="37"/>
      <c r="C33" s="36">
        <f>C29-C30</f>
        <v>916250</v>
      </c>
      <c r="D33" s="36">
        <f>D29-D30</f>
        <v>60176</v>
      </c>
      <c r="E33" s="92"/>
    </row>
    <row r="34" spans="1:5" ht="20.25" customHeight="1" x14ac:dyDescent="0.3">
      <c r="A34" s="35" t="s">
        <v>65</v>
      </c>
      <c r="B34" s="37"/>
      <c r="C34" s="36">
        <f>244</f>
        <v>244</v>
      </c>
      <c r="D34" s="36">
        <f>9982</f>
        <v>9982</v>
      </c>
      <c r="E34" s="92"/>
    </row>
    <row r="35" spans="1:5" ht="32.25" customHeight="1" x14ac:dyDescent="0.3">
      <c r="A35" s="88" t="s">
        <v>66</v>
      </c>
      <c r="B35" s="89"/>
      <c r="C35" s="93">
        <f>C14+C24+C33+C34</f>
        <v>-17351</v>
      </c>
      <c r="D35" s="93">
        <f>D14+D24+D33+D34</f>
        <v>-71</v>
      </c>
      <c r="E35" s="92"/>
    </row>
    <row r="36" spans="1:5" ht="27.75" customHeight="1" x14ac:dyDescent="0.3">
      <c r="A36" s="35" t="s">
        <v>72</v>
      </c>
      <c r="B36" s="37"/>
      <c r="C36" s="36">
        <v>182766</v>
      </c>
      <c r="D36" s="36">
        <v>191490</v>
      </c>
      <c r="E36" s="92"/>
    </row>
    <row r="37" spans="1:5" ht="25.5" customHeight="1" x14ac:dyDescent="0.3">
      <c r="A37" s="35" t="s">
        <v>73</v>
      </c>
      <c r="B37" s="37"/>
      <c r="C37" s="36">
        <f>C36+C35</f>
        <v>165415</v>
      </c>
      <c r="D37" s="36">
        <f>D36+D35</f>
        <v>191419</v>
      </c>
      <c r="E37" s="92"/>
    </row>
    <row r="38" spans="1:5" ht="30.75" customHeight="1" x14ac:dyDescent="0.3">
      <c r="A38" s="35"/>
      <c r="B38" s="114"/>
      <c r="C38" s="38"/>
      <c r="D38" s="38"/>
    </row>
    <row r="39" spans="1:5" ht="30.75" customHeight="1" x14ac:dyDescent="0.3">
      <c r="A39" s="35"/>
      <c r="B39" s="114"/>
      <c r="C39" s="38"/>
      <c r="D39" s="38"/>
    </row>
    <row r="40" spans="1:5" x14ac:dyDescent="0.3">
      <c r="A40" s="62"/>
      <c r="B40" s="58"/>
      <c r="C40" s="36"/>
      <c r="D40" s="36"/>
    </row>
    <row r="41" spans="1:5" x14ac:dyDescent="0.3">
      <c r="A41" s="95" t="s">
        <v>15</v>
      </c>
      <c r="B41" s="39"/>
      <c r="C41" s="39"/>
      <c r="D41" s="39" t="s">
        <v>74</v>
      </c>
    </row>
    <row r="42" spans="1:5" ht="9.75" customHeight="1" x14ac:dyDescent="0.3">
      <c r="A42" s="95"/>
      <c r="B42" s="39"/>
      <c r="C42" s="39"/>
      <c r="D42" s="39"/>
    </row>
    <row r="43" spans="1:5" ht="10.5" customHeight="1" x14ac:dyDescent="0.3">
      <c r="A43" s="95"/>
      <c r="B43" s="39"/>
      <c r="C43" s="39"/>
      <c r="D43" s="39"/>
    </row>
    <row r="44" spans="1:5" x14ac:dyDescent="0.3">
      <c r="A44" s="95" t="s">
        <v>16</v>
      </c>
      <c r="B44" s="39"/>
      <c r="C44" s="39"/>
      <c r="D44" s="39" t="s">
        <v>17</v>
      </c>
    </row>
  </sheetData>
  <pageMargins left="0.5118110236220472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29"/>
  <sheetViews>
    <sheetView workbookViewId="0">
      <selection activeCell="I13" sqref="I13"/>
    </sheetView>
  </sheetViews>
  <sheetFormatPr defaultRowHeight="14.4" x14ac:dyDescent="0.3"/>
  <cols>
    <col min="1" max="1" width="44.33203125" customWidth="1"/>
    <col min="3" max="3" width="15.5546875" style="130" customWidth="1"/>
    <col min="4" max="4" width="16" customWidth="1"/>
    <col min="6" max="6" width="10" bestFit="1" customWidth="1"/>
  </cols>
  <sheetData>
    <row r="1" spans="1:6" x14ac:dyDescent="0.3">
      <c r="A1" s="106" t="s">
        <v>0</v>
      </c>
      <c r="B1" s="1"/>
      <c r="C1" s="119"/>
      <c r="D1" s="1"/>
    </row>
    <row r="2" spans="1:6" x14ac:dyDescent="0.3">
      <c r="A2" s="106" t="s">
        <v>1</v>
      </c>
      <c r="B2" s="1"/>
      <c r="C2" s="119"/>
      <c r="D2" s="1"/>
    </row>
    <row r="3" spans="1:6" x14ac:dyDescent="0.3">
      <c r="A3" s="2" t="s">
        <v>95</v>
      </c>
      <c r="B3" s="3"/>
      <c r="C3" s="120"/>
      <c r="D3" s="3"/>
    </row>
    <row r="4" spans="1:6" ht="15" thickBot="1" x14ac:dyDescent="0.35">
      <c r="A4" s="4"/>
      <c r="B4" s="5"/>
      <c r="C4" s="121"/>
      <c r="D4" s="5"/>
    </row>
    <row r="5" spans="1:6" x14ac:dyDescent="0.3">
      <c r="A5" s="6"/>
      <c r="B5" s="1"/>
      <c r="C5" s="119"/>
      <c r="D5" s="1"/>
    </row>
    <row r="6" spans="1:6" ht="27.6" x14ac:dyDescent="0.3">
      <c r="A6" s="7" t="s">
        <v>2</v>
      </c>
      <c r="B6" s="8" t="s">
        <v>3</v>
      </c>
      <c r="C6" s="132" t="s">
        <v>97</v>
      </c>
      <c r="D6" s="141" t="s">
        <v>96</v>
      </c>
    </row>
    <row r="7" spans="1:6" x14ac:dyDescent="0.3">
      <c r="A7" s="9" t="s">
        <v>4</v>
      </c>
      <c r="B7" s="10"/>
      <c r="C7" s="96"/>
      <c r="D7" s="96"/>
    </row>
    <row r="8" spans="1:6" x14ac:dyDescent="0.3">
      <c r="A8" s="12" t="s">
        <v>5</v>
      </c>
      <c r="B8" s="116">
        <v>10</v>
      </c>
      <c r="C8" s="96">
        <v>-723014</v>
      </c>
      <c r="D8" s="11">
        <v>-231443</v>
      </c>
    </row>
    <row r="9" spans="1:6" x14ac:dyDescent="0.3">
      <c r="A9" s="12" t="s">
        <v>94</v>
      </c>
      <c r="B9" s="116"/>
      <c r="C9" s="96">
        <f>-5067</f>
        <v>-5067</v>
      </c>
      <c r="D9" s="11"/>
    </row>
    <row r="10" spans="1:6" x14ac:dyDescent="0.3">
      <c r="A10" s="16" t="s">
        <v>6</v>
      </c>
      <c r="B10" s="17"/>
      <c r="C10" s="122">
        <f>C8</f>
        <v>-723014</v>
      </c>
      <c r="D10" s="18">
        <f>D8</f>
        <v>-231443</v>
      </c>
    </row>
    <row r="11" spans="1:6" x14ac:dyDescent="0.3">
      <c r="A11" s="12" t="s">
        <v>7</v>
      </c>
      <c r="B11" s="17"/>
      <c r="C11" s="96">
        <f>-2350744</f>
        <v>-2350744</v>
      </c>
      <c r="D11" s="11">
        <f>-1532677</f>
        <v>-1532677</v>
      </c>
    </row>
    <row r="12" spans="1:6" x14ac:dyDescent="0.3">
      <c r="A12" s="12" t="s">
        <v>8</v>
      </c>
      <c r="B12" s="13"/>
      <c r="C12" s="96">
        <v>1235</v>
      </c>
      <c r="D12" s="11">
        <v>5933</v>
      </c>
    </row>
    <row r="13" spans="1:6" x14ac:dyDescent="0.3">
      <c r="A13" s="7" t="s">
        <v>88</v>
      </c>
      <c r="B13" s="14"/>
      <c r="C13" s="123">
        <f>-2426009-184342</f>
        <v>-2610351</v>
      </c>
      <c r="D13" s="15">
        <f>-2160459</f>
        <v>-2160459</v>
      </c>
    </row>
    <row r="14" spans="1:6" x14ac:dyDescent="0.3">
      <c r="A14" s="19" t="s">
        <v>9</v>
      </c>
      <c r="B14" s="20"/>
      <c r="C14" s="124">
        <f>SUM(C10:C13)</f>
        <v>-5682874</v>
      </c>
      <c r="D14" s="21">
        <f>SUM(D10:D13)</f>
        <v>-3918646</v>
      </c>
      <c r="F14" s="64"/>
    </row>
    <row r="15" spans="1:6" x14ac:dyDescent="0.3">
      <c r="A15" s="12" t="s">
        <v>92</v>
      </c>
      <c r="B15" s="13"/>
      <c r="C15" s="96"/>
      <c r="D15" s="11">
        <v>0</v>
      </c>
    </row>
    <row r="16" spans="1:6" x14ac:dyDescent="0.3">
      <c r="A16" s="22" t="s">
        <v>10</v>
      </c>
      <c r="B16" s="23"/>
      <c r="C16" s="125">
        <f>C14</f>
        <v>-5682874</v>
      </c>
      <c r="D16" s="24">
        <f>D14</f>
        <v>-3918646</v>
      </c>
    </row>
    <row r="17" spans="1:6" x14ac:dyDescent="0.3">
      <c r="A17" s="25" t="s">
        <v>11</v>
      </c>
      <c r="B17" s="13"/>
      <c r="C17" s="96">
        <v>0</v>
      </c>
      <c r="D17" s="11">
        <v>0</v>
      </c>
    </row>
    <row r="18" spans="1:6" ht="27.6" x14ac:dyDescent="0.3">
      <c r="A18" s="22" t="s">
        <v>12</v>
      </c>
      <c r="B18" s="23"/>
      <c r="C18" s="126">
        <f>C16</f>
        <v>-5682874</v>
      </c>
      <c r="D18" s="26">
        <f>D16</f>
        <v>-3918646</v>
      </c>
    </row>
    <row r="19" spans="1:6" x14ac:dyDescent="0.3">
      <c r="A19" s="27"/>
      <c r="B19" s="1"/>
      <c r="C19" s="127"/>
      <c r="D19" s="28"/>
      <c r="F19" s="142"/>
    </row>
    <row r="20" spans="1:6" x14ac:dyDescent="0.3">
      <c r="A20" s="29" t="s">
        <v>13</v>
      </c>
      <c r="B20" s="30"/>
      <c r="C20" s="128">
        <f>-242.9</f>
        <v>-242.9</v>
      </c>
      <c r="D20" s="31">
        <v>-167.6</v>
      </c>
    </row>
    <row r="21" spans="1:6" x14ac:dyDescent="0.3">
      <c r="A21" s="27"/>
      <c r="B21" s="1"/>
      <c r="C21" s="119"/>
      <c r="D21" s="1"/>
    </row>
    <row r="22" spans="1:6" x14ac:dyDescent="0.3">
      <c r="A22" s="32" t="s">
        <v>14</v>
      </c>
      <c r="B22" s="1"/>
      <c r="C22" s="119"/>
      <c r="D22" s="1"/>
    </row>
    <row r="23" spans="1:6" ht="11.25" customHeight="1" x14ac:dyDescent="0.3">
      <c r="A23" s="32"/>
      <c r="B23" s="1"/>
      <c r="C23" s="129"/>
      <c r="D23" s="1"/>
    </row>
    <row r="24" spans="1:6" ht="12.75" customHeight="1" x14ac:dyDescent="0.3">
      <c r="A24" s="32"/>
      <c r="B24" s="1"/>
      <c r="C24" s="119"/>
      <c r="D24" s="1"/>
    </row>
    <row r="25" spans="1:6" x14ac:dyDescent="0.3">
      <c r="A25" s="27"/>
      <c r="B25" s="1"/>
      <c r="C25" s="119"/>
      <c r="D25" s="1"/>
    </row>
    <row r="26" spans="1:6" ht="20.25" customHeight="1" x14ac:dyDescent="0.3">
      <c r="A26" s="27" t="s">
        <v>15</v>
      </c>
      <c r="B26" s="1"/>
      <c r="C26" s="119"/>
      <c r="D26" s="1" t="s">
        <v>74</v>
      </c>
    </row>
    <row r="27" spans="1:6" x14ac:dyDescent="0.3">
      <c r="A27" s="27"/>
      <c r="B27" s="1"/>
      <c r="C27" s="119"/>
      <c r="D27" s="1"/>
    </row>
    <row r="28" spans="1:6" ht="10.5" customHeight="1" x14ac:dyDescent="0.3">
      <c r="A28" s="27"/>
      <c r="B28" s="1"/>
      <c r="C28" s="119"/>
      <c r="D28" s="1"/>
    </row>
    <row r="29" spans="1:6" ht="20.25" customHeight="1" x14ac:dyDescent="0.3">
      <c r="A29" s="27" t="s">
        <v>16</v>
      </c>
      <c r="B29" s="1"/>
      <c r="C29" s="119"/>
      <c r="D29" s="1" t="s">
        <v>17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52"/>
  <sheetViews>
    <sheetView showGridLines="0" tabSelected="1" workbookViewId="0">
      <selection activeCell="L46" sqref="L46"/>
    </sheetView>
  </sheetViews>
  <sheetFormatPr defaultColWidth="8.88671875" defaultRowHeight="13.8" x14ac:dyDescent="0.3"/>
  <cols>
    <col min="1" max="1" width="2.33203125" style="40" customWidth="1"/>
    <col min="2" max="2" width="43.109375" style="40" customWidth="1"/>
    <col min="3" max="3" width="6.33203125" style="40" customWidth="1"/>
    <col min="4" max="4" width="10.6640625" style="40" customWidth="1"/>
    <col min="5" max="5" width="13.33203125" style="40" customWidth="1"/>
    <col min="6" max="6" width="12.88671875" style="40" customWidth="1"/>
    <col min="7" max="7" width="12.44140625" style="40" customWidth="1"/>
    <col min="8" max="8" width="8.88671875" style="40"/>
    <col min="9" max="9" width="9.88671875" style="40" bestFit="1" customWidth="1"/>
    <col min="10" max="10" width="8.88671875" style="40"/>
    <col min="11" max="11" width="12.5546875" style="40" bestFit="1" customWidth="1"/>
    <col min="12" max="16384" width="8.88671875" style="40"/>
  </cols>
  <sheetData>
    <row r="1" spans="1:8" x14ac:dyDescent="0.3">
      <c r="B1" s="106" t="s">
        <v>0</v>
      </c>
      <c r="C1" s="41"/>
      <c r="D1" s="41"/>
      <c r="E1" s="41"/>
      <c r="F1" s="41"/>
      <c r="G1" s="41"/>
    </row>
    <row r="2" spans="1:8" x14ac:dyDescent="0.3">
      <c r="B2" s="106" t="s">
        <v>40</v>
      </c>
      <c r="C2" s="41"/>
      <c r="D2" s="41"/>
      <c r="E2" s="41"/>
      <c r="F2" s="41"/>
      <c r="G2" s="41"/>
    </row>
    <row r="3" spans="1:8" x14ac:dyDescent="0.3">
      <c r="B3" s="2" t="s">
        <v>95</v>
      </c>
      <c r="C3" s="42"/>
      <c r="D3" s="42"/>
      <c r="E3" s="42"/>
      <c r="F3" s="3"/>
      <c r="G3" s="3"/>
    </row>
    <row r="4" spans="1:8" ht="11.25" customHeight="1" thickBot="1" x14ac:dyDescent="0.35">
      <c r="B4" s="43"/>
      <c r="C4" s="5"/>
      <c r="D4" s="5"/>
      <c r="E4" s="5"/>
      <c r="F4" s="5"/>
      <c r="G4" s="5"/>
    </row>
    <row r="5" spans="1:8" x14ac:dyDescent="0.3">
      <c r="B5" s="44"/>
      <c r="C5" s="44"/>
      <c r="D5" s="44"/>
      <c r="E5" s="44"/>
      <c r="F5" s="44"/>
      <c r="G5" s="44"/>
    </row>
    <row r="6" spans="1:8" ht="44.25" customHeight="1" x14ac:dyDescent="0.3">
      <c r="B6" s="7" t="s">
        <v>2</v>
      </c>
      <c r="C6" s="8" t="s">
        <v>3</v>
      </c>
      <c r="D6" s="8" t="s">
        <v>29</v>
      </c>
      <c r="E6" s="8" t="s">
        <v>30</v>
      </c>
      <c r="F6" s="8" t="s">
        <v>31</v>
      </c>
      <c r="G6" s="8" t="s">
        <v>41</v>
      </c>
    </row>
    <row r="7" spans="1:8" s="47" customFormat="1" hidden="1" x14ac:dyDescent="0.3">
      <c r="A7" s="45"/>
      <c r="B7" s="22" t="s">
        <v>42</v>
      </c>
      <c r="C7" s="22"/>
      <c r="D7" s="46">
        <v>0</v>
      </c>
      <c r="E7" s="46">
        <v>0</v>
      </c>
      <c r="F7" s="46">
        <v>0</v>
      </c>
      <c r="G7" s="46">
        <f>SUM(D7:F7)</f>
        <v>0</v>
      </c>
      <c r="H7" s="48"/>
    </row>
    <row r="8" spans="1:8" s="47" customFormat="1" hidden="1" x14ac:dyDescent="0.3">
      <c r="A8" s="45"/>
      <c r="B8" s="16"/>
      <c r="C8" s="16"/>
      <c r="D8" s="49"/>
      <c r="E8" s="49"/>
      <c r="F8" s="49"/>
      <c r="G8" s="49"/>
    </row>
    <row r="9" spans="1:8" s="51" customFormat="1" hidden="1" x14ac:dyDescent="0.3">
      <c r="A9" s="40"/>
      <c r="B9" s="12" t="s">
        <v>43</v>
      </c>
      <c r="C9" s="12"/>
      <c r="D9" s="50">
        <v>0</v>
      </c>
      <c r="E9" s="50">
        <v>0</v>
      </c>
      <c r="F9" s="50">
        <f>[1]BS!N31</f>
        <v>-28058</v>
      </c>
      <c r="G9" s="50">
        <f>SUM(D9:F9)</f>
        <v>-28058</v>
      </c>
    </row>
    <row r="10" spans="1:8" s="51" customFormat="1" hidden="1" x14ac:dyDescent="0.3">
      <c r="A10" s="40"/>
      <c r="B10" s="12" t="s">
        <v>44</v>
      </c>
      <c r="C10" s="12"/>
      <c r="D10" s="50">
        <f>121000+23266466</f>
        <v>23387466</v>
      </c>
      <c r="E10" s="50">
        <f>-E7</f>
        <v>0</v>
      </c>
      <c r="F10" s="50">
        <f>-E10</f>
        <v>0</v>
      </c>
      <c r="G10" s="52">
        <f>SUM(D10:F10)</f>
        <v>23387466</v>
      </c>
    </row>
    <row r="11" spans="1:8" s="51" customFormat="1" ht="41.4" hidden="1" x14ac:dyDescent="0.3">
      <c r="A11" s="40"/>
      <c r="B11" s="12" t="s">
        <v>45</v>
      </c>
      <c r="C11" s="12"/>
      <c r="D11" s="52">
        <v>0</v>
      </c>
      <c r="E11" s="52">
        <v>0</v>
      </c>
      <c r="F11" s="52">
        <v>0</v>
      </c>
      <c r="G11" s="52">
        <f>SUM(D11:F11)</f>
        <v>0</v>
      </c>
    </row>
    <row r="12" spans="1:8" s="51" customFormat="1" hidden="1" x14ac:dyDescent="0.3">
      <c r="A12" s="40"/>
      <c r="B12" s="7" t="s">
        <v>46</v>
      </c>
      <c r="C12" s="14"/>
      <c r="D12" s="53">
        <v>0</v>
      </c>
      <c r="E12" s="53">
        <v>0</v>
      </c>
      <c r="F12" s="53">
        <v>0</v>
      </c>
      <c r="G12" s="53">
        <f>SUM(D12:F12)</f>
        <v>0</v>
      </c>
    </row>
    <row r="13" spans="1:8" s="51" customFormat="1" hidden="1" x14ac:dyDescent="0.3">
      <c r="A13" s="40"/>
      <c r="B13" s="12" t="s">
        <v>47</v>
      </c>
      <c r="C13" s="12"/>
      <c r="D13" s="50">
        <f>SUM(D9:D12)</f>
        <v>23387466</v>
      </c>
      <c r="E13" s="50">
        <f>SUM(E9:E12)</f>
        <v>0</v>
      </c>
      <c r="F13" s="50">
        <f>SUM(F9:F12)</f>
        <v>-28058</v>
      </c>
      <c r="G13" s="50">
        <f>SUM(G9:G12)</f>
        <v>23359408</v>
      </c>
    </row>
    <row r="14" spans="1:8" s="51" customFormat="1" hidden="1" x14ac:dyDescent="0.3">
      <c r="A14" s="40"/>
      <c r="B14" s="12"/>
      <c r="C14" s="12"/>
      <c r="D14" s="50"/>
      <c r="E14" s="50"/>
      <c r="F14" s="50"/>
      <c r="G14" s="50"/>
    </row>
    <row r="15" spans="1:8" s="47" customFormat="1" hidden="1" x14ac:dyDescent="0.3">
      <c r="A15" s="45"/>
      <c r="B15" s="22" t="s">
        <v>48</v>
      </c>
      <c r="C15" s="22"/>
      <c r="D15" s="46">
        <f>SUM(D7,D13)</f>
        <v>23387466</v>
      </c>
      <c r="E15" s="46"/>
      <c r="F15" s="46">
        <f>F13</f>
        <v>-28058</v>
      </c>
      <c r="G15" s="46">
        <f>SUM(D15:F15)</f>
        <v>23359408</v>
      </c>
      <c r="H15" s="48"/>
    </row>
    <row r="16" spans="1:8" s="51" customFormat="1" hidden="1" x14ac:dyDescent="0.3">
      <c r="A16" s="40"/>
      <c r="B16" s="12" t="s">
        <v>43</v>
      </c>
      <c r="C16" s="12"/>
      <c r="D16" s="50">
        <v>0</v>
      </c>
      <c r="E16" s="50">
        <v>0</v>
      </c>
      <c r="F16" s="50">
        <f>-193502</f>
        <v>-193502</v>
      </c>
      <c r="G16" s="50">
        <f>SUM(D16:F16)</f>
        <v>-193502</v>
      </c>
    </row>
    <row r="17" spans="1:9" s="51" customFormat="1" hidden="1" x14ac:dyDescent="0.3">
      <c r="A17" s="40"/>
      <c r="B17" s="12" t="s">
        <v>44</v>
      </c>
      <c r="C17" s="12"/>
      <c r="D17" s="50"/>
      <c r="E17" s="50">
        <f>-E14</f>
        <v>0</v>
      </c>
      <c r="F17" s="50">
        <f>-E17</f>
        <v>0</v>
      </c>
      <c r="G17" s="52">
        <f>SUM(D17:F17)</f>
        <v>0</v>
      </c>
    </row>
    <row r="18" spans="1:9" s="51" customFormat="1" ht="41.4" hidden="1" x14ac:dyDescent="0.3">
      <c r="A18" s="40"/>
      <c r="B18" s="12" t="s">
        <v>45</v>
      </c>
      <c r="C18" s="12"/>
      <c r="D18" s="52">
        <v>0</v>
      </c>
      <c r="E18" s="52">
        <v>37139</v>
      </c>
      <c r="F18" s="52">
        <v>0</v>
      </c>
      <c r="G18" s="52">
        <f>SUM(D18:F18)</f>
        <v>37139</v>
      </c>
    </row>
    <row r="19" spans="1:9" s="51" customFormat="1" hidden="1" x14ac:dyDescent="0.3">
      <c r="A19" s="40"/>
      <c r="B19" s="7" t="s">
        <v>46</v>
      </c>
      <c r="C19" s="14"/>
      <c r="D19" s="53">
        <v>0</v>
      </c>
      <c r="E19" s="53">
        <v>-28900988</v>
      </c>
      <c r="F19" s="53">
        <v>0</v>
      </c>
      <c r="G19" s="53">
        <f>SUM(D19:F19)</f>
        <v>-28900988</v>
      </c>
    </row>
    <row r="20" spans="1:9" s="51" customFormat="1" hidden="1" x14ac:dyDescent="0.3">
      <c r="A20" s="40"/>
      <c r="B20" s="12" t="s">
        <v>47</v>
      </c>
      <c r="C20" s="12"/>
      <c r="D20" s="50">
        <f>SUM(D16:D19)</f>
        <v>0</v>
      </c>
      <c r="E20" s="54">
        <f>SUM(E16:E19)</f>
        <v>-28863849</v>
      </c>
      <c r="F20" s="50">
        <f>SUM(F15:F19)</f>
        <v>-221560</v>
      </c>
      <c r="G20" s="50">
        <f>SUM(G16:G19)</f>
        <v>-29057351</v>
      </c>
    </row>
    <row r="21" spans="1:9" s="47" customFormat="1" hidden="1" x14ac:dyDescent="0.3">
      <c r="A21" s="45"/>
      <c r="B21" s="22" t="s">
        <v>49</v>
      </c>
      <c r="C21" s="22"/>
      <c r="D21" s="46">
        <f>D15</f>
        <v>23387466</v>
      </c>
      <c r="E21" s="46">
        <f>E20</f>
        <v>-28863849</v>
      </c>
      <c r="F21" s="46">
        <f>F20</f>
        <v>-221560</v>
      </c>
      <c r="G21" s="46">
        <f>D21+E21+F21</f>
        <v>-5697943</v>
      </c>
      <c r="H21" s="48"/>
    </row>
    <row r="22" spans="1:9" s="47" customFormat="1" hidden="1" x14ac:dyDescent="0.3">
      <c r="A22" s="45"/>
      <c r="B22" s="16"/>
      <c r="C22" s="16"/>
      <c r="D22" s="49"/>
      <c r="E22" s="49"/>
      <c r="F22" s="49"/>
      <c r="G22" s="49"/>
      <c r="H22" s="48"/>
    </row>
    <row r="23" spans="1:9" s="47" customFormat="1" hidden="1" x14ac:dyDescent="0.3">
      <c r="A23" s="45"/>
      <c r="B23" s="16" t="s">
        <v>75</v>
      </c>
      <c r="C23" s="16"/>
      <c r="D23" s="49">
        <v>23387466</v>
      </c>
      <c r="E23" s="49">
        <v>-28863849</v>
      </c>
      <c r="F23" s="49">
        <v>-221560</v>
      </c>
      <c r="G23" s="49">
        <v>-5697943</v>
      </c>
      <c r="H23" s="48"/>
    </row>
    <row r="24" spans="1:9" s="51" customFormat="1" hidden="1" x14ac:dyDescent="0.3">
      <c r="A24" s="40"/>
      <c r="B24" s="12" t="s">
        <v>80</v>
      </c>
      <c r="C24" s="12"/>
      <c r="D24" s="50">
        <v>0</v>
      </c>
      <c r="E24" s="50">
        <v>0</v>
      </c>
      <c r="F24" s="50">
        <f>-3333416</f>
        <v>-3333416</v>
      </c>
      <c r="G24" s="50">
        <f>SUM(D24:F24)</f>
        <v>-3333416</v>
      </c>
    </row>
    <row r="25" spans="1:9" s="51" customFormat="1" ht="27.6" hidden="1" x14ac:dyDescent="0.3">
      <c r="A25" s="40"/>
      <c r="B25" s="12" t="s">
        <v>79</v>
      </c>
      <c r="C25" s="12"/>
      <c r="D25" s="52">
        <v>0</v>
      </c>
      <c r="E25" s="52">
        <v>37399</v>
      </c>
      <c r="F25" s="52"/>
      <c r="G25" s="52">
        <f>E25</f>
        <v>37399</v>
      </c>
    </row>
    <row r="26" spans="1:9" s="51" customFormat="1" hidden="1" x14ac:dyDescent="0.3">
      <c r="A26" s="40"/>
      <c r="B26" s="7" t="s">
        <v>46</v>
      </c>
      <c r="C26" s="14"/>
      <c r="D26" s="53">
        <v>0</v>
      </c>
      <c r="E26" s="53"/>
      <c r="F26" s="53"/>
      <c r="G26" s="53"/>
    </row>
    <row r="27" spans="1:9" s="51" customFormat="1" hidden="1" x14ac:dyDescent="0.3">
      <c r="A27" s="40"/>
      <c r="B27" s="12" t="s">
        <v>47</v>
      </c>
      <c r="C27" s="12"/>
      <c r="D27" s="50">
        <f>SUM(D24:D26)</f>
        <v>0</v>
      </c>
      <c r="E27" s="54">
        <f>SUM(E24:E26)</f>
        <v>37399</v>
      </c>
      <c r="F27" s="50">
        <f>F24</f>
        <v>-3333416</v>
      </c>
      <c r="G27" s="50">
        <f>SUM(G24:G26)</f>
        <v>-3296017</v>
      </c>
    </row>
    <row r="28" spans="1:9" s="47" customFormat="1" ht="15.75" hidden="1" customHeight="1" x14ac:dyDescent="0.3">
      <c r="A28" s="45"/>
      <c r="B28" s="22" t="s">
        <v>51</v>
      </c>
      <c r="C28" s="22"/>
      <c r="D28" s="46">
        <f>D21</f>
        <v>23387466</v>
      </c>
      <c r="E28" s="46">
        <f>E21+E25</f>
        <v>-28826450</v>
      </c>
      <c r="F28" s="46">
        <f>F27+F21</f>
        <v>-3554976</v>
      </c>
      <c r="G28" s="46">
        <f>D28+E28+F28</f>
        <v>-8993960</v>
      </c>
      <c r="H28" s="48"/>
    </row>
    <row r="29" spans="1:9" s="45" customFormat="1" ht="14.25" hidden="1" customHeight="1" x14ac:dyDescent="0.3">
      <c r="B29" s="12" t="s">
        <v>82</v>
      </c>
      <c r="C29" s="12"/>
      <c r="D29" s="50">
        <v>0</v>
      </c>
      <c r="E29" s="50">
        <v>0</v>
      </c>
      <c r="F29" s="50">
        <f>-1529359</f>
        <v>-1529359</v>
      </c>
      <c r="G29" s="50">
        <f>SUM(D29:F29)</f>
        <v>-1529359</v>
      </c>
    </row>
    <row r="30" spans="1:9" s="45" customFormat="1" ht="30.75" hidden="1" customHeight="1" x14ac:dyDescent="0.3">
      <c r="B30" s="12" t="s">
        <v>79</v>
      </c>
      <c r="C30" s="12"/>
      <c r="D30" s="52">
        <v>0</v>
      </c>
      <c r="E30" s="52"/>
      <c r="F30" s="52"/>
      <c r="G30" s="52"/>
    </row>
    <row r="31" spans="1:9" s="45" customFormat="1" hidden="1" x14ac:dyDescent="0.3">
      <c r="B31" s="12" t="s">
        <v>81</v>
      </c>
      <c r="C31" s="12"/>
      <c r="D31" s="50">
        <f>SUM(D29:D30)</f>
        <v>0</v>
      </c>
      <c r="E31" s="50">
        <f>SUM(E29:E30)</f>
        <v>0</v>
      </c>
      <c r="F31" s="50">
        <f>SUM(F29:F30)</f>
        <v>-1529359</v>
      </c>
      <c r="G31" s="50">
        <f>SUM(G29:G30)</f>
        <v>-1529359</v>
      </c>
    </row>
    <row r="32" spans="1:9" s="45" customFormat="1" hidden="1" x14ac:dyDescent="0.3">
      <c r="B32" s="12"/>
      <c r="C32" s="12"/>
      <c r="D32" s="50"/>
      <c r="E32" s="50"/>
      <c r="F32" s="50"/>
      <c r="G32" s="50"/>
      <c r="I32" s="47"/>
    </row>
    <row r="33" spans="2:12" s="45" customFormat="1" ht="22.5" hidden="1" customHeight="1" x14ac:dyDescent="0.3">
      <c r="B33" s="22" t="s">
        <v>87</v>
      </c>
      <c r="C33" s="22"/>
      <c r="D33" s="46">
        <f>D28</f>
        <v>23387466</v>
      </c>
      <c r="E33" s="46">
        <f>E28</f>
        <v>-28826450</v>
      </c>
      <c r="F33" s="46">
        <f>F28+F29</f>
        <v>-5084335</v>
      </c>
      <c r="G33" s="46">
        <f>D33+E33+F33</f>
        <v>-10523319</v>
      </c>
      <c r="H33" s="48"/>
    </row>
    <row r="34" spans="2:12" s="45" customFormat="1" ht="14.25" hidden="1" customHeight="1" x14ac:dyDescent="0.3">
      <c r="B34" s="12" t="s">
        <v>82</v>
      </c>
      <c r="C34" s="12"/>
      <c r="D34" s="50">
        <v>0</v>
      </c>
      <c r="E34" s="50">
        <v>0</v>
      </c>
      <c r="F34" s="50"/>
      <c r="G34" s="50">
        <f>SUM(D34:F34)</f>
        <v>0</v>
      </c>
    </row>
    <row r="35" spans="2:12" s="45" customFormat="1" ht="30.75" hidden="1" customHeight="1" x14ac:dyDescent="0.3">
      <c r="B35" s="12" t="s">
        <v>79</v>
      </c>
      <c r="C35" s="12"/>
      <c r="D35" s="52">
        <v>0</v>
      </c>
      <c r="E35" s="52">
        <v>2589630</v>
      </c>
      <c r="F35" s="52"/>
      <c r="G35" s="52"/>
    </row>
    <row r="36" spans="2:12" s="45" customFormat="1" ht="15" hidden="1" customHeight="1" x14ac:dyDescent="0.3">
      <c r="B36" s="12" t="s">
        <v>81</v>
      </c>
      <c r="C36" s="12"/>
      <c r="D36" s="50">
        <f>SUM(D34:D35)</f>
        <v>0</v>
      </c>
      <c r="E36" s="50"/>
      <c r="F36" s="50">
        <f>-5047293</f>
        <v>-5047293</v>
      </c>
      <c r="G36" s="50">
        <f>SUM(G34:G35)</f>
        <v>0</v>
      </c>
    </row>
    <row r="37" spans="2:12" s="45" customFormat="1" ht="10.5" hidden="1" customHeight="1" x14ac:dyDescent="0.3">
      <c r="B37" s="12"/>
      <c r="C37" s="12"/>
      <c r="D37" s="50"/>
      <c r="E37" s="50"/>
      <c r="F37" s="50"/>
      <c r="G37" s="50"/>
    </row>
    <row r="38" spans="2:12" s="137" customFormat="1" ht="18" customHeight="1" x14ac:dyDescent="0.3">
      <c r="B38" s="133" t="s">
        <v>90</v>
      </c>
      <c r="C38" s="133"/>
      <c r="D38" s="134">
        <f>SUM(D15,D36)</f>
        <v>23387466</v>
      </c>
      <c r="E38" s="134">
        <f>E33+E35</f>
        <v>-26236820</v>
      </c>
      <c r="F38" s="134">
        <f>F33+F36</f>
        <v>-10131628</v>
      </c>
      <c r="G38" s="134">
        <f>D38+E38+F38</f>
        <v>-12980982</v>
      </c>
      <c r="H38" s="135"/>
      <c r="I38" s="136"/>
      <c r="K38" s="138"/>
      <c r="L38" s="138"/>
    </row>
    <row r="39" spans="2:12" s="137" customFormat="1" ht="12" customHeight="1" x14ac:dyDescent="0.3">
      <c r="B39" s="139"/>
      <c r="C39" s="139"/>
      <c r="D39" s="140"/>
      <c r="E39" s="140"/>
      <c r="F39" s="140"/>
      <c r="G39" s="140"/>
      <c r="H39" s="135"/>
      <c r="I39" s="136"/>
      <c r="K39" s="138"/>
      <c r="L39" s="138"/>
    </row>
    <row r="40" spans="2:12" s="137" customFormat="1" ht="19.5" customHeight="1" x14ac:dyDescent="0.3">
      <c r="B40" s="139" t="s">
        <v>93</v>
      </c>
      <c r="C40" s="139"/>
      <c r="D40" s="140">
        <v>23387466</v>
      </c>
      <c r="E40" s="140">
        <f>E38</f>
        <v>-26236820</v>
      </c>
      <c r="F40" s="140">
        <f>F38</f>
        <v>-10131628</v>
      </c>
      <c r="G40" s="140">
        <f>G38</f>
        <v>-12980982</v>
      </c>
      <c r="H40" s="135"/>
      <c r="I40" s="136"/>
      <c r="K40" s="138"/>
      <c r="L40" s="138"/>
    </row>
    <row r="41" spans="2:12" s="45" customFormat="1" ht="30" customHeight="1" x14ac:dyDescent="0.3">
      <c r="B41" s="12" t="s">
        <v>79</v>
      </c>
      <c r="C41" s="12"/>
      <c r="D41" s="52"/>
      <c r="E41" s="52"/>
      <c r="F41" s="52"/>
      <c r="G41" s="52"/>
      <c r="H41" s="48"/>
      <c r="I41" s="47"/>
    </row>
    <row r="42" spans="2:12" s="45" customFormat="1" ht="16.5" customHeight="1" x14ac:dyDescent="0.3">
      <c r="B42" s="12" t="s">
        <v>81</v>
      </c>
      <c r="C42" s="12"/>
      <c r="D42" s="50"/>
      <c r="E42" s="50"/>
      <c r="F42" s="50">
        <f>-5682874</f>
        <v>-5682874</v>
      </c>
      <c r="G42" s="50">
        <f>F42</f>
        <v>-5682874</v>
      </c>
      <c r="H42" s="48"/>
      <c r="I42" s="47"/>
    </row>
    <row r="43" spans="2:12" s="45" customFormat="1" x14ac:dyDescent="0.3">
      <c r="B43" s="12"/>
      <c r="C43" s="12"/>
      <c r="D43" s="50"/>
      <c r="E43" s="50"/>
      <c r="F43" s="50"/>
      <c r="G43" s="50"/>
      <c r="H43" s="48"/>
      <c r="I43" s="47"/>
    </row>
    <row r="44" spans="2:12" s="45" customFormat="1" ht="18" customHeight="1" x14ac:dyDescent="0.3">
      <c r="B44" s="22" t="s">
        <v>98</v>
      </c>
      <c r="C44" s="22"/>
      <c r="D44" s="46">
        <f>D38</f>
        <v>23387466</v>
      </c>
      <c r="E44" s="46">
        <f>E40</f>
        <v>-26236820</v>
      </c>
      <c r="F44" s="46">
        <f>F38+F42</f>
        <v>-15814502</v>
      </c>
      <c r="G44" s="46">
        <f>D44+E44+F44</f>
        <v>-18663856</v>
      </c>
      <c r="H44" s="48"/>
      <c r="I44" s="47"/>
      <c r="K44" s="47"/>
    </row>
    <row r="45" spans="2:12" s="45" customFormat="1" x14ac:dyDescent="0.3">
      <c r="B45" s="16"/>
      <c r="C45" s="16"/>
      <c r="D45" s="49"/>
      <c r="E45" s="49"/>
      <c r="F45" s="49"/>
      <c r="G45" s="49"/>
    </row>
    <row r="46" spans="2:12" s="45" customFormat="1" x14ac:dyDescent="0.3">
      <c r="B46" s="16"/>
      <c r="C46" s="16"/>
      <c r="D46" s="49"/>
      <c r="E46" s="49"/>
      <c r="F46" s="49"/>
      <c r="G46" s="49"/>
    </row>
    <row r="47" spans="2:12" s="45" customFormat="1" x14ac:dyDescent="0.3">
      <c r="B47" s="16"/>
      <c r="C47" s="16"/>
      <c r="D47" s="49"/>
      <c r="E47" s="49"/>
      <c r="F47" s="49"/>
      <c r="G47" s="49"/>
    </row>
    <row r="48" spans="2:12" s="45" customFormat="1" ht="15.75" customHeight="1" x14ac:dyDescent="0.3">
      <c r="B48" s="56" t="s">
        <v>15</v>
      </c>
      <c r="C48" s="27"/>
      <c r="D48" s="55"/>
      <c r="E48" s="1"/>
      <c r="F48" s="1"/>
      <c r="G48" s="1" t="s">
        <v>74</v>
      </c>
    </row>
    <row r="49" spans="2:7" s="45" customFormat="1" x14ac:dyDescent="0.3">
      <c r="B49" s="56"/>
      <c r="C49" s="27"/>
      <c r="D49" s="1"/>
      <c r="E49" s="1"/>
      <c r="F49" s="49"/>
      <c r="G49" s="1"/>
    </row>
    <row r="50" spans="2:7" s="45" customFormat="1" x14ac:dyDescent="0.3">
      <c r="B50" s="56"/>
      <c r="C50" s="27"/>
      <c r="D50" s="1"/>
      <c r="E50" s="1"/>
      <c r="F50" s="49"/>
      <c r="G50" s="1"/>
    </row>
    <row r="51" spans="2:7" s="45" customFormat="1" ht="18" customHeight="1" x14ac:dyDescent="0.3">
      <c r="B51" s="56" t="s">
        <v>16</v>
      </c>
      <c r="C51" s="27"/>
      <c r="D51" s="1"/>
      <c r="E51" s="1"/>
      <c r="F51" s="1"/>
      <c r="G51" s="1" t="s">
        <v>17</v>
      </c>
    </row>
    <row r="52" spans="2:7" s="45" customFormat="1" x14ac:dyDescent="0.3">
      <c r="B52" s="57"/>
      <c r="C52" s="16"/>
    </row>
  </sheetData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движении денег</vt:lpstr>
      <vt:lpstr>Отч о совокупном доходе</vt:lpstr>
      <vt:lpstr>Отч об изм в капитале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2023-11-14T10:34:19Z</cp:lastPrinted>
  <dcterms:created xsi:type="dcterms:W3CDTF">2020-11-13T09:40:50Z</dcterms:created>
  <dcterms:modified xsi:type="dcterms:W3CDTF">2023-11-14T11:19:58Z</dcterms:modified>
</cp:coreProperties>
</file>