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/>
  <mc:AlternateContent xmlns:mc="http://schemas.openxmlformats.org/markup-compatibility/2006">
    <mc:Choice Requires="x15">
      <x15ac:absPath xmlns:x15ac="http://schemas.microsoft.com/office/spreadsheetml/2010/11/ac" url="C:\Users\bekzhanov_b\OneDrive - Default_directory_BI.Group\Desktop\"/>
    </mc:Choice>
  </mc:AlternateContent>
  <xr:revisionPtr revIDLastSave="0" documentId="13_ncr:1_{E0C8CEF8-0DEE-460A-9590-0FE4E0210F9C}" xr6:coauthVersionLast="36" xr6:coauthVersionMax="36" xr10:uidLastSave="{00000000-0000-0000-0000-000000000000}"/>
  <bookViews>
    <workbookView xWindow="0" yWindow="0" windowWidth="23040" windowHeight="7764" xr2:uid="{00000000-000D-0000-FFFF-FFFF00000000}"/>
  </bookViews>
  <sheets>
    <sheet name="PL" sheetId="5" r:id="rId1"/>
    <sheet name="BS" sheetId="1" r:id="rId2"/>
    <sheet name="CFS" sheetId="3" r:id="rId3"/>
    <sheet name="SCE_1кв. 2025" sheetId="6" r:id="rId4"/>
  </sheets>
  <definedNames>
    <definedName name="BalanceSheet" localSheetId="1">BS!$E$11</definedName>
    <definedName name="CashFlows" localSheetId="2">CFS!$E$10</definedName>
    <definedName name="OLE_LINK10" localSheetId="2">CFS!#REF!</definedName>
    <definedName name="OLE_LINK16" localSheetId="1">BS!$G$67</definedName>
    <definedName name="OLE_LINK17" localSheetId="1">BS!#REF!</definedName>
    <definedName name="OLE_LINK5" localSheetId="0">PL!#REF!</definedName>
    <definedName name="OLE_LINK6" localSheetId="0">PL!$H$15</definedName>
    <definedName name="OLE_LINK7" localSheetId="0">PL!#REF!</definedName>
    <definedName name="_xlnm.Print_Area" localSheetId="1">BS!$D$2:$I$82</definedName>
    <definedName name="_xlnm.Print_Area" localSheetId="2">CFS!$D$2:$J$79</definedName>
    <definedName name="_xlnm.Print_Area" localSheetId="0">PL!$D$2:$I$49</definedName>
    <definedName name="_xlnm.Print_Area" localSheetId="3">'SCE_1кв. 2025'!$D$3:$K$49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6" l="1"/>
  <c r="I15" i="6"/>
  <c r="I29" i="6"/>
  <c r="I35" i="6" s="1"/>
  <c r="I34" i="6"/>
  <c r="H35" i="6"/>
  <c r="H33" i="6"/>
  <c r="I32" i="6"/>
  <c r="I33" i="6"/>
  <c r="G23" i="1"/>
  <c r="G41" i="3"/>
  <c r="I31" i="3"/>
  <c r="I30" i="3"/>
  <c r="I29" i="3"/>
  <c r="I28" i="3"/>
  <c r="I27" i="3"/>
  <c r="G31" i="3"/>
  <c r="G30" i="3"/>
  <c r="G29" i="3"/>
  <c r="G28" i="3"/>
  <c r="G27" i="3"/>
  <c r="I21" i="3"/>
  <c r="I20" i="3"/>
  <c r="I19" i="3"/>
  <c r="I18" i="3"/>
  <c r="I17" i="3"/>
  <c r="G21" i="3"/>
  <c r="G20" i="3"/>
  <c r="G19" i="3"/>
  <c r="G18" i="3"/>
  <c r="G17" i="3"/>
  <c r="I13" i="3"/>
  <c r="I12" i="3"/>
  <c r="G13" i="3"/>
  <c r="G12" i="3"/>
  <c r="H23" i="1"/>
  <c r="H12" i="5" l="1"/>
  <c r="G12" i="5"/>
  <c r="F35" i="6" l="1"/>
  <c r="I20" i="6"/>
  <c r="I19" i="6"/>
  <c r="I18" i="6"/>
  <c r="I66" i="3"/>
  <c r="G66" i="3"/>
  <c r="G82" i="3" s="1"/>
  <c r="I59" i="3"/>
  <c r="G59" i="3"/>
  <c r="I49" i="3"/>
  <c r="G49" i="3"/>
  <c r="I41" i="3"/>
  <c r="I32" i="3"/>
  <c r="G32" i="3"/>
  <c r="I22" i="3"/>
  <c r="G22" i="3"/>
  <c r="I14" i="3"/>
  <c r="G14" i="3"/>
  <c r="G60" i="3" l="1"/>
  <c r="I42" i="3"/>
  <c r="G42" i="3"/>
  <c r="I23" i="3"/>
  <c r="I60" i="3"/>
  <c r="G23" i="3"/>
  <c r="H61" i="1" l="1"/>
  <c r="G61" i="1"/>
  <c r="H46" i="1"/>
  <c r="G46" i="1"/>
  <c r="H37" i="1"/>
  <c r="G37" i="1"/>
  <c r="G62" i="1" l="1"/>
  <c r="H62" i="1"/>
  <c r="F21" i="6" l="1"/>
  <c r="H38" i="1" l="1"/>
  <c r="G38" i="1"/>
  <c r="G67" i="1" l="1"/>
  <c r="G68" i="1" s="1"/>
  <c r="G85" i="1" s="1"/>
  <c r="G82" i="1" l="1"/>
  <c r="G84" i="1"/>
  <c r="G20" i="5" l="1"/>
  <c r="G27" i="5" s="1"/>
  <c r="G31" i="5" s="1"/>
  <c r="H67" i="1" l="1"/>
  <c r="H68" i="1" s="1"/>
  <c r="H85" i="1" s="1"/>
  <c r="H20" i="5" l="1"/>
  <c r="H27" i="5" s="1"/>
  <c r="H31" i="5" s="1"/>
  <c r="H36" i="5" s="1"/>
  <c r="H82" i="1" l="1"/>
  <c r="H84" i="1"/>
  <c r="I8" i="3" l="1"/>
  <c r="G8" i="3"/>
  <c r="I21" i="6" l="1"/>
</calcChain>
</file>

<file path=xl/sharedStrings.xml><?xml version="1.0" encoding="utf-8"?>
<sst xmlns="http://schemas.openxmlformats.org/spreadsheetml/2006/main" count="232" uniqueCount="166">
  <si>
    <t xml:space="preserve"> </t>
  </si>
  <si>
    <t>Денежные средства и их эквиваленты</t>
  </si>
  <si>
    <t>Основные средства</t>
  </si>
  <si>
    <t>Нематериальные активы</t>
  </si>
  <si>
    <t>Капитал</t>
  </si>
  <si>
    <t>Всего капитала</t>
  </si>
  <si>
    <t>Всего капитала и обязательств</t>
  </si>
  <si>
    <t>(не аудировано)</t>
  </si>
  <si>
    <t>Общие и административные расходы</t>
  </si>
  <si>
    <t>Всего</t>
  </si>
  <si>
    <t>_________________________________</t>
  </si>
  <si>
    <t>(аудировано)</t>
  </si>
  <si>
    <t>Amounts due from financial institutions</t>
  </si>
  <si>
    <t>Trading securities</t>
  </si>
  <si>
    <t>Loans to customers</t>
  </si>
  <si>
    <t xml:space="preserve">Other assets </t>
  </si>
  <si>
    <t>Purchase of investment securities at fair value through other
comprehensive income</t>
  </si>
  <si>
    <t>Redemption of investment securities at fair value through other
comprehensive income</t>
  </si>
  <si>
    <t>Purchase of property and equipment and intangible assets</t>
  </si>
  <si>
    <t xml:space="preserve">Proceeds from sale of property and equipment and intangible assets </t>
  </si>
  <si>
    <t>Repayment of lease liability</t>
  </si>
  <si>
    <t xml:space="preserve">Effect of exchange rate changes on cash and cash equivalents </t>
  </si>
  <si>
    <t>Cash and cash equivalents, beginning</t>
  </si>
  <si>
    <t>Repossession of collateral on loans to customer</t>
  </si>
  <si>
    <t>Cash and cash equivalents, ending</t>
  </si>
  <si>
    <t>стр 1 из 4</t>
  </si>
  <si>
    <t>стр 3 из 4</t>
  </si>
  <si>
    <t>стр 4 из 4</t>
  </si>
  <si>
    <t>Прим.</t>
  </si>
  <si>
    <t>________________________________</t>
  </si>
  <si>
    <t>Нераспределенная прибыль</t>
  </si>
  <si>
    <t>Выплата дивидендов</t>
  </si>
  <si>
    <t xml:space="preserve">ЧК «BI Development Ltd.» </t>
  </si>
  <si>
    <t>Инвестиционная недвижимость</t>
  </si>
  <si>
    <t>Инвестиции в совместные и ассоциированные предприятия</t>
  </si>
  <si>
    <t>Инвестиции в финансовые активы</t>
  </si>
  <si>
    <t>Отложенные налоговые активы</t>
  </si>
  <si>
    <t>Авансы выданные</t>
  </si>
  <si>
    <t>Запасы</t>
  </si>
  <si>
    <t>НДС к возмещению</t>
  </si>
  <si>
    <t>Предоплата по подоходному налогу</t>
  </si>
  <si>
    <t>Прочие финансовые активы</t>
  </si>
  <si>
    <t>Прочие краткосрочные активы</t>
  </si>
  <si>
    <t>Внеоборотные активы</t>
  </si>
  <si>
    <t>Оборотные активы</t>
  </si>
  <si>
    <t>Всего активы</t>
  </si>
  <si>
    <t>Всего оборотные активы</t>
  </si>
  <si>
    <t>Долгосрочные обязательства</t>
  </si>
  <si>
    <t>Всего долгосрочные обязательства</t>
  </si>
  <si>
    <t>Краткосрочные обязательства</t>
  </si>
  <si>
    <t>Всего краткосрочные обязательства</t>
  </si>
  <si>
    <t>Торговая и кредиторская задолженность</t>
  </si>
  <si>
    <t>Авансы полученные</t>
  </si>
  <si>
    <t>Дивиденды к уплате</t>
  </si>
  <si>
    <t>Подоходный налог к уплате</t>
  </si>
  <si>
    <t>НДС к уплате</t>
  </si>
  <si>
    <t>Текущие налоговые обязательства</t>
  </si>
  <si>
    <t>Прочие краткосрочные финансовые обязательства</t>
  </si>
  <si>
    <t>Прочие краткосрочные обязательства</t>
  </si>
  <si>
    <t>Всего обязательства</t>
  </si>
  <si>
    <t>Уставный капитал</t>
  </si>
  <si>
    <t>Всего внеоборотных активов</t>
  </si>
  <si>
    <t>Займы полученные</t>
  </si>
  <si>
    <t>Резервы</t>
  </si>
  <si>
    <t>Гарантийные удержания</t>
  </si>
  <si>
    <t>Обязательства по договору</t>
  </si>
  <si>
    <t xml:space="preserve">Гарантийные удержания </t>
  </si>
  <si>
    <t xml:space="preserve">Обязательства по договору </t>
  </si>
  <si>
    <t>Торговая и прочая кредиторская задолженность</t>
  </si>
  <si>
    <t>Выручка</t>
  </si>
  <si>
    <t>Себестоимость реализации</t>
  </si>
  <si>
    <t>Валовая прибыль</t>
  </si>
  <si>
    <t>Расходы по реализации</t>
  </si>
  <si>
    <t>Прочие операционные доходы</t>
  </si>
  <si>
    <t>Прочие операционные расходы</t>
  </si>
  <si>
    <t>Результат операционной деятельности</t>
  </si>
  <si>
    <t>Положительная/(отрицательная) курсовая разница, нетто</t>
  </si>
  <si>
    <t>Финансовые доходы</t>
  </si>
  <si>
    <t>Финансовые расходы</t>
  </si>
  <si>
    <t>Доля в прибыли/(убытке) совместных организаций, за минусом подоходного налога</t>
  </si>
  <si>
    <t>Прибыль и общий совокупный доход за период</t>
  </si>
  <si>
    <t>Заместитель Генерального директора по финансам</t>
  </si>
  <si>
    <t>Главный бухгалтер</t>
  </si>
  <si>
    <t>Кутлюб Д. Р</t>
  </si>
  <si>
    <t>Ембергенов Р. А.</t>
  </si>
  <si>
    <t>Поступления денежных средств:</t>
  </si>
  <si>
    <t>Поступления и авансы, полученные от покупателей</t>
  </si>
  <si>
    <t>Прочие поступления</t>
  </si>
  <si>
    <t>Выбытия денежных средств:</t>
  </si>
  <si>
    <t>Платежи и авансы поставщикам за товары и услуги</t>
  </si>
  <si>
    <t>Выплаты заработной платы</t>
  </si>
  <si>
    <t>Налоги и прочие платежи в бюджет</t>
  </si>
  <si>
    <t>Оплата корпоративного подоходного налога</t>
  </si>
  <si>
    <t>Прочие выбытия денежных средств</t>
  </si>
  <si>
    <t>Потоки денежных средств от операционной деятельности</t>
  </si>
  <si>
    <t>Итого поступление денежных средств</t>
  </si>
  <si>
    <t>Итого выбытие денежных средств</t>
  </si>
  <si>
    <t>ПОТОКИ ДЕНЕЖНЫХ СРЕДСТВ ОТ ИНВЕСТИЦИОННОЙ ДЕЯТЕЛЬНОСТИ</t>
  </si>
  <si>
    <t>ПОТОКИ ДЕНЕЖНЫХ СРЕДСТВ ОТ ОПЕРАЦИОННОЙ ДЕЯТЕЛЬНОСТИ</t>
  </si>
  <si>
    <t>Поступления от продажи основных средств, инвестиционной недвижимости и нематериальных активов</t>
  </si>
  <si>
    <t>Перевод из банковских вкладов</t>
  </si>
  <si>
    <t>Продажа ценных бумаг</t>
  </si>
  <si>
    <t>Приобретение основных средств, инвестиционной недвижимости и нематериальных активов</t>
  </si>
  <si>
    <t>Выдача займов</t>
  </si>
  <si>
    <t>Покупка ценных бумаг</t>
  </si>
  <si>
    <t>Чистое использование денежных средств в инвестиционной деятельности</t>
  </si>
  <si>
    <t>ПОТОКИ ДЕНЕЖНЫХ СРЕДСТВ ОТ ФИНАНСОВОЙ ДЕЯТЕЛЬНОСТИ</t>
  </si>
  <si>
    <t>Привлечение финансовой помощи</t>
  </si>
  <si>
    <t>Выпуск облигаций</t>
  </si>
  <si>
    <t>Привлечение банковских займов</t>
  </si>
  <si>
    <t>Погашение банковских займов</t>
  </si>
  <si>
    <t>Погашение облигаций</t>
  </si>
  <si>
    <t>Погашение процентов по облигациям</t>
  </si>
  <si>
    <t>Чистое увеличение потоков денежных средств в финансовой деятельности</t>
  </si>
  <si>
    <t>Чистое увеличение денежных средств и их эквивалентов</t>
  </si>
  <si>
    <t>Денежные средства и их эквиваленты на начало года</t>
  </si>
  <si>
    <t>Переоценка денежных средств в иностранной валюте</t>
  </si>
  <si>
    <t>Влияние резрва ОКУ на денежные средства и их эквиваленты</t>
  </si>
  <si>
    <t>Денежные средства и их эквиваленты, на конец года</t>
  </si>
  <si>
    <t>В тысячах тенге</t>
  </si>
  <si>
    <t>Операции с собственниками</t>
  </si>
  <si>
    <t>Дивиденды</t>
  </si>
  <si>
    <t>Итого операций с собственниками</t>
  </si>
  <si>
    <t>Расходы по подоходному налогу</t>
  </si>
  <si>
    <t>Прибыль до налогообложения</t>
  </si>
  <si>
    <t>Омаров А. Г.</t>
  </si>
  <si>
    <t>Генеральный Директор</t>
  </si>
  <si>
    <t>Промежуточный сокращенный консолидированный отчет об изменениях в капитале за три месяца, закончившихся 31 марта 2025 года</t>
  </si>
  <si>
    <t>Промежуточный сокращенный консолидированный отчет о движении денежных средств за три месяца, закончившихся 31 марта 2025 года</t>
  </si>
  <si>
    <t xml:space="preserve"> 30 сентября 2025 года</t>
  </si>
  <si>
    <t xml:space="preserve"> 31 декабря 2024 года</t>
  </si>
  <si>
    <t>Займы выданные, долгосрочная часть</t>
  </si>
  <si>
    <t>Банковские вклады, долгосрочная часть</t>
  </si>
  <si>
    <t>Банковские вклады, ограниченные в использовании, долгосрочная часть</t>
  </si>
  <si>
    <t>Авансы, выданные за долгосрочные активы</t>
  </si>
  <si>
    <t>Торговая и прочая дебиторская задолженность, долгосрочная часть</t>
  </si>
  <si>
    <t>Торговая и прочая дебиторская задолженность, краткосрочная часть</t>
  </si>
  <si>
    <t>Активы по договору, краткосрочная часть</t>
  </si>
  <si>
    <t>Займы выданные, краткосрочная часть</t>
  </si>
  <si>
    <t>Банковские вклады и денежные средства, ограниченные в использовании, краткосрочная часть</t>
  </si>
  <si>
    <t>За три месяца, закончившихся 31 марта 2025 года</t>
  </si>
  <si>
    <t>За три месяца, закончившихся 31 марта 2024 года</t>
  </si>
  <si>
    <t>На 31 декабря 2023 года (аудировано)</t>
  </si>
  <si>
    <t xml:space="preserve"> Резерв курсовых разниц при пересчете из других валют</t>
  </si>
  <si>
    <t>Перевод с денежных средств, ограниченных в использовании</t>
  </si>
  <si>
    <t>Поступления от вознаграждений от банковских вкладов за минусом налога у источника выплаты</t>
  </si>
  <si>
    <t>Поступление денежных средств при приобретении дочерних предприятий</t>
  </si>
  <si>
    <t>Перевод в банковские вклады</t>
  </si>
  <si>
    <t>Перевод денежных средств в инвестиционный фонд</t>
  </si>
  <si>
    <t>Выплата вознаграждений по займам полученным</t>
  </si>
  <si>
    <t>Погашение финансовой помощи</t>
  </si>
  <si>
    <t>Погашение займов, полученных от третьих сторон</t>
  </si>
  <si>
    <t>На 31 марта 2024 года (неаудировано)</t>
  </si>
  <si>
    <t>На 31 декабря 2024 года (аудировано)</t>
  </si>
  <si>
    <t>На 31 марта 2025 года (неаудировано)</t>
  </si>
  <si>
    <t>Промежуточный сокращенный консолидированный отчет о финансовом положении по состоянию на 31 марта 2025 года</t>
  </si>
  <si>
    <t>Прочий совокупный доход</t>
  </si>
  <si>
    <t>Курсовая разница от пересчета отчетности зарубежных подразделений</t>
  </si>
  <si>
    <t>Прочий совокупный доход за период</t>
  </si>
  <si>
    <t>-</t>
  </si>
  <si>
    <t>Прибыль и прочий совокупный доход за период</t>
  </si>
  <si>
    <t>(Убыток)/Прибыль от изменения справедливой стоимости ценных бумаг, нетто</t>
  </si>
  <si>
    <t>(Убыток)/прибыль от обесценения финансовых активов</t>
  </si>
  <si>
    <t>(неаудировано)</t>
  </si>
  <si>
    <t>Промежуточный сокращенный консолидированный отчет о прибыли и убытке и прочем совокупном доходе за три месяца, закончившихся 31 марта 2025 года</t>
  </si>
  <si>
    <t xml:space="preserve">Нераспреде-лённая прибыль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</si>
</sst>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.00_);_(* \(#,##0.00\);_(* &quot;-&quot;??_);_(@_)"/>
    <numFmt numFmtId="165" formatCode="_-* #,##0.00_р_._-;\-* #,##0.00_р_._-;_-* &quot;-&quot;??_р_._-;_-@_-"/>
    <numFmt numFmtId="166" formatCode="_-* #,##0_р_._-;\-* #,##0_р_._-;_-* &quot;-&quot;??_р_._-;_-@_-"/>
    <numFmt numFmtId="167" formatCode="_(* #,##0_);_(* \(#,##0\);_(* &quot;₽&quot;\-&quot;₽&quot;_);_(@_)"/>
    <numFmt numFmtId="168" formatCode="_(* #,##0_);_(* \(#,##0\);_(* &quot;-&quot;??_);_(@_)"/>
  </numFmts>
  <fonts count="2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6"/>
      <name val="Arial"/>
      <family val="2"/>
      <charset val="204"/>
    </font>
    <font>
      <sz val="18"/>
      <color theme="1"/>
      <name val="Arial"/>
      <family val="2"/>
      <charset val="204"/>
    </font>
    <font>
      <sz val="18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theme="0"/>
      <name val="Arial"/>
      <family val="2"/>
      <charset val="204"/>
    </font>
    <font>
      <b/>
      <sz val="12"/>
      <color rgb="FF0000FF"/>
      <name val="Arial"/>
      <family val="2"/>
      <charset val="204"/>
    </font>
    <font>
      <b/>
      <sz val="12"/>
      <color theme="1"/>
      <name val="Garamond"/>
      <family val="1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165" fontId="2" fillId="0" borderId="0" applyFont="0" applyFill="0" applyBorder="0" applyAlignment="0" applyProtection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4" fillId="0" borderId="0"/>
    <xf numFmtId="0" fontId="2" fillId="0" borderId="0"/>
    <xf numFmtId="164" fontId="2" fillId="0" borderId="0" applyFont="0" applyFill="0" applyBorder="0" applyAlignment="0" applyProtection="0"/>
    <xf numFmtId="0" fontId="25" fillId="0" borderId="0"/>
    <xf numFmtId="164" fontId="4" fillId="0" borderId="0" applyFont="0" applyFill="0" applyBorder="0" applyAlignment="0" applyProtection="0"/>
    <xf numFmtId="0" fontId="24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168" fontId="8" fillId="0" borderId="0" xfId="0" applyNumberFormat="1" applyFont="1"/>
    <xf numFmtId="168" fontId="7" fillId="0" borderId="0" xfId="0" applyNumberFormat="1" applyFont="1" applyAlignment="1">
      <alignment horizontal="right"/>
    </xf>
    <xf numFmtId="168" fontId="6" fillId="0" borderId="0" xfId="0" applyNumberFormat="1" applyFont="1" applyAlignment="1">
      <alignment vertical="center" wrapText="1"/>
    </xf>
    <xf numFmtId="168" fontId="10" fillId="0" borderId="0" xfId="0" applyNumberFormat="1" applyFont="1" applyAlignment="1">
      <alignment vertical="center" wrapText="1"/>
    </xf>
    <xf numFmtId="168" fontId="9" fillId="0" borderId="3" xfId="1" applyNumberFormat="1" applyFont="1" applyFill="1" applyBorder="1" applyAlignment="1">
      <alignment horizontal="right" vertical="center" wrapText="1"/>
    </xf>
    <xf numFmtId="168" fontId="11" fillId="0" borderId="3" xfId="1" applyNumberFormat="1" applyFont="1" applyFill="1" applyBorder="1" applyAlignment="1">
      <alignment horizontal="right" vertical="center" wrapText="1"/>
    </xf>
    <xf numFmtId="168" fontId="8" fillId="0" borderId="0" xfId="1" applyNumberFormat="1" applyFont="1" applyFill="1" applyAlignment="1">
      <alignment horizontal="right" vertical="center" wrapText="1"/>
    </xf>
    <xf numFmtId="168" fontId="5" fillId="0" borderId="0" xfId="1" applyNumberFormat="1" applyFont="1" applyFill="1" applyAlignment="1">
      <alignment horizontal="right" vertical="center" wrapText="1"/>
    </xf>
    <xf numFmtId="168" fontId="9" fillId="0" borderId="0" xfId="1" applyNumberFormat="1" applyFont="1" applyFill="1" applyAlignment="1">
      <alignment horizontal="right" vertical="center" wrapText="1"/>
    </xf>
    <xf numFmtId="168" fontId="11" fillId="0" borderId="0" xfId="1" applyNumberFormat="1" applyFont="1" applyFill="1" applyAlignment="1">
      <alignment horizontal="right" vertical="center" wrapText="1"/>
    </xf>
    <xf numFmtId="168" fontId="11" fillId="0" borderId="0" xfId="1" applyNumberFormat="1" applyFont="1" applyFill="1" applyBorder="1" applyAlignment="1">
      <alignment horizontal="right" vertical="center" wrapText="1"/>
    </xf>
    <xf numFmtId="168" fontId="5" fillId="0" borderId="0" xfId="0" applyNumberFormat="1" applyFont="1"/>
    <xf numFmtId="168" fontId="8" fillId="0" borderId="0" xfId="1" applyNumberFormat="1" applyFont="1" applyFill="1" applyBorder="1" applyAlignment="1">
      <alignment horizontal="right" vertical="center" wrapText="1"/>
    </xf>
    <xf numFmtId="168" fontId="5" fillId="0" borderId="0" xfId="1" applyNumberFormat="1" applyFont="1" applyFill="1" applyBorder="1" applyAlignment="1">
      <alignment horizontal="right" vertical="center" wrapText="1"/>
    </xf>
    <xf numFmtId="168" fontId="1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8" fontId="8" fillId="0" borderId="0" xfId="0" applyNumberFormat="1" applyFont="1" applyAlignment="1">
      <alignment vertical="center"/>
    </xf>
    <xf numFmtId="168" fontId="5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68" fontId="15" fillId="0" borderId="0" xfId="0" applyNumberFormat="1" applyFont="1" applyAlignment="1">
      <alignment vertical="center"/>
    </xf>
    <xf numFmtId="168" fontId="12" fillId="0" borderId="0" xfId="0" applyNumberFormat="1" applyFont="1" applyAlignment="1">
      <alignment horizontal="right" vertical="center"/>
    </xf>
    <xf numFmtId="168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8" fontId="6" fillId="0" borderId="0" xfId="0" applyNumberFormat="1" applyFont="1" applyAlignment="1">
      <alignment horizontal="right" vertical="center" wrapText="1"/>
    </xf>
    <xf numFmtId="168" fontId="10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68" fontId="6" fillId="0" borderId="1" xfId="0" applyNumberFormat="1" applyFont="1" applyBorder="1" applyAlignment="1">
      <alignment horizontal="right" vertical="center" wrapText="1"/>
    </xf>
    <xf numFmtId="168" fontId="10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168" fontId="8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8" fontId="9" fillId="0" borderId="3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2" applyFont="1" applyAlignment="1">
      <alignment vertical="center"/>
    </xf>
    <xf numFmtId="168" fontId="8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 wrapText="1"/>
    </xf>
    <xf numFmtId="168" fontId="7" fillId="0" borderId="0" xfId="2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168" fontId="6" fillId="0" borderId="0" xfId="0" applyNumberFormat="1" applyFont="1" applyAlignment="1">
      <alignment horizontal="center" wrapText="1"/>
    </xf>
    <xf numFmtId="168" fontId="10" fillId="0" borderId="0" xfId="0" applyNumberFormat="1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68" fontId="6" fillId="0" borderId="1" xfId="0" applyNumberFormat="1" applyFont="1" applyBorder="1" applyAlignment="1">
      <alignment horizontal="center" wrapText="1"/>
    </xf>
    <xf numFmtId="168" fontId="10" fillId="0" borderId="1" xfId="0" applyNumberFormat="1" applyFont="1" applyBorder="1" applyAlignment="1">
      <alignment horizontal="center" wrapText="1"/>
    </xf>
    <xf numFmtId="168" fontId="9" fillId="0" borderId="0" xfId="0" applyNumberFormat="1" applyFont="1" applyAlignment="1">
      <alignment horizontal="left" vertical="center" wrapText="1"/>
    </xf>
    <xf numFmtId="168" fontId="11" fillId="0" borderId="0" xfId="0" applyNumberFormat="1" applyFont="1" applyAlignment="1">
      <alignment horizontal="left" vertical="center" wrapText="1"/>
    </xf>
    <xf numFmtId="3" fontId="8" fillId="0" borderId="0" xfId="1" applyNumberFormat="1" applyFont="1" applyFill="1" applyAlignment="1">
      <alignment horizontal="center"/>
    </xf>
    <xf numFmtId="168" fontId="8" fillId="0" borderId="0" xfId="1" applyNumberFormat="1" applyFont="1" applyFill="1"/>
    <xf numFmtId="167" fontId="5" fillId="0" borderId="0" xfId="0" applyNumberFormat="1" applyFont="1"/>
    <xf numFmtId="168" fontId="9" fillId="0" borderId="2" xfId="1" applyNumberFormat="1" applyFont="1" applyFill="1" applyBorder="1"/>
    <xf numFmtId="168" fontId="9" fillId="0" borderId="0" xfId="1" applyNumberFormat="1" applyFont="1" applyFill="1" applyAlignment="1">
      <alignment horizontal="left" vertical="center" wrapText="1"/>
    </xf>
    <xf numFmtId="168" fontId="5" fillId="0" borderId="0" xfId="1" applyNumberFormat="1" applyFont="1" applyFill="1" applyAlignment="1">
      <alignment horizontal="left" vertical="center" wrapText="1"/>
    </xf>
    <xf numFmtId="168" fontId="9" fillId="0" borderId="3" xfId="1" applyNumberFormat="1" applyFont="1" applyFill="1" applyBorder="1"/>
    <xf numFmtId="168" fontId="9" fillId="0" borderId="5" xfId="1" applyNumberFormat="1" applyFont="1" applyFill="1" applyBorder="1"/>
    <xf numFmtId="168" fontId="8" fillId="0" borderId="1" xfId="1" applyNumberFormat="1" applyFont="1" applyFill="1" applyBorder="1"/>
    <xf numFmtId="168" fontId="9" fillId="0" borderId="0" xfId="1" applyNumberFormat="1" applyFont="1" applyFill="1"/>
    <xf numFmtId="168" fontId="16" fillId="0" borderId="0" xfId="0" applyNumberFormat="1" applyFont="1"/>
    <xf numFmtId="168" fontId="17" fillId="0" borderId="0" xfId="0" applyNumberFormat="1" applyFont="1"/>
    <xf numFmtId="168" fontId="5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vertical="center"/>
    </xf>
    <xf numFmtId="166" fontId="11" fillId="0" borderId="0" xfId="1" applyNumberFormat="1" applyFont="1" applyFill="1" applyBorder="1" applyAlignment="1">
      <alignment horizontal="right" vertical="center" wrapText="1"/>
    </xf>
    <xf numFmtId="166" fontId="19" fillId="0" borderId="0" xfId="1" applyNumberFormat="1" applyFont="1" applyFill="1" applyBorder="1" applyAlignment="1">
      <alignment horizontal="left" vertical="center" wrapText="1"/>
    </xf>
    <xf numFmtId="166" fontId="19" fillId="0" borderId="0" xfId="1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5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167" fontId="18" fillId="0" borderId="0" xfId="0" applyNumberFormat="1" applyFont="1" applyAlignment="1">
      <alignment vertical="center"/>
    </xf>
    <xf numFmtId="167" fontId="5" fillId="0" borderId="0" xfId="1" applyNumberFormat="1" applyFont="1" applyFill="1" applyAlignment="1">
      <alignment horizontal="right" vertical="center" wrapText="1"/>
    </xf>
    <xf numFmtId="166" fontId="5" fillId="0" borderId="0" xfId="1" applyNumberFormat="1" applyFont="1" applyFill="1" applyAlignment="1">
      <alignment vertical="center"/>
    </xf>
    <xf numFmtId="168" fontId="11" fillId="0" borderId="3" xfId="1" applyNumberFormat="1" applyFont="1" applyFill="1" applyBorder="1" applyAlignment="1">
      <alignment horizontal="right" vertical="center"/>
    </xf>
    <xf numFmtId="167" fontId="11" fillId="0" borderId="0" xfId="1" applyNumberFormat="1" applyFont="1" applyFill="1" applyBorder="1" applyAlignment="1">
      <alignment horizontal="right" vertical="center"/>
    </xf>
    <xf numFmtId="168" fontId="5" fillId="0" borderId="0" xfId="1" applyNumberFormat="1" applyFont="1" applyFill="1" applyAlignment="1">
      <alignment horizontal="right" vertical="center"/>
    </xf>
    <xf numFmtId="167" fontId="5" fillId="0" borderId="0" xfId="1" applyNumberFormat="1" applyFont="1" applyFill="1" applyAlignment="1">
      <alignment horizontal="right" vertical="center"/>
    </xf>
    <xf numFmtId="167" fontId="5" fillId="0" borderId="0" xfId="1" applyNumberFormat="1" applyFont="1" applyFill="1" applyBorder="1" applyAlignment="1">
      <alignment horizontal="right" vertical="center" wrapText="1"/>
    </xf>
    <xf numFmtId="167" fontId="11" fillId="0" borderId="0" xfId="1" applyNumberFormat="1" applyFont="1" applyFill="1" applyBorder="1" applyAlignment="1">
      <alignment horizontal="right" vertical="center" wrapText="1"/>
    </xf>
    <xf numFmtId="3" fontId="5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168" fontId="11" fillId="0" borderId="6" xfId="1" applyNumberFormat="1" applyFont="1" applyFill="1" applyBorder="1" applyAlignment="1">
      <alignment horizontal="right" vertical="center" wrapText="1"/>
    </xf>
    <xf numFmtId="167" fontId="9" fillId="0" borderId="2" xfId="1" applyNumberFormat="1" applyFont="1" applyFill="1" applyBorder="1" applyAlignment="1">
      <alignment horizontal="right" vertical="center" wrapText="1"/>
    </xf>
    <xf numFmtId="168" fontId="7" fillId="0" borderId="0" xfId="2" applyNumberFormat="1" applyFont="1" applyAlignment="1">
      <alignment vertical="center" wrapText="1"/>
    </xf>
    <xf numFmtId="0" fontId="7" fillId="0" borderId="0" xfId="2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10" fillId="0" borderId="0" xfId="0" applyFont="1" applyBorder="1" applyAlignment="1">
      <alignment horizontal="center" wrapText="1"/>
    </xf>
    <xf numFmtId="0" fontId="11" fillId="0" borderId="1" xfId="0" applyFont="1" applyBorder="1" applyAlignment="1">
      <alignment horizontal="right"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Alignment="1">
      <alignment horizontal="right" wrapText="1"/>
    </xf>
    <xf numFmtId="167" fontId="11" fillId="0" borderId="1" xfId="0" applyNumberFormat="1" applyFont="1" applyBorder="1" applyAlignment="1">
      <alignment wrapText="1"/>
    </xf>
    <xf numFmtId="168" fontId="11" fillId="0" borderId="1" xfId="0" applyNumberFormat="1" applyFont="1" applyBorder="1" applyAlignment="1">
      <alignment horizontal="right" wrapText="1"/>
    </xf>
    <xf numFmtId="167" fontId="11" fillId="0" borderId="1" xfId="0" applyNumberFormat="1" applyFont="1" applyBorder="1" applyAlignment="1">
      <alignment horizontal="right" wrapText="1"/>
    </xf>
    <xf numFmtId="166" fontId="11" fillId="0" borderId="0" xfId="0" applyNumberFormat="1" applyFont="1" applyAlignment="1">
      <alignment horizontal="right" wrapText="1"/>
    </xf>
    <xf numFmtId="167" fontId="11" fillId="0" borderId="0" xfId="0" applyNumberFormat="1" applyFont="1" applyAlignment="1">
      <alignment horizontal="right" wrapText="1"/>
    </xf>
    <xf numFmtId="167" fontId="11" fillId="0" borderId="0" xfId="0" applyNumberFormat="1" applyFont="1" applyAlignment="1">
      <alignment wrapText="1"/>
    </xf>
    <xf numFmtId="167" fontId="5" fillId="0" borderId="0" xfId="0" applyNumberFormat="1" applyFont="1" applyAlignment="1">
      <alignment horizontal="right" wrapText="1"/>
    </xf>
    <xf numFmtId="165" fontId="11" fillId="0" borderId="0" xfId="0" applyNumberFormat="1" applyFont="1" applyAlignment="1">
      <alignment wrapText="1"/>
    </xf>
    <xf numFmtId="165" fontId="5" fillId="0" borderId="0" xfId="0" applyNumberFormat="1" applyFont="1" applyAlignment="1">
      <alignment horizontal="right" wrapText="1"/>
    </xf>
    <xf numFmtId="168" fontId="11" fillId="0" borderId="0" xfId="0" applyNumberFormat="1" applyFont="1" applyAlignment="1">
      <alignment wrapText="1"/>
    </xf>
    <xf numFmtId="168" fontId="5" fillId="0" borderId="0" xfId="0" applyNumberFormat="1" applyFont="1" applyAlignment="1">
      <alignment wrapText="1"/>
    </xf>
    <xf numFmtId="168" fontId="11" fillId="0" borderId="0" xfId="0" applyNumberFormat="1" applyFont="1" applyAlignment="1">
      <alignment horizontal="right" wrapText="1"/>
    </xf>
    <xf numFmtId="168" fontId="11" fillId="0" borderId="3" xfId="0" applyNumberFormat="1" applyFont="1" applyBorder="1" applyAlignment="1">
      <alignment wrapText="1"/>
    </xf>
    <xf numFmtId="168" fontId="11" fillId="0" borderId="3" xfId="0" applyNumberFormat="1" applyFont="1" applyBorder="1" applyAlignment="1">
      <alignment horizontal="right" wrapText="1"/>
    </xf>
    <xf numFmtId="168" fontId="11" fillId="0" borderId="4" xfId="0" applyNumberFormat="1" applyFont="1" applyBorder="1" applyAlignment="1">
      <alignment wrapText="1"/>
    </xf>
    <xf numFmtId="168" fontId="5" fillId="0" borderId="4" xfId="0" applyNumberFormat="1" applyFont="1" applyBorder="1" applyAlignment="1">
      <alignment wrapText="1"/>
    </xf>
    <xf numFmtId="168" fontId="11" fillId="0" borderId="4" xfId="0" applyNumberFormat="1" applyFont="1" applyBorder="1" applyAlignment="1">
      <alignment horizontal="right" wrapText="1"/>
    </xf>
    <xf numFmtId="167" fontId="11" fillId="0" borderId="2" xfId="0" applyNumberFormat="1" applyFont="1" applyBorder="1" applyAlignment="1">
      <alignment wrapText="1"/>
    </xf>
    <xf numFmtId="167" fontId="11" fillId="0" borderId="2" xfId="0" applyNumberFormat="1" applyFont="1" applyBorder="1" applyAlignment="1">
      <alignment horizontal="right" wrapText="1"/>
    </xf>
    <xf numFmtId="41" fontId="5" fillId="0" borderId="0" xfId="0" applyNumberFormat="1" applyFont="1"/>
    <xf numFmtId="41" fontId="5" fillId="0" borderId="0" xfId="0" applyNumberFormat="1" applyFont="1" applyAlignment="1">
      <alignment horizontal="right" wrapText="1"/>
    </xf>
    <xf numFmtId="0" fontId="13" fillId="0" borderId="0" xfId="0" applyFont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1" fillId="0" borderId="0" xfId="3" applyNumberFormat="1" applyFont="1" applyFill="1"/>
    <xf numFmtId="0" fontId="1" fillId="0" borderId="0" xfId="3" applyNumberFormat="1" applyFont="1" applyFill="1" applyAlignment="1">
      <alignment vertical="center"/>
    </xf>
    <xf numFmtId="0" fontId="1" fillId="3" borderId="0" xfId="3" applyNumberFormat="1" applyFont="1" applyFill="1"/>
    <xf numFmtId="0" fontId="1" fillId="0" borderId="0" xfId="29" applyNumberFormat="1" applyFont="1" applyFill="1"/>
    <xf numFmtId="0" fontId="1" fillId="3" borderId="0" xfId="29" applyNumberFormat="1" applyFont="1" applyFill="1"/>
    <xf numFmtId="0" fontId="1" fillId="0" borderId="0" xfId="35" applyFont="1" applyFill="1"/>
    <xf numFmtId="168" fontId="5" fillId="0" borderId="1" xfId="0" applyNumberFormat="1" applyFont="1" applyBorder="1" applyAlignment="1">
      <alignment vertical="center"/>
    </xf>
    <xf numFmtId="0" fontId="1" fillId="0" borderId="0" xfId="42" applyFont="1" applyFill="1"/>
    <xf numFmtId="0" fontId="1" fillId="3" borderId="0" xfId="42" applyFont="1" applyFill="1"/>
    <xf numFmtId="168" fontId="5" fillId="0" borderId="1" xfId="0" applyNumberFormat="1" applyFont="1" applyBorder="1"/>
    <xf numFmtId="168" fontId="5" fillId="0" borderId="0" xfId="0" applyNumberFormat="1" applyFont="1" applyAlignment="1">
      <alignment horizontal="right" vertical="center"/>
    </xf>
    <xf numFmtId="167" fontId="11" fillId="0" borderId="0" xfId="0" applyNumberFormat="1" applyFont="1" applyBorder="1" applyAlignment="1">
      <alignment horizontal="right" wrapText="1"/>
    </xf>
    <xf numFmtId="168" fontId="11" fillId="0" borderId="1" xfId="0" applyNumberFormat="1" applyFont="1" applyBorder="1" applyAlignment="1">
      <alignment wrapText="1"/>
    </xf>
    <xf numFmtId="3" fontId="27" fillId="0" borderId="0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horizontal="right" vertical="center" wrapText="1"/>
    </xf>
    <xf numFmtId="3" fontId="28" fillId="0" borderId="3" xfId="0" applyNumberFormat="1" applyFont="1" applyBorder="1" applyAlignment="1">
      <alignment horizontal="right" vertical="center" wrapText="1"/>
    </xf>
    <xf numFmtId="0" fontId="26" fillId="0" borderId="0" xfId="0" applyFont="1" applyBorder="1" applyAlignment="1">
      <alignment vertical="center"/>
    </xf>
    <xf numFmtId="0" fontId="28" fillId="0" borderId="3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wrapText="1"/>
    </xf>
  </cellXfs>
  <cellStyles count="46">
    <cellStyle name="Comma" xfId="1" builtinId="3"/>
    <cellStyle name="Comma 10 4 3" xfId="14" xr:uid="{A7A22BCD-AC65-4EAE-BD3E-B78772C81812}"/>
    <cellStyle name="Comma 2" xfId="12" xr:uid="{D5CA71E6-2C5F-49D9-8A48-4BDAD70E573A}"/>
    <cellStyle name="Comma 3" xfId="4" xr:uid="{00000000-0005-0000-0000-000032000000}"/>
    <cellStyle name="Comma 31 2 2" xfId="6" xr:uid="{CA8D8585-60F5-4AF5-82CB-C94BA2FD0987}"/>
    <cellStyle name="Normal" xfId="0" builtinId="0"/>
    <cellStyle name="Normal - Style1 2 2 2" xfId="8" xr:uid="{4CF7AADF-21B0-4F3E-9A54-26C14DD8AE28}"/>
    <cellStyle name="Normal 10" xfId="23" xr:uid="{00000000-0005-0000-0000-00004E000000}"/>
    <cellStyle name="Normal 11" xfId="37" xr:uid="{00000000-0005-0000-0000-00004F000000}"/>
    <cellStyle name="Normal 12" xfId="31" xr:uid="{00000000-0005-0000-0000-000050000000}"/>
    <cellStyle name="Normal 13" xfId="38" xr:uid="{00000000-0005-0000-0000-000051000000}"/>
    <cellStyle name="Normal 14" xfId="22" xr:uid="{00000000-0005-0000-0000-000052000000}"/>
    <cellStyle name="Normal 15" xfId="42" xr:uid="{00000000-0005-0000-0000-000053000000}"/>
    <cellStyle name="Normal 154 9" xfId="5" xr:uid="{FDF9D065-6744-47FB-9C5B-40D361E72D92}"/>
    <cellStyle name="Normal 16" xfId="36" xr:uid="{00000000-0005-0000-0000-000054000000}"/>
    <cellStyle name="Normal 17" xfId="26" xr:uid="{00000000-0005-0000-0000-000055000000}"/>
    <cellStyle name="Normal 18" xfId="24" xr:uid="{00000000-0005-0000-0000-000056000000}"/>
    <cellStyle name="Normal 19" xfId="33" xr:uid="{00000000-0005-0000-0000-000057000000}"/>
    <cellStyle name="Normal 2" xfId="10" xr:uid="{2695AEC5-3F90-454A-ABD9-4D3FE6984CF7}"/>
    <cellStyle name="Normal 2 2" xfId="9" xr:uid="{23557BB6-9E5A-4DDC-A120-53C1736AC921}"/>
    <cellStyle name="Normal 20" xfId="28" xr:uid="{00000000-0005-0000-0000-000058000000}"/>
    <cellStyle name="Normal 21" xfId="43" xr:uid="{00000000-0005-0000-0000-000059000000}"/>
    <cellStyle name="Normal 22" xfId="34" xr:uid="{00000000-0005-0000-0000-00005A000000}"/>
    <cellStyle name="Normal 23" xfId="30" xr:uid="{00000000-0005-0000-0000-00005B000000}"/>
    <cellStyle name="Normal 24" xfId="39" xr:uid="{00000000-0005-0000-0000-00005C000000}"/>
    <cellStyle name="Normal 25" xfId="40" xr:uid="{00000000-0005-0000-0000-00005D000000}"/>
    <cellStyle name="Normal 26" xfId="25" xr:uid="{00000000-0005-0000-0000-00005E000000}"/>
    <cellStyle name="Normal 27" xfId="44" xr:uid="{00000000-0005-0000-0000-00005F000000}"/>
    <cellStyle name="Normal 28" xfId="41" xr:uid="{00000000-0005-0000-0000-000060000000}"/>
    <cellStyle name="Normal 29" xfId="45" xr:uid="{00000000-0005-0000-0000-000061000000}"/>
    <cellStyle name="Normal 3" xfId="11" xr:uid="{26DF47F5-9660-42F2-A43E-8962FC563C10}"/>
    <cellStyle name="Normal 3 2" xfId="19" xr:uid="{A35E15CD-F014-467A-B189-6A9D6126187E}"/>
    <cellStyle name="Normal 4" xfId="3" xr:uid="{00000000-0005-0000-0000-000036000000}"/>
    <cellStyle name="Normal 5" xfId="21" xr:uid="{00000000-0005-0000-0000-000049000000}"/>
    <cellStyle name="Normal 6" xfId="32" xr:uid="{00000000-0005-0000-0000-00004A000000}"/>
    <cellStyle name="Normal 6 2 5" xfId="7" xr:uid="{4EA9A010-B4FB-4039-B305-A612F76E683B}"/>
    <cellStyle name="Normal 619 2" xfId="13" xr:uid="{03C810C3-2DB3-4BB0-AB66-61FE76C2D590}"/>
    <cellStyle name="Normal 7" xfId="29" xr:uid="{00000000-0005-0000-0000-00004B000000}"/>
    <cellStyle name="Normal 8" xfId="27" xr:uid="{00000000-0005-0000-0000-00004C000000}"/>
    <cellStyle name="Normal 9" xfId="35" xr:uid="{00000000-0005-0000-0000-00004D000000}"/>
    <cellStyle name="Percent 2" xfId="17" xr:uid="{00000000-0005-0000-0000-000044000000}"/>
    <cellStyle name="Percent 3" xfId="16" xr:uid="{099CB8C7-46DE-44EE-8B7A-E0BDDB198F7A}"/>
    <cellStyle name="Обычный 10 10" xfId="2" xr:uid="{00000000-0005-0000-0000-000001000000}"/>
    <cellStyle name="Обычный 2 2" xfId="18" xr:uid="{0B34D47A-8A92-4434-95D6-FCA6125F327A}"/>
    <cellStyle name="Обычный 2 2 2" xfId="20" xr:uid="{44BDCFE9-4983-4131-B5F9-130C2A0CC4B8}"/>
    <cellStyle name="Обычный 2 2 3" xfId="15" xr:uid="{9C49007A-0264-4D2C-A8B5-D56E4F4FCAC1}"/>
  </cellStyles>
  <dxfs count="0"/>
  <tableStyles count="0" defaultTableStyle="TableStyleMedium2" defaultPivotStyle="PivotStyleLight16"/>
  <colors>
    <mruColors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R49"/>
  <sheetViews>
    <sheetView tabSelected="1" view="pageBreakPreview" topLeftCell="D1" zoomScale="55" zoomScaleNormal="80" zoomScaleSheetLayoutView="55" workbookViewId="0">
      <selection activeCell="E20" sqref="E20"/>
    </sheetView>
  </sheetViews>
  <sheetFormatPr defaultColWidth="9.21875" defaultRowHeight="15" x14ac:dyDescent="0.3"/>
  <cols>
    <col min="1" max="3" width="9.21875" style="18"/>
    <col min="4" max="4" width="9.21875" style="19"/>
    <col min="5" max="5" width="92.88671875" style="19" bestFit="1" customWidth="1"/>
    <col min="6" max="6" width="8.21875" style="20" customWidth="1"/>
    <col min="7" max="7" width="32" style="21" customWidth="1"/>
    <col min="8" max="8" width="32" style="22" customWidth="1"/>
    <col min="9" max="9" width="11.21875" style="18" customWidth="1"/>
    <col min="10" max="10" width="10.5546875" style="18" customWidth="1"/>
    <col min="11" max="16384" width="9.21875" style="18"/>
  </cols>
  <sheetData>
    <row r="2" spans="5:11" s="23" customFormat="1" ht="22.8" x14ac:dyDescent="0.3">
      <c r="F2" s="24"/>
      <c r="G2" s="25"/>
    </row>
    <row r="3" spans="5:11" s="23" customFormat="1" ht="22.8" x14ac:dyDescent="0.3">
      <c r="F3" s="24"/>
      <c r="G3" s="25"/>
      <c r="H3" s="26" t="s">
        <v>32</v>
      </c>
    </row>
    <row r="4" spans="5:11" s="23" customFormat="1" ht="22.8" x14ac:dyDescent="0.3">
      <c r="F4" s="24"/>
      <c r="G4" s="25"/>
      <c r="H4" s="27" t="s">
        <v>164</v>
      </c>
    </row>
    <row r="5" spans="5:11" s="23" customFormat="1" ht="7.95" customHeight="1" x14ac:dyDescent="0.3">
      <c r="F5" s="24"/>
      <c r="G5" s="25"/>
      <c r="H5" s="27"/>
    </row>
    <row r="6" spans="5:11" s="23" customFormat="1" ht="14.25" customHeight="1" x14ac:dyDescent="0.3">
      <c r="F6" s="24"/>
      <c r="G6" s="25"/>
      <c r="H6" s="27" t="s">
        <v>119</v>
      </c>
    </row>
    <row r="7" spans="5:11" ht="18" customHeight="1" x14ac:dyDescent="0.3">
      <c r="E7" s="28"/>
      <c r="F7" s="29"/>
      <c r="G7" s="5"/>
      <c r="H7" s="6"/>
    </row>
    <row r="8" spans="5:11" ht="75" customHeight="1" x14ac:dyDescent="0.3">
      <c r="E8" s="28"/>
      <c r="F8" s="30" t="s">
        <v>28</v>
      </c>
      <c r="G8" s="31" t="s">
        <v>140</v>
      </c>
      <c r="H8" s="32" t="s">
        <v>141</v>
      </c>
    </row>
    <row r="9" spans="5:11" ht="15.6" x14ac:dyDescent="0.3">
      <c r="E9" s="28"/>
      <c r="F9" s="33"/>
      <c r="G9" s="34" t="s">
        <v>163</v>
      </c>
      <c r="H9" s="35" t="s">
        <v>163</v>
      </c>
    </row>
    <row r="10" spans="5:11" ht="15.75" customHeight="1" x14ac:dyDescent="0.3">
      <c r="E10" s="36" t="s">
        <v>69</v>
      </c>
      <c r="F10" s="29">
        <v>17</v>
      </c>
      <c r="G10" s="37">
        <v>226647457</v>
      </c>
      <c r="H10" s="37">
        <v>137220852</v>
      </c>
      <c r="I10" s="38"/>
      <c r="J10" s="38"/>
      <c r="K10" s="39"/>
    </row>
    <row r="11" spans="5:11" ht="15.75" customHeight="1" x14ac:dyDescent="0.3">
      <c r="E11" s="36" t="s">
        <v>70</v>
      </c>
      <c r="F11" s="29">
        <v>18</v>
      </c>
      <c r="G11" s="37">
        <v>-168306564</v>
      </c>
      <c r="H11" s="37">
        <v>-96670633</v>
      </c>
      <c r="I11" s="38"/>
      <c r="J11" s="38"/>
      <c r="K11" s="39"/>
    </row>
    <row r="12" spans="5:11" ht="15.75" customHeight="1" x14ac:dyDescent="0.3">
      <c r="E12" s="40" t="s">
        <v>71</v>
      </c>
      <c r="F12" s="41"/>
      <c r="G12" s="7">
        <f>SUM(G10:G11)</f>
        <v>58340893</v>
      </c>
      <c r="H12" s="7">
        <f>SUM(H10:H11)</f>
        <v>40550219</v>
      </c>
      <c r="I12" s="38"/>
      <c r="J12" s="38"/>
      <c r="K12" s="39"/>
    </row>
    <row r="13" spans="5:11" ht="8.25" customHeight="1" x14ac:dyDescent="0.3">
      <c r="E13" s="40" t="s">
        <v>0</v>
      </c>
      <c r="F13" s="41"/>
      <c r="G13" s="9"/>
      <c r="H13" s="10"/>
      <c r="I13" s="38"/>
      <c r="J13" s="38"/>
      <c r="K13" s="39"/>
    </row>
    <row r="14" spans="5:11" ht="15.6" x14ac:dyDescent="0.3">
      <c r="E14" s="40"/>
      <c r="F14" s="41"/>
      <c r="G14" s="11"/>
      <c r="H14" s="12"/>
      <c r="I14" s="38"/>
      <c r="J14" s="38"/>
      <c r="K14" s="39"/>
    </row>
    <row r="15" spans="5:11" x14ac:dyDescent="0.3">
      <c r="E15" s="36" t="s">
        <v>72</v>
      </c>
      <c r="F15" s="29">
        <v>19</v>
      </c>
      <c r="G15" s="37">
        <v>-3977972</v>
      </c>
      <c r="H15" s="37">
        <v>-2100472</v>
      </c>
      <c r="I15" s="38"/>
      <c r="J15" s="38"/>
      <c r="K15" s="39"/>
    </row>
    <row r="16" spans="5:11" x14ac:dyDescent="0.3">
      <c r="E16" s="36" t="s">
        <v>8</v>
      </c>
      <c r="F16" s="29">
        <v>20</v>
      </c>
      <c r="G16" s="37">
        <v>-12359266</v>
      </c>
      <c r="H16" s="37">
        <v>-6724959</v>
      </c>
      <c r="I16" s="38"/>
      <c r="J16" s="38"/>
      <c r="K16" s="39"/>
    </row>
    <row r="17" spans="4:18" x14ac:dyDescent="0.3">
      <c r="E17" s="36" t="s">
        <v>162</v>
      </c>
      <c r="F17" s="29"/>
      <c r="G17" s="37">
        <v>-160765</v>
      </c>
      <c r="H17" s="37">
        <v>62645</v>
      </c>
      <c r="I17" s="38"/>
      <c r="J17" s="38"/>
    </row>
    <row r="18" spans="4:18" x14ac:dyDescent="0.3">
      <c r="E18" s="42" t="s">
        <v>73</v>
      </c>
      <c r="F18" s="20">
        <v>21</v>
      </c>
      <c r="G18" s="37">
        <v>1982052</v>
      </c>
      <c r="H18" s="37">
        <v>1256404</v>
      </c>
      <c r="I18" s="38"/>
      <c r="J18" s="38"/>
      <c r="K18" s="39"/>
    </row>
    <row r="19" spans="4:18" x14ac:dyDescent="0.3">
      <c r="E19" s="36" t="s">
        <v>74</v>
      </c>
      <c r="F19" s="29">
        <v>22</v>
      </c>
      <c r="G19" s="37">
        <v>-2689540</v>
      </c>
      <c r="H19" s="37">
        <v>-1131120</v>
      </c>
      <c r="I19" s="38"/>
      <c r="J19" s="38"/>
    </row>
    <row r="20" spans="4:18" ht="18" customHeight="1" x14ac:dyDescent="0.3">
      <c r="E20" s="40" t="s">
        <v>75</v>
      </c>
      <c r="F20" s="41"/>
      <c r="G20" s="43">
        <f>SUM(G12:G19)</f>
        <v>41135402</v>
      </c>
      <c r="H20" s="43">
        <f>SUM(H12:H19)</f>
        <v>31912717</v>
      </c>
      <c r="I20" s="38"/>
      <c r="J20" s="38"/>
      <c r="K20" s="39"/>
    </row>
    <row r="21" spans="4:18" ht="9.75" customHeight="1" x14ac:dyDescent="0.3">
      <c r="E21" s="40" t="s">
        <v>0</v>
      </c>
      <c r="F21" s="41"/>
      <c r="G21" s="9"/>
      <c r="H21" s="10"/>
      <c r="I21" s="38"/>
      <c r="J21" s="38"/>
      <c r="K21" s="39"/>
    </row>
    <row r="22" spans="4:18" x14ac:dyDescent="0.3">
      <c r="E22" s="36" t="s">
        <v>76</v>
      </c>
      <c r="F22" s="29"/>
      <c r="G22" s="37">
        <v>723189</v>
      </c>
      <c r="H22" s="37">
        <v>5557</v>
      </c>
      <c r="I22" s="38"/>
      <c r="J22" s="38"/>
      <c r="K22" s="39"/>
    </row>
    <row r="23" spans="4:18" x14ac:dyDescent="0.3">
      <c r="E23" s="44" t="s">
        <v>77</v>
      </c>
      <c r="F23" s="29">
        <v>23</v>
      </c>
      <c r="G23" s="37">
        <v>10631411</v>
      </c>
      <c r="H23" s="37">
        <v>4222811</v>
      </c>
      <c r="I23" s="38"/>
      <c r="J23" s="38"/>
      <c r="K23" s="39"/>
    </row>
    <row r="24" spans="4:18" x14ac:dyDescent="0.3">
      <c r="E24" s="44" t="s">
        <v>78</v>
      </c>
      <c r="F24" s="29">
        <v>24</v>
      </c>
      <c r="G24" s="37">
        <v>-10286187</v>
      </c>
      <c r="H24" s="37">
        <v>-762859</v>
      </c>
      <c r="I24" s="38"/>
      <c r="J24" s="38"/>
      <c r="K24" s="39"/>
    </row>
    <row r="25" spans="4:18" x14ac:dyDescent="0.3">
      <c r="E25" s="44" t="s">
        <v>161</v>
      </c>
      <c r="F25" s="29"/>
      <c r="G25" s="37">
        <v>-105934</v>
      </c>
      <c r="H25" s="37">
        <v>0</v>
      </c>
      <c r="I25" s="38"/>
      <c r="J25" s="38"/>
      <c r="K25" s="39"/>
    </row>
    <row r="26" spans="4:18" s="45" customFormat="1" x14ac:dyDescent="0.3">
      <c r="D26" s="19"/>
      <c r="E26" s="42" t="s">
        <v>79</v>
      </c>
      <c r="F26" s="29">
        <v>11</v>
      </c>
      <c r="G26" s="37">
        <v>-32730</v>
      </c>
      <c r="H26" s="37">
        <v>-288989</v>
      </c>
      <c r="I26" s="38"/>
      <c r="J26" s="38"/>
      <c r="K26" s="18"/>
      <c r="L26" s="18"/>
      <c r="M26" s="18"/>
      <c r="N26" s="18"/>
      <c r="O26" s="18"/>
      <c r="P26" s="18"/>
      <c r="Q26" s="18"/>
      <c r="R26" s="18"/>
    </row>
    <row r="27" spans="4:18" ht="21" customHeight="1" x14ac:dyDescent="0.3">
      <c r="E27" s="40" t="s">
        <v>124</v>
      </c>
      <c r="F27" s="41"/>
      <c r="G27" s="43">
        <f>SUM(G20:G26)</f>
        <v>42065151</v>
      </c>
      <c r="H27" s="43">
        <f>SUM(H20:H26)</f>
        <v>35089237</v>
      </c>
      <c r="I27" s="38"/>
      <c r="J27" s="38"/>
      <c r="K27" s="39"/>
    </row>
    <row r="28" spans="4:18" ht="9.75" customHeight="1" x14ac:dyDescent="0.3">
      <c r="E28" s="40" t="s">
        <v>0</v>
      </c>
      <c r="F28" s="41"/>
      <c r="G28" s="9"/>
      <c r="H28" s="10"/>
      <c r="I28" s="38"/>
      <c r="J28" s="38"/>
    </row>
    <row r="29" spans="4:18" ht="9.75" customHeight="1" x14ac:dyDescent="0.3">
      <c r="E29" s="40"/>
      <c r="F29" s="41"/>
      <c r="G29" s="9"/>
      <c r="H29" s="10"/>
      <c r="I29" s="38"/>
      <c r="J29" s="38"/>
    </row>
    <row r="30" spans="4:18" ht="15.6" x14ac:dyDescent="0.3">
      <c r="E30" s="36" t="s">
        <v>123</v>
      </c>
      <c r="F30" s="41"/>
      <c r="G30" s="37">
        <v>-1102121</v>
      </c>
      <c r="H30" s="37">
        <v>-1450746</v>
      </c>
      <c r="I30" s="38"/>
      <c r="J30" s="38"/>
    </row>
    <row r="31" spans="4:18" ht="15.6" x14ac:dyDescent="0.3">
      <c r="E31" s="40" t="s">
        <v>80</v>
      </c>
      <c r="F31" s="41"/>
      <c r="G31" s="7">
        <f>G30+G27</f>
        <v>40963030</v>
      </c>
      <c r="H31" s="7">
        <f>H30+H27</f>
        <v>33638491</v>
      </c>
      <c r="I31" s="38"/>
      <c r="J31" s="38"/>
    </row>
    <row r="32" spans="4:18" ht="8.25" customHeight="1" x14ac:dyDescent="0.3">
      <c r="E32" s="148"/>
      <c r="F32" s="41"/>
      <c r="G32" s="11"/>
      <c r="H32" s="12"/>
      <c r="J32" s="38"/>
    </row>
    <row r="33" spans="5:10" ht="15.6" customHeight="1" x14ac:dyDescent="0.3">
      <c r="E33" s="40" t="s">
        <v>156</v>
      </c>
      <c r="F33" s="29"/>
      <c r="G33" s="15"/>
      <c r="H33" s="16"/>
      <c r="J33" s="38"/>
    </row>
    <row r="34" spans="5:10" ht="15.6" customHeight="1" x14ac:dyDescent="0.3">
      <c r="E34" s="36" t="s">
        <v>157</v>
      </c>
      <c r="F34" s="29"/>
      <c r="G34" s="145">
        <v>17080</v>
      </c>
      <c r="H34" s="146" t="s">
        <v>159</v>
      </c>
      <c r="J34" s="38"/>
    </row>
    <row r="35" spans="5:10" ht="15.6" customHeight="1" x14ac:dyDescent="0.3">
      <c r="E35" s="40" t="s">
        <v>158</v>
      </c>
      <c r="F35" s="29"/>
      <c r="G35" s="147">
        <v>17080</v>
      </c>
      <c r="H35" s="149" t="s">
        <v>159</v>
      </c>
      <c r="J35" s="38"/>
    </row>
    <row r="36" spans="5:10" ht="15.6" customHeight="1" x14ac:dyDescent="0.3">
      <c r="E36" s="40" t="s">
        <v>160</v>
      </c>
      <c r="F36" s="29"/>
      <c r="G36" s="147">
        <v>40980110</v>
      </c>
      <c r="H36" s="147">
        <f>H31</f>
        <v>33638491</v>
      </c>
      <c r="J36" s="38"/>
    </row>
    <row r="37" spans="5:10" ht="15.6" customHeight="1" x14ac:dyDescent="0.3">
      <c r="E37" s="36"/>
      <c r="F37" s="29"/>
      <c r="G37" s="15"/>
      <c r="H37" s="16"/>
      <c r="J37" s="38"/>
    </row>
    <row r="38" spans="5:10" ht="15.6" customHeight="1" x14ac:dyDescent="0.3">
      <c r="E38" s="36"/>
      <c r="F38" s="29"/>
      <c r="G38" s="15"/>
      <c r="H38" s="16"/>
      <c r="J38" s="38"/>
    </row>
    <row r="39" spans="5:10" ht="15.6" customHeight="1" x14ac:dyDescent="0.3">
      <c r="E39" s="36"/>
      <c r="F39" s="29"/>
      <c r="G39" s="15"/>
      <c r="H39" s="16"/>
      <c r="J39" s="38"/>
    </row>
    <row r="40" spans="5:10" ht="15.6" customHeight="1" x14ac:dyDescent="0.3">
      <c r="E40" s="48" t="s">
        <v>126</v>
      </c>
      <c r="F40" s="29"/>
      <c r="G40" s="19" t="s">
        <v>10</v>
      </c>
      <c r="H40" s="16"/>
      <c r="J40" s="38"/>
    </row>
    <row r="41" spans="5:10" ht="15.6" customHeight="1" x14ac:dyDescent="0.3">
      <c r="E41" s="36"/>
      <c r="F41" s="29"/>
      <c r="G41" s="48" t="s">
        <v>125</v>
      </c>
      <c r="H41" s="16"/>
      <c r="J41" s="38"/>
    </row>
    <row r="42" spans="5:10" ht="15.6" customHeight="1" x14ac:dyDescent="0.3">
      <c r="E42" s="18"/>
      <c r="F42" s="29"/>
      <c r="G42" s="18"/>
      <c r="H42" s="16"/>
      <c r="J42" s="38"/>
    </row>
    <row r="43" spans="5:10" ht="15.6" customHeight="1" x14ac:dyDescent="0.3">
      <c r="E43" s="48" t="s">
        <v>81</v>
      </c>
      <c r="F43" s="29"/>
      <c r="G43" s="19" t="s">
        <v>10</v>
      </c>
      <c r="H43" s="16"/>
      <c r="J43" s="38"/>
    </row>
    <row r="44" spans="5:10" ht="15.6" customHeight="1" x14ac:dyDescent="0.3">
      <c r="E44" s="18"/>
      <c r="F44" s="29"/>
      <c r="G44" s="48" t="s">
        <v>84</v>
      </c>
      <c r="H44" s="16"/>
      <c r="J44" s="38"/>
    </row>
    <row r="45" spans="5:10" ht="15.6" customHeight="1" x14ac:dyDescent="0.3">
      <c r="E45" s="48"/>
      <c r="F45" s="29"/>
      <c r="G45" s="15"/>
      <c r="H45" s="16"/>
      <c r="J45" s="38"/>
    </row>
    <row r="46" spans="5:10" ht="15.6" customHeight="1" x14ac:dyDescent="0.3">
      <c r="E46" s="49" t="s">
        <v>82</v>
      </c>
      <c r="F46" s="29"/>
      <c r="G46" s="22" t="s">
        <v>29</v>
      </c>
      <c r="H46" s="16"/>
      <c r="J46" s="38"/>
    </row>
    <row r="47" spans="5:10" ht="15.6" customHeight="1" x14ac:dyDescent="0.3">
      <c r="E47" s="36"/>
      <c r="F47" s="29"/>
      <c r="G47" s="49" t="s">
        <v>83</v>
      </c>
      <c r="H47" s="13"/>
      <c r="J47" s="38"/>
    </row>
    <row r="48" spans="5:10" ht="17.25" customHeight="1" x14ac:dyDescent="0.3">
      <c r="E48" s="48"/>
      <c r="F48" s="50"/>
      <c r="H48" s="49"/>
    </row>
    <row r="49" spans="5:9" ht="16.95" customHeight="1" x14ac:dyDescent="0.3">
      <c r="E49" s="51"/>
      <c r="F49" s="52"/>
      <c r="H49" s="53"/>
      <c r="I49" s="54" t="s">
        <v>25</v>
      </c>
    </row>
  </sheetData>
  <pageMargins left="0.70866141732283472" right="0.70866141732283472" top="0.74803149606299213" bottom="0.74803149606299213" header="0.31496062992125984" footer="0.31496062992125984"/>
  <pageSetup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K86"/>
  <sheetViews>
    <sheetView view="pageBreakPreview" zoomScale="85" zoomScaleNormal="80" zoomScaleSheetLayoutView="85" workbookViewId="0">
      <selection activeCell="G10" sqref="G10"/>
    </sheetView>
  </sheetViews>
  <sheetFormatPr defaultColWidth="9.21875" defaultRowHeight="15" x14ac:dyDescent="0.25"/>
  <cols>
    <col min="1" max="3" width="9.21875" style="1"/>
    <col min="4" max="4" width="12.21875" style="1" customWidth="1"/>
    <col min="5" max="5" width="62.109375" style="1" customWidth="1"/>
    <col min="6" max="6" width="8.21875" style="2" bestFit="1" customWidth="1"/>
    <col min="7" max="7" width="27.77734375" style="3" customWidth="1"/>
    <col min="8" max="8" width="26.21875" style="14" customWidth="1"/>
    <col min="9" max="9" width="6.5546875" style="1" customWidth="1"/>
    <col min="10" max="16384" width="9.21875" style="1"/>
  </cols>
  <sheetData>
    <row r="2" spans="3:8" x14ac:dyDescent="0.25">
      <c r="H2" s="1"/>
    </row>
    <row r="3" spans="3:8" ht="17.399999999999999" x14ac:dyDescent="0.3">
      <c r="H3" s="17" t="s">
        <v>32</v>
      </c>
    </row>
    <row r="4" spans="3:8" ht="15.6" x14ac:dyDescent="0.3">
      <c r="H4" s="4" t="s">
        <v>155</v>
      </c>
    </row>
    <row r="5" spans="3:8" s="23" customFormat="1" ht="7.95" customHeight="1" x14ac:dyDescent="0.3">
      <c r="F5" s="24"/>
      <c r="G5" s="25"/>
      <c r="H5" s="27"/>
    </row>
    <row r="6" spans="3:8" ht="15.6" x14ac:dyDescent="0.3">
      <c r="H6" s="4" t="s">
        <v>119</v>
      </c>
    </row>
    <row r="7" spans="3:8" ht="15.6" x14ac:dyDescent="0.3">
      <c r="H7" s="4"/>
    </row>
    <row r="9" spans="3:8" ht="31.2" x14ac:dyDescent="0.3">
      <c r="E9" s="28"/>
      <c r="F9" s="29"/>
      <c r="G9" s="55" t="s">
        <v>129</v>
      </c>
      <c r="H9" s="56" t="s">
        <v>130</v>
      </c>
    </row>
    <row r="10" spans="3:8" ht="15.6" x14ac:dyDescent="0.3">
      <c r="E10" s="28"/>
      <c r="F10" s="57" t="s">
        <v>28</v>
      </c>
      <c r="G10" s="58" t="s">
        <v>163</v>
      </c>
      <c r="H10" s="59" t="s">
        <v>11</v>
      </c>
    </row>
    <row r="11" spans="3:8" ht="15.6" x14ac:dyDescent="0.25">
      <c r="E11" s="40" t="s">
        <v>43</v>
      </c>
      <c r="F11" s="41"/>
      <c r="G11" s="60"/>
      <c r="H11" s="61"/>
    </row>
    <row r="12" spans="3:8" x14ac:dyDescent="0.25">
      <c r="C12" s="132"/>
      <c r="E12" s="36" t="s">
        <v>2</v>
      </c>
      <c r="F12" s="62">
        <v>5</v>
      </c>
      <c r="G12" s="63">
        <v>10454761</v>
      </c>
      <c r="H12" s="63">
        <v>10709456</v>
      </c>
    </row>
    <row r="13" spans="3:8" x14ac:dyDescent="0.25">
      <c r="C13" s="132"/>
      <c r="E13" s="36" t="s">
        <v>33</v>
      </c>
      <c r="F13" s="62">
        <v>6</v>
      </c>
      <c r="G13" s="63">
        <v>2101111</v>
      </c>
      <c r="H13" s="63">
        <v>2651211</v>
      </c>
    </row>
    <row r="14" spans="3:8" x14ac:dyDescent="0.25">
      <c r="C14" s="132"/>
      <c r="E14" s="36" t="s">
        <v>3</v>
      </c>
      <c r="F14" s="62"/>
      <c r="G14" s="63">
        <v>691935</v>
      </c>
      <c r="H14" s="63">
        <v>694194</v>
      </c>
    </row>
    <row r="15" spans="3:8" ht="30" x14ac:dyDescent="0.25">
      <c r="C15" s="132"/>
      <c r="E15" s="36" t="s">
        <v>34</v>
      </c>
      <c r="F15" s="62">
        <v>11</v>
      </c>
      <c r="G15" s="63">
        <v>10267310</v>
      </c>
      <c r="H15" s="63">
        <v>10283010</v>
      </c>
    </row>
    <row r="16" spans="3:8" x14ac:dyDescent="0.25">
      <c r="C16" s="132"/>
      <c r="E16" s="36" t="s">
        <v>35</v>
      </c>
      <c r="F16" s="62"/>
      <c r="G16" s="63">
        <v>15974358</v>
      </c>
      <c r="H16" s="63">
        <v>8529454</v>
      </c>
    </row>
    <row r="17" spans="3:11" x14ac:dyDescent="0.25">
      <c r="C17" s="132"/>
      <c r="E17" s="36" t="s">
        <v>131</v>
      </c>
      <c r="F17" s="29">
        <v>9</v>
      </c>
      <c r="G17" s="63">
        <v>2344057</v>
      </c>
      <c r="H17" s="63">
        <v>380974</v>
      </c>
    </row>
    <row r="18" spans="3:11" x14ac:dyDescent="0.25">
      <c r="C18" s="132"/>
      <c r="E18" s="36" t="s">
        <v>132</v>
      </c>
      <c r="F18" s="29">
        <v>7</v>
      </c>
      <c r="G18" s="63">
        <v>488038</v>
      </c>
      <c r="H18" s="63">
        <v>477414</v>
      </c>
      <c r="K18" s="64"/>
    </row>
    <row r="19" spans="3:11" ht="30" x14ac:dyDescent="0.25">
      <c r="C19" s="132"/>
      <c r="E19" s="36" t="s">
        <v>133</v>
      </c>
      <c r="F19" s="29">
        <v>7</v>
      </c>
      <c r="G19" s="63">
        <v>1530462</v>
      </c>
      <c r="H19" s="63">
        <v>2838980</v>
      </c>
      <c r="J19" s="64"/>
    </row>
    <row r="20" spans="3:11" x14ac:dyDescent="0.25">
      <c r="C20" s="133"/>
      <c r="E20" s="36" t="s">
        <v>134</v>
      </c>
      <c r="F20" s="29"/>
      <c r="G20" s="63">
        <v>309433</v>
      </c>
      <c r="H20" s="63">
        <v>317974</v>
      </c>
      <c r="J20" s="64"/>
    </row>
    <row r="21" spans="3:11" x14ac:dyDescent="0.25">
      <c r="C21" s="132"/>
      <c r="E21" s="36" t="s">
        <v>36</v>
      </c>
      <c r="F21" s="29"/>
      <c r="G21" s="63">
        <v>18786180</v>
      </c>
      <c r="H21" s="63">
        <v>18787987</v>
      </c>
      <c r="K21" s="64"/>
    </row>
    <row r="22" spans="3:11" ht="30" x14ac:dyDescent="0.25">
      <c r="C22" s="134"/>
      <c r="E22" s="36" t="s">
        <v>135</v>
      </c>
      <c r="F22" s="29">
        <v>8</v>
      </c>
      <c r="G22" s="63">
        <v>677841</v>
      </c>
      <c r="H22" s="63">
        <v>631150</v>
      </c>
      <c r="J22" s="64"/>
    </row>
    <row r="23" spans="3:11" ht="15" customHeight="1" thickBot="1" x14ac:dyDescent="0.35">
      <c r="C23" s="134"/>
      <c r="E23" s="40" t="s">
        <v>61</v>
      </c>
      <c r="F23" s="41"/>
      <c r="G23" s="65">
        <f>SUM(G12:G22)</f>
        <v>63625486</v>
      </c>
      <c r="H23" s="65">
        <f>SUM(H12:H22)</f>
        <v>56301804</v>
      </c>
    </row>
    <row r="24" spans="3:11" ht="16.2" thickTop="1" x14ac:dyDescent="0.25">
      <c r="E24" s="40" t="s">
        <v>0</v>
      </c>
      <c r="F24" s="41"/>
      <c r="G24" s="66"/>
      <c r="H24" s="67"/>
    </row>
    <row r="25" spans="3:11" ht="15.6" x14ac:dyDescent="0.25">
      <c r="E25" s="40" t="s">
        <v>44</v>
      </c>
      <c r="F25" s="41"/>
      <c r="G25" s="66"/>
      <c r="H25" s="67"/>
    </row>
    <row r="26" spans="3:11" ht="30" x14ac:dyDescent="0.25">
      <c r="C26" s="136"/>
      <c r="E26" s="36" t="s">
        <v>136</v>
      </c>
      <c r="F26" s="29">
        <v>8</v>
      </c>
      <c r="G26" s="63">
        <v>33485721</v>
      </c>
      <c r="H26" s="63">
        <v>31875225</v>
      </c>
    </row>
    <row r="27" spans="3:11" ht="15.6" x14ac:dyDescent="0.25">
      <c r="C27" s="135"/>
      <c r="E27" s="36" t="s">
        <v>37</v>
      </c>
      <c r="F27" s="41"/>
      <c r="G27" s="63">
        <v>65528495</v>
      </c>
      <c r="H27" s="63">
        <v>52118425</v>
      </c>
    </row>
    <row r="28" spans="3:11" ht="15.6" x14ac:dyDescent="0.25">
      <c r="C28" s="135"/>
      <c r="E28" s="36" t="s">
        <v>137</v>
      </c>
      <c r="F28" s="41"/>
      <c r="G28" s="63">
        <v>41376</v>
      </c>
      <c r="H28" s="63">
        <v>13203</v>
      </c>
    </row>
    <row r="29" spans="3:11" x14ac:dyDescent="0.25">
      <c r="C29" s="135"/>
      <c r="E29" s="36" t="s">
        <v>138</v>
      </c>
      <c r="F29" s="29">
        <v>9</v>
      </c>
      <c r="G29" s="63">
        <v>22470576</v>
      </c>
      <c r="H29" s="63">
        <v>22088974</v>
      </c>
    </row>
    <row r="30" spans="3:11" x14ac:dyDescent="0.25">
      <c r="C30" s="135"/>
      <c r="E30" s="36" t="s">
        <v>38</v>
      </c>
      <c r="F30" s="29">
        <v>10</v>
      </c>
      <c r="G30" s="63">
        <v>715073166</v>
      </c>
      <c r="H30" s="63">
        <v>711662483</v>
      </c>
    </row>
    <row r="31" spans="3:11" ht="15.6" x14ac:dyDescent="0.25">
      <c r="C31" s="135"/>
      <c r="E31" s="36" t="s">
        <v>39</v>
      </c>
      <c r="F31" s="41"/>
      <c r="G31" s="63">
        <v>7178442</v>
      </c>
      <c r="H31" s="63">
        <v>5353894</v>
      </c>
    </row>
    <row r="32" spans="3:11" ht="30" x14ac:dyDescent="0.25">
      <c r="C32" s="135"/>
      <c r="E32" s="36" t="s">
        <v>139</v>
      </c>
      <c r="F32" s="29">
        <v>7</v>
      </c>
      <c r="G32" s="63">
        <v>0</v>
      </c>
      <c r="H32" s="63">
        <v>16002389</v>
      </c>
    </row>
    <row r="33" spans="3:8" x14ac:dyDescent="0.25">
      <c r="C33" s="135"/>
      <c r="E33" s="36" t="s">
        <v>1</v>
      </c>
      <c r="F33" s="29">
        <v>12</v>
      </c>
      <c r="G33" s="63">
        <v>323708151</v>
      </c>
      <c r="H33" s="63">
        <v>292734519</v>
      </c>
    </row>
    <row r="34" spans="3:8" ht="15.6" x14ac:dyDescent="0.25">
      <c r="C34" s="135"/>
      <c r="E34" s="36" t="s">
        <v>40</v>
      </c>
      <c r="F34" s="41"/>
      <c r="G34" s="63">
        <v>5740925</v>
      </c>
      <c r="H34" s="63">
        <v>3588896</v>
      </c>
    </row>
    <row r="35" spans="3:8" ht="15.6" x14ac:dyDescent="0.25">
      <c r="C35" s="135"/>
      <c r="E35" s="36" t="s">
        <v>41</v>
      </c>
      <c r="F35" s="41"/>
      <c r="G35" s="63">
        <v>9539859</v>
      </c>
      <c r="H35" s="63">
        <v>9645971</v>
      </c>
    </row>
    <row r="36" spans="3:8" ht="15.6" x14ac:dyDescent="0.25">
      <c r="C36" s="135"/>
      <c r="E36" s="36" t="s">
        <v>42</v>
      </c>
      <c r="F36" s="41"/>
      <c r="G36" s="63">
        <v>1039981</v>
      </c>
      <c r="H36" s="63">
        <v>1218599</v>
      </c>
    </row>
    <row r="37" spans="3:8" ht="15.6" x14ac:dyDescent="0.3">
      <c r="E37" s="40" t="s">
        <v>46</v>
      </c>
      <c r="F37" s="41"/>
      <c r="G37" s="68">
        <f>SUM(G26:G36)</f>
        <v>1183806692</v>
      </c>
      <c r="H37" s="68">
        <f>SUM(H26:H36)</f>
        <v>1146302578</v>
      </c>
    </row>
    <row r="38" spans="3:8" ht="16.2" thickBot="1" x14ac:dyDescent="0.35">
      <c r="E38" s="40" t="s">
        <v>45</v>
      </c>
      <c r="F38" s="41"/>
      <c r="G38" s="65">
        <f>G37+G23</f>
        <v>1247432178</v>
      </c>
      <c r="H38" s="65">
        <f>H37+H23</f>
        <v>1202604382</v>
      </c>
    </row>
    <row r="39" spans="3:8" ht="16.2" thickTop="1" x14ac:dyDescent="0.25">
      <c r="E39" s="40"/>
      <c r="F39" s="41"/>
      <c r="G39" s="66"/>
      <c r="H39" s="67"/>
    </row>
    <row r="40" spans="3:8" ht="15.6" x14ac:dyDescent="0.25">
      <c r="E40" s="40" t="s">
        <v>47</v>
      </c>
      <c r="F40" s="41"/>
      <c r="G40" s="66"/>
      <c r="H40" s="67"/>
    </row>
    <row r="41" spans="3:8" x14ac:dyDescent="0.25">
      <c r="C41" s="137"/>
      <c r="E41" s="36" t="s">
        <v>62</v>
      </c>
      <c r="F41" s="29">
        <v>16</v>
      </c>
      <c r="G41" s="63">
        <v>51176325</v>
      </c>
      <c r="H41" s="63">
        <v>51213367</v>
      </c>
    </row>
    <row r="42" spans="3:8" x14ac:dyDescent="0.25">
      <c r="C42" s="137"/>
      <c r="E42" s="36" t="s">
        <v>63</v>
      </c>
      <c r="F42" s="29"/>
      <c r="G42" s="63">
        <v>10905632</v>
      </c>
      <c r="H42" s="63">
        <v>8036381</v>
      </c>
    </row>
    <row r="43" spans="3:8" x14ac:dyDescent="0.25">
      <c r="C43" s="137"/>
      <c r="E43" s="36" t="s">
        <v>64</v>
      </c>
      <c r="F43" s="29"/>
      <c r="G43" s="63">
        <v>2227271</v>
      </c>
      <c r="H43" s="63">
        <v>2319128</v>
      </c>
    </row>
    <row r="44" spans="3:8" x14ac:dyDescent="0.25">
      <c r="C44" s="137"/>
      <c r="E44" s="36" t="s">
        <v>51</v>
      </c>
      <c r="F44" s="29">
        <v>14</v>
      </c>
      <c r="G44" s="63">
        <v>29927079</v>
      </c>
      <c r="H44" s="63">
        <v>27831516</v>
      </c>
    </row>
    <row r="45" spans="3:8" ht="15.6" x14ac:dyDescent="0.25">
      <c r="C45" s="137"/>
      <c r="E45" s="36" t="s">
        <v>65</v>
      </c>
      <c r="F45" s="41"/>
      <c r="G45" s="63">
        <v>817123</v>
      </c>
      <c r="H45" s="63">
        <v>817120</v>
      </c>
    </row>
    <row r="46" spans="3:8" ht="16.2" thickBot="1" x14ac:dyDescent="0.35">
      <c r="E46" s="40" t="s">
        <v>48</v>
      </c>
      <c r="F46" s="29"/>
      <c r="G46" s="65">
        <f>SUM(G41:G45)</f>
        <v>95053430</v>
      </c>
      <c r="H46" s="65">
        <f>SUM(H41:H45)</f>
        <v>90217512</v>
      </c>
    </row>
    <row r="47" spans="3:8" ht="15.6" thickTop="1" x14ac:dyDescent="0.25">
      <c r="E47" s="36"/>
      <c r="F47" s="29"/>
      <c r="G47" s="63"/>
      <c r="H47" s="63"/>
    </row>
    <row r="48" spans="3:8" ht="15.6" x14ac:dyDescent="0.25">
      <c r="C48" s="139"/>
      <c r="E48" s="40" t="s">
        <v>49</v>
      </c>
      <c r="F48" s="41"/>
      <c r="G48" s="66"/>
      <c r="H48" s="67"/>
    </row>
    <row r="49" spans="3:8" x14ac:dyDescent="0.25">
      <c r="C49" s="139"/>
      <c r="E49" s="36" t="s">
        <v>62</v>
      </c>
      <c r="F49" s="29">
        <v>16</v>
      </c>
      <c r="G49" s="63">
        <v>16008198</v>
      </c>
      <c r="H49" s="63">
        <v>39156904</v>
      </c>
    </row>
    <row r="50" spans="3:8" ht="15.6" x14ac:dyDescent="0.25">
      <c r="C50" s="139"/>
      <c r="E50" s="36" t="s">
        <v>63</v>
      </c>
      <c r="F50" s="41"/>
      <c r="G50" s="63">
        <v>13670097</v>
      </c>
      <c r="H50" s="63">
        <v>19327460</v>
      </c>
    </row>
    <row r="51" spans="3:8" ht="15.6" x14ac:dyDescent="0.25">
      <c r="C51" s="139"/>
      <c r="E51" s="36" t="s">
        <v>66</v>
      </c>
      <c r="F51" s="41"/>
      <c r="G51" s="63">
        <v>10226349</v>
      </c>
      <c r="H51" s="63">
        <v>9945633</v>
      </c>
    </row>
    <row r="52" spans="3:8" x14ac:dyDescent="0.25">
      <c r="C52" s="139"/>
      <c r="E52" s="36" t="s">
        <v>68</v>
      </c>
      <c r="F52" s="29">
        <v>14</v>
      </c>
      <c r="G52" s="63">
        <v>101588641</v>
      </c>
      <c r="H52" s="63">
        <v>92825905</v>
      </c>
    </row>
    <row r="53" spans="3:8" ht="15.6" x14ac:dyDescent="0.25">
      <c r="C53" s="139"/>
      <c r="E53" s="36" t="s">
        <v>52</v>
      </c>
      <c r="F53" s="41"/>
      <c r="G53" s="63">
        <v>1017219</v>
      </c>
      <c r="H53" s="63">
        <v>1587116</v>
      </c>
    </row>
    <row r="54" spans="3:8" x14ac:dyDescent="0.25">
      <c r="C54" s="140"/>
      <c r="E54" s="36" t="s">
        <v>67</v>
      </c>
      <c r="F54" s="29">
        <v>13</v>
      </c>
      <c r="G54" s="63">
        <v>806630968</v>
      </c>
      <c r="H54" s="63">
        <v>776738156</v>
      </c>
    </row>
    <row r="55" spans="3:8" ht="15.6" x14ac:dyDescent="0.25">
      <c r="C55" s="139"/>
      <c r="E55" s="36" t="s">
        <v>53</v>
      </c>
      <c r="F55" s="41"/>
      <c r="G55" s="63">
        <v>2038534</v>
      </c>
      <c r="H55" s="63">
        <v>1012077</v>
      </c>
    </row>
    <row r="56" spans="3:8" ht="15.6" x14ac:dyDescent="0.25">
      <c r="C56" s="139"/>
      <c r="E56" s="36" t="s">
        <v>54</v>
      </c>
      <c r="F56" s="41"/>
      <c r="G56" s="63">
        <v>8858762</v>
      </c>
      <c r="H56" s="63">
        <v>16530328</v>
      </c>
    </row>
    <row r="57" spans="3:8" ht="15.6" x14ac:dyDescent="0.25">
      <c r="C57" s="139"/>
      <c r="E57" s="36" t="s">
        <v>55</v>
      </c>
      <c r="F57" s="41"/>
      <c r="G57" s="63">
        <v>3037361</v>
      </c>
      <c r="H57" s="63">
        <v>3792638</v>
      </c>
    </row>
    <row r="58" spans="3:8" ht="15.6" x14ac:dyDescent="0.25">
      <c r="C58" s="139"/>
      <c r="E58" s="36" t="s">
        <v>56</v>
      </c>
      <c r="F58" s="41"/>
      <c r="G58" s="63">
        <v>1756159</v>
      </c>
      <c r="H58" s="63">
        <v>698601</v>
      </c>
    </row>
    <row r="59" spans="3:8" ht="15.6" x14ac:dyDescent="0.25">
      <c r="C59" s="139"/>
      <c r="E59" s="36" t="s">
        <v>57</v>
      </c>
      <c r="F59" s="41"/>
      <c r="G59" s="63">
        <v>0</v>
      </c>
      <c r="H59" s="63">
        <v>0</v>
      </c>
    </row>
    <row r="60" spans="3:8" ht="15.6" x14ac:dyDescent="0.25">
      <c r="C60" s="139"/>
      <c r="E60" s="36" t="s">
        <v>58</v>
      </c>
      <c r="F60" s="41"/>
      <c r="G60" s="63">
        <v>1422972</v>
      </c>
      <c r="H60" s="63">
        <v>982209</v>
      </c>
    </row>
    <row r="61" spans="3:8" ht="15.6" x14ac:dyDescent="0.3">
      <c r="E61" s="40" t="s">
        <v>50</v>
      </c>
      <c r="F61" s="29"/>
      <c r="G61" s="68">
        <f>SUM(G49:G60)</f>
        <v>966255260</v>
      </c>
      <c r="H61" s="68">
        <f>SUM(H49:H60)</f>
        <v>962597027</v>
      </c>
    </row>
    <row r="62" spans="3:8" ht="16.2" thickBot="1" x14ac:dyDescent="0.35">
      <c r="E62" s="40" t="s">
        <v>59</v>
      </c>
      <c r="F62" s="41"/>
      <c r="G62" s="69">
        <f>G61+G46</f>
        <v>1061308690</v>
      </c>
      <c r="H62" s="69">
        <f>H61+H46</f>
        <v>1052814539</v>
      </c>
    </row>
    <row r="63" spans="3:8" ht="15.6" thickTop="1" x14ac:dyDescent="0.25">
      <c r="E63" s="36"/>
      <c r="F63" s="29"/>
      <c r="G63" s="63"/>
      <c r="H63" s="63"/>
    </row>
    <row r="64" spans="3:8" ht="15.6" x14ac:dyDescent="0.25">
      <c r="E64" s="40" t="s">
        <v>4</v>
      </c>
      <c r="F64" s="41"/>
      <c r="G64" s="66"/>
      <c r="H64" s="67"/>
    </row>
    <row r="65" spans="5:8" x14ac:dyDescent="0.25">
      <c r="E65" s="36" t="s">
        <v>60</v>
      </c>
      <c r="F65" s="29"/>
      <c r="G65" s="63">
        <v>269</v>
      </c>
      <c r="H65" s="63">
        <v>269</v>
      </c>
    </row>
    <row r="66" spans="5:8" x14ac:dyDescent="0.25">
      <c r="E66" s="36" t="s">
        <v>30</v>
      </c>
      <c r="F66" s="29"/>
      <c r="G66" s="70">
        <v>186123219</v>
      </c>
      <c r="H66" s="70">
        <v>149789574</v>
      </c>
    </row>
    <row r="67" spans="5:8" ht="15" customHeight="1" x14ac:dyDescent="0.3">
      <c r="E67" s="40" t="s">
        <v>5</v>
      </c>
      <c r="F67" s="41"/>
      <c r="G67" s="71">
        <f>SUM(G65:G66)</f>
        <v>186123488</v>
      </c>
      <c r="H67" s="71">
        <f>SUM(H65:H66)</f>
        <v>149789843</v>
      </c>
    </row>
    <row r="68" spans="5:8" ht="15.6" customHeight="1" thickBot="1" x14ac:dyDescent="0.35">
      <c r="E68" s="40" t="s">
        <v>6</v>
      </c>
      <c r="F68" s="41"/>
      <c r="G68" s="65">
        <f>OLE_LINK16+G62</f>
        <v>1247432178</v>
      </c>
      <c r="H68" s="65">
        <f>H67+H62</f>
        <v>1202604382</v>
      </c>
    </row>
    <row r="69" spans="5:8" ht="15.6" thickTop="1" x14ac:dyDescent="0.25">
      <c r="G69" s="72"/>
      <c r="H69" s="72"/>
    </row>
    <row r="70" spans="5:8" x14ac:dyDescent="0.25">
      <c r="G70" s="72"/>
      <c r="H70" s="72"/>
    </row>
    <row r="71" spans="5:8" x14ac:dyDescent="0.25">
      <c r="G71" s="72"/>
      <c r="H71" s="72"/>
    </row>
    <row r="72" spans="5:8" x14ac:dyDescent="0.25">
      <c r="E72" s="48" t="s">
        <v>126</v>
      </c>
      <c r="F72" s="29"/>
      <c r="G72" s="19" t="s">
        <v>10</v>
      </c>
      <c r="H72" s="16"/>
    </row>
    <row r="73" spans="5:8" x14ac:dyDescent="0.25">
      <c r="E73" s="36"/>
      <c r="F73" s="29"/>
      <c r="G73" s="48" t="s">
        <v>125</v>
      </c>
      <c r="H73" s="16"/>
    </row>
    <row r="74" spans="5:8" x14ac:dyDescent="0.25">
      <c r="E74" s="18"/>
      <c r="F74" s="29"/>
      <c r="G74" s="18"/>
      <c r="H74" s="16"/>
    </row>
    <row r="75" spans="5:8" x14ac:dyDescent="0.25">
      <c r="E75" s="48" t="s">
        <v>81</v>
      </c>
      <c r="F75" s="29"/>
      <c r="G75" s="19" t="s">
        <v>10</v>
      </c>
      <c r="H75" s="16"/>
    </row>
    <row r="76" spans="5:8" x14ac:dyDescent="0.25">
      <c r="E76" s="18"/>
      <c r="F76" s="29"/>
      <c r="G76" s="48" t="s">
        <v>84</v>
      </c>
      <c r="H76" s="16"/>
    </row>
    <row r="77" spans="5:8" x14ac:dyDescent="0.25">
      <c r="E77" s="48"/>
      <c r="F77" s="29"/>
      <c r="G77" s="15"/>
      <c r="H77" s="16"/>
    </row>
    <row r="78" spans="5:8" x14ac:dyDescent="0.25">
      <c r="E78" s="49" t="s">
        <v>82</v>
      </c>
      <c r="F78" s="29"/>
      <c r="G78" s="22" t="s">
        <v>29</v>
      </c>
      <c r="H78" s="16"/>
    </row>
    <row r="79" spans="5:8" ht="15.6" x14ac:dyDescent="0.25">
      <c r="E79" s="36"/>
      <c r="F79" s="29"/>
      <c r="G79" s="49" t="s">
        <v>83</v>
      </c>
      <c r="H79" s="13"/>
    </row>
    <row r="80" spans="5:8" x14ac:dyDescent="0.25">
      <c r="G80" s="72"/>
      <c r="H80" s="72"/>
    </row>
    <row r="81" spans="7:8" x14ac:dyDescent="0.25">
      <c r="G81" s="72"/>
      <c r="H81" s="72"/>
    </row>
    <row r="82" spans="7:8" x14ac:dyDescent="0.25">
      <c r="G82" s="73">
        <f>G23-G68</f>
        <v>-1183806692</v>
      </c>
      <c r="H82" s="73">
        <f>H23-H68</f>
        <v>-1146302578</v>
      </c>
    </row>
    <row r="83" spans="7:8" x14ac:dyDescent="0.25">
      <c r="G83" s="72"/>
      <c r="H83" s="72"/>
    </row>
    <row r="84" spans="7:8" hidden="1" x14ac:dyDescent="0.25">
      <c r="G84" s="72">
        <f>G68-G23</f>
        <v>1183806692</v>
      </c>
      <c r="H84" s="72">
        <f>H68-H23</f>
        <v>1146302578</v>
      </c>
    </row>
    <row r="85" spans="7:8" x14ac:dyDescent="0.25">
      <c r="G85" s="72">
        <f>G38-G68</f>
        <v>0</v>
      </c>
      <c r="H85" s="72">
        <f>H38-H68</f>
        <v>0</v>
      </c>
    </row>
    <row r="86" spans="7:8" x14ac:dyDescent="0.25">
      <c r="G86" s="72"/>
      <c r="H86" s="72"/>
    </row>
  </sheetData>
  <pageMargins left="0.70866141732283472" right="0.70866141732283472" top="0.74803149606299213" bottom="0.74803149606299213" header="0.31496062992125984" footer="0.31496062992125984"/>
  <pageSetup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2:R82"/>
  <sheetViews>
    <sheetView view="pageBreakPreview" topLeftCell="A26" zoomScale="79" zoomScaleNormal="80" zoomScaleSheetLayoutView="85" workbookViewId="0">
      <selection activeCell="E55" sqref="E55"/>
    </sheetView>
  </sheetViews>
  <sheetFormatPr defaultColWidth="9.21875" defaultRowHeight="15" x14ac:dyDescent="0.3"/>
  <cols>
    <col min="1" max="3" width="9.21875" style="19"/>
    <col min="4" max="4" width="19" style="19" customWidth="1"/>
    <col min="5" max="5" width="83.5546875" style="19" customWidth="1"/>
    <col min="6" max="6" width="9.21875" style="20" customWidth="1"/>
    <col min="7" max="7" width="28.77734375" style="22" customWidth="1"/>
    <col min="8" max="8" width="2.5546875" style="19" customWidth="1"/>
    <col min="9" max="9" width="29.21875" style="22" customWidth="1"/>
    <col min="10" max="10" width="9.77734375" style="19" customWidth="1"/>
    <col min="11" max="11" width="40" style="19" hidden="1" customWidth="1"/>
    <col min="12" max="13" width="13.21875" style="19" bestFit="1" customWidth="1"/>
    <col min="14" max="14" width="11.5546875" style="19" bestFit="1" customWidth="1"/>
    <col min="15" max="16" width="9.21875" style="19"/>
    <col min="17" max="17" width="11.44140625" style="19" bestFit="1" customWidth="1"/>
    <col min="18" max="18" width="12.77734375" style="19" bestFit="1" customWidth="1"/>
    <col min="19" max="16384" width="9.21875" style="19"/>
  </cols>
  <sheetData>
    <row r="2" spans="5:14" x14ac:dyDescent="0.3">
      <c r="I2" s="19"/>
    </row>
    <row r="3" spans="5:14" ht="17.399999999999999" x14ac:dyDescent="0.3">
      <c r="I3" s="26" t="s">
        <v>32</v>
      </c>
    </row>
    <row r="4" spans="5:14" ht="15.6" x14ac:dyDescent="0.3">
      <c r="I4" s="27" t="s">
        <v>128</v>
      </c>
    </row>
    <row r="5" spans="5:14" ht="9.6" customHeight="1" x14ac:dyDescent="0.3">
      <c r="I5" s="27" t="s">
        <v>0</v>
      </c>
    </row>
    <row r="6" spans="5:14" ht="15.6" x14ac:dyDescent="0.3">
      <c r="I6" s="27" t="s">
        <v>119</v>
      </c>
    </row>
    <row r="7" spans="5:14" ht="4.2" customHeight="1" x14ac:dyDescent="0.3"/>
    <row r="8" spans="5:14" ht="58.95" customHeight="1" x14ac:dyDescent="0.3">
      <c r="E8" s="28"/>
      <c r="F8" s="29"/>
      <c r="G8" s="32" t="str">
        <f>PL!G8</f>
        <v>За три месяца, закончившихся 31 марта 2025 года</v>
      </c>
      <c r="H8" s="83"/>
      <c r="I8" s="32" t="str">
        <f>PL!H8</f>
        <v>За три месяца, закончившихся 31 марта 2024 года</v>
      </c>
    </row>
    <row r="9" spans="5:14" ht="15.6" x14ac:dyDescent="0.3">
      <c r="E9" s="28"/>
      <c r="F9" s="84" t="s">
        <v>28</v>
      </c>
      <c r="G9" s="35" t="s">
        <v>7</v>
      </c>
      <c r="H9" s="83"/>
      <c r="I9" s="35" t="s">
        <v>7</v>
      </c>
    </row>
    <row r="10" spans="5:14" ht="15.6" x14ac:dyDescent="0.3">
      <c r="E10" s="40" t="s">
        <v>98</v>
      </c>
      <c r="F10" s="41"/>
      <c r="G10" s="61"/>
      <c r="H10" s="40"/>
      <c r="I10" s="74"/>
      <c r="N10" s="85"/>
    </row>
    <row r="11" spans="5:14" ht="15.6" x14ac:dyDescent="0.3">
      <c r="E11" s="75" t="s">
        <v>85</v>
      </c>
      <c r="F11" s="29"/>
      <c r="G11" s="10"/>
      <c r="H11" s="76"/>
      <c r="I11" s="10"/>
      <c r="J11" s="86"/>
      <c r="K11" s="87"/>
      <c r="L11" s="85"/>
      <c r="M11" s="85"/>
      <c r="N11" s="85"/>
    </row>
    <row r="12" spans="5:14" ht="15.6" x14ac:dyDescent="0.25">
      <c r="E12" s="36" t="s">
        <v>86</v>
      </c>
      <c r="F12" s="29"/>
      <c r="G12" s="22">
        <f>ROUND(235482325.318353,0)</f>
        <v>235482325</v>
      </c>
      <c r="H12" s="76"/>
      <c r="I12" s="14">
        <f>ROUND(133530856,0)</f>
        <v>133530856</v>
      </c>
      <c r="L12" s="85"/>
      <c r="M12" s="85"/>
      <c r="N12" s="85"/>
    </row>
    <row r="13" spans="5:14" ht="15.6" x14ac:dyDescent="0.25">
      <c r="E13" s="36" t="s">
        <v>87</v>
      </c>
      <c r="F13" s="29"/>
      <c r="G13" s="22">
        <f>ROUND(47743,0)</f>
        <v>47743</v>
      </c>
      <c r="H13" s="76"/>
      <c r="I13" s="14">
        <f>ROUND(26549,0)</f>
        <v>26549</v>
      </c>
      <c r="L13" s="85"/>
      <c r="M13" s="85"/>
      <c r="N13" s="85"/>
    </row>
    <row r="14" spans="5:14" ht="15.6" x14ac:dyDescent="0.3">
      <c r="E14" s="40" t="s">
        <v>95</v>
      </c>
      <c r="F14" s="29"/>
      <c r="G14" s="8">
        <f>SUM(G12:G13)</f>
        <v>235530068</v>
      </c>
      <c r="H14" s="76"/>
      <c r="I14" s="8">
        <f>SUM(I12:I13)</f>
        <v>133557405</v>
      </c>
      <c r="L14" s="85"/>
      <c r="M14" s="85"/>
      <c r="N14" s="85"/>
    </row>
    <row r="15" spans="5:14" ht="15.6" x14ac:dyDescent="0.3">
      <c r="E15" s="40" t="s">
        <v>0</v>
      </c>
      <c r="F15" s="41"/>
      <c r="G15" s="10"/>
      <c r="H15" s="76"/>
      <c r="I15" s="10"/>
      <c r="L15" s="85"/>
      <c r="M15" s="85"/>
      <c r="N15" s="85"/>
    </row>
    <row r="16" spans="5:14" ht="15.6" x14ac:dyDescent="0.3">
      <c r="E16" s="40" t="s">
        <v>88</v>
      </c>
      <c r="F16" s="41"/>
      <c r="G16" s="10"/>
      <c r="H16" s="76"/>
      <c r="I16" s="10"/>
      <c r="L16" s="85"/>
      <c r="M16" s="85"/>
      <c r="N16" s="85"/>
    </row>
    <row r="17" spans="5:18" x14ac:dyDescent="0.25">
      <c r="E17" s="36" t="s">
        <v>89</v>
      </c>
      <c r="F17" s="29"/>
      <c r="G17" s="22">
        <f>ROUND(-161805599.467086,0)</f>
        <v>-161805599</v>
      </c>
      <c r="H17" s="88"/>
      <c r="I17" s="14">
        <f>ROUND(-103298526,0)</f>
        <v>-103298526</v>
      </c>
      <c r="J17" s="89"/>
      <c r="K17" s="86" t="s">
        <v>12</v>
      </c>
      <c r="L17" s="85"/>
      <c r="M17" s="85"/>
      <c r="N17" s="85"/>
    </row>
    <row r="18" spans="5:18" x14ac:dyDescent="0.25">
      <c r="E18" s="36" t="s">
        <v>90</v>
      </c>
      <c r="F18" s="29"/>
      <c r="G18" s="22">
        <f>ROUND(-10172249.5003473,0)</f>
        <v>-10172250</v>
      </c>
      <c r="H18" s="88"/>
      <c r="I18" s="14">
        <f>ROUND(-6137573,0)</f>
        <v>-6137573</v>
      </c>
      <c r="J18" s="89"/>
      <c r="K18" s="86"/>
      <c r="L18" s="85"/>
      <c r="M18" s="85"/>
      <c r="N18" s="85"/>
    </row>
    <row r="19" spans="5:18" ht="15.6" x14ac:dyDescent="0.25">
      <c r="E19" s="36" t="s">
        <v>91</v>
      </c>
      <c r="F19" s="29"/>
      <c r="G19" s="22">
        <f>ROUND(-7826503.94296511,0)</f>
        <v>-7826504</v>
      </c>
      <c r="H19" s="88"/>
      <c r="I19" s="14">
        <f>ROUND(-5201416,0)</f>
        <v>-5201416</v>
      </c>
      <c r="K19" s="87" t="s">
        <v>13</v>
      </c>
      <c r="L19" s="85"/>
      <c r="M19" s="85"/>
      <c r="N19" s="85"/>
    </row>
    <row r="20" spans="5:18" x14ac:dyDescent="0.25">
      <c r="E20" s="36" t="s">
        <v>92</v>
      </c>
      <c r="F20" s="29"/>
      <c r="G20" s="22">
        <f>ROUND(-9456802,0)</f>
        <v>-9456802</v>
      </c>
      <c r="H20" s="88"/>
      <c r="I20" s="14">
        <f>ROUND(-4431869,0)</f>
        <v>-4431869</v>
      </c>
      <c r="K20" s="19" t="s">
        <v>14</v>
      </c>
      <c r="L20" s="85"/>
      <c r="M20" s="85"/>
      <c r="N20" s="85"/>
    </row>
    <row r="21" spans="5:18" x14ac:dyDescent="0.25">
      <c r="E21" s="36" t="s">
        <v>93</v>
      </c>
      <c r="F21" s="29"/>
      <c r="G21" s="22">
        <f>ROUND(-686172.85865895,0)+21248</f>
        <v>-664925</v>
      </c>
      <c r="H21" s="88"/>
      <c r="I21" s="14">
        <f>ROUND(-431525,0)</f>
        <v>-431525</v>
      </c>
      <c r="J21" s="89"/>
      <c r="K21" s="86" t="s">
        <v>15</v>
      </c>
      <c r="L21" s="85"/>
      <c r="M21" s="85"/>
      <c r="N21" s="85"/>
    </row>
    <row r="22" spans="5:18" ht="15.6" x14ac:dyDescent="0.3">
      <c r="E22" s="40" t="s">
        <v>96</v>
      </c>
      <c r="F22" s="41"/>
      <c r="G22" s="8">
        <f>SUM(G17:G20)+G21</f>
        <v>-189926080</v>
      </c>
      <c r="H22" s="12"/>
      <c r="I22" s="8">
        <f>SUM(I17:I20)+I21</f>
        <v>-119500909</v>
      </c>
      <c r="L22" s="85"/>
      <c r="M22" s="85"/>
      <c r="N22" s="85"/>
    </row>
    <row r="23" spans="5:18" ht="26.25" customHeight="1" x14ac:dyDescent="0.3">
      <c r="E23" s="46" t="s">
        <v>94</v>
      </c>
      <c r="F23" s="47"/>
      <c r="G23" s="90">
        <f>G22+G14</f>
        <v>45603988</v>
      </c>
      <c r="H23" s="91"/>
      <c r="I23" s="90">
        <f>I22+I14</f>
        <v>14056496</v>
      </c>
      <c r="J23" s="89"/>
      <c r="K23" s="86"/>
      <c r="L23" s="85"/>
      <c r="M23" s="85"/>
      <c r="N23" s="85"/>
    </row>
    <row r="24" spans="5:18" ht="15.6" x14ac:dyDescent="0.3">
      <c r="E24" s="40" t="s">
        <v>0</v>
      </c>
      <c r="F24" s="41"/>
      <c r="G24" s="10"/>
      <c r="H24" s="76"/>
      <c r="I24" s="10"/>
      <c r="L24" s="85"/>
      <c r="M24" s="85"/>
      <c r="N24" s="85"/>
    </row>
    <row r="25" spans="5:18" ht="13.95" customHeight="1" x14ac:dyDescent="0.3">
      <c r="E25" s="40" t="s">
        <v>97</v>
      </c>
      <c r="F25" s="41"/>
      <c r="G25" s="10"/>
      <c r="H25" s="76"/>
      <c r="I25" s="10"/>
      <c r="L25" s="85"/>
      <c r="M25" s="85"/>
      <c r="N25" s="85"/>
      <c r="Q25" s="77"/>
    </row>
    <row r="26" spans="5:18" ht="15.6" x14ac:dyDescent="0.3">
      <c r="E26" s="46" t="s">
        <v>85</v>
      </c>
      <c r="G26" s="92"/>
      <c r="H26" s="93"/>
      <c r="I26" s="92"/>
      <c r="L26" s="85"/>
      <c r="M26" s="85"/>
      <c r="N26" s="85"/>
      <c r="Q26" s="78"/>
    </row>
    <row r="27" spans="5:18" ht="30" x14ac:dyDescent="0.25">
      <c r="E27" s="36" t="s">
        <v>99</v>
      </c>
      <c r="G27" s="22">
        <f>ROUND(7582.2270999999,0)</f>
        <v>7582</v>
      </c>
      <c r="H27" s="93"/>
      <c r="I27" s="14">
        <f>ROUND(5936,0)</f>
        <v>5936</v>
      </c>
      <c r="K27" s="19" t="s">
        <v>16</v>
      </c>
      <c r="L27" s="85"/>
      <c r="M27" s="85"/>
      <c r="N27" s="85"/>
      <c r="Q27" s="78"/>
    </row>
    <row r="28" spans="5:18" ht="15.6" x14ac:dyDescent="0.25">
      <c r="E28" s="36" t="s">
        <v>100</v>
      </c>
      <c r="G28" s="22">
        <f>ROUND(17310907,0)</f>
        <v>17310907</v>
      </c>
      <c r="H28" s="93"/>
      <c r="I28" s="14">
        <f>ROUND(0,0)</f>
        <v>0</v>
      </c>
      <c r="K28" s="19" t="s">
        <v>17</v>
      </c>
      <c r="L28" s="85"/>
      <c r="M28" s="85"/>
      <c r="N28" s="85"/>
      <c r="Q28" s="78"/>
    </row>
    <row r="29" spans="5:18" ht="15.6" x14ac:dyDescent="0.25">
      <c r="E29" s="36" t="s">
        <v>101</v>
      </c>
      <c r="F29" s="29"/>
      <c r="G29" s="22">
        <f>ROUND(0,0)</f>
        <v>0</v>
      </c>
      <c r="H29" s="88"/>
      <c r="I29" s="14">
        <f>ROUND(668000,0)</f>
        <v>668000</v>
      </c>
      <c r="K29" s="19" t="s">
        <v>18</v>
      </c>
      <c r="L29" s="85"/>
      <c r="M29" s="85"/>
      <c r="N29" s="85"/>
      <c r="Q29" s="77"/>
    </row>
    <row r="30" spans="5:18" ht="30" x14ac:dyDescent="0.25">
      <c r="E30" s="36" t="s">
        <v>145</v>
      </c>
      <c r="F30" s="29"/>
      <c r="G30" s="22">
        <f>ROUND(9075738,0)</f>
        <v>9075738</v>
      </c>
      <c r="H30" s="88"/>
      <c r="I30" s="14">
        <f>ROUND(3590492,0)</f>
        <v>3590492</v>
      </c>
      <c r="K30" s="19" t="s">
        <v>19</v>
      </c>
      <c r="L30" s="85"/>
      <c r="M30" s="85"/>
      <c r="N30" s="85"/>
      <c r="Q30" s="77"/>
    </row>
    <row r="31" spans="5:18" ht="15.6" x14ac:dyDescent="0.25">
      <c r="E31" s="36" t="s">
        <v>146</v>
      </c>
      <c r="F31" s="79"/>
      <c r="G31" s="138">
        <f>ROUND(3492239.28169072,0)</f>
        <v>3492239</v>
      </c>
      <c r="H31" s="94"/>
      <c r="I31" s="141">
        <f>ROUND(4210589,0)</f>
        <v>4210589</v>
      </c>
      <c r="K31" s="87"/>
      <c r="L31" s="85"/>
      <c r="M31" s="85"/>
      <c r="N31" s="85"/>
      <c r="Q31" s="77"/>
      <c r="R31" s="89"/>
    </row>
    <row r="32" spans="5:18" ht="15.6" x14ac:dyDescent="0.3">
      <c r="E32" s="80" t="s">
        <v>95</v>
      </c>
      <c r="F32" s="81"/>
      <c r="G32" s="8">
        <f>SUM(G27:G31)</f>
        <v>29886466</v>
      </c>
      <c r="H32" s="76"/>
      <c r="I32" s="8">
        <f>SUM(I27:I31)</f>
        <v>8475017</v>
      </c>
      <c r="K32" s="19" t="s">
        <v>20</v>
      </c>
      <c r="L32" s="85"/>
      <c r="M32" s="85"/>
      <c r="N32" s="85"/>
      <c r="Q32" s="77"/>
    </row>
    <row r="33" spans="5:18" ht="15.6" x14ac:dyDescent="0.3">
      <c r="E33" s="36"/>
      <c r="F33" s="41"/>
      <c r="G33" s="10"/>
      <c r="H33" s="76"/>
      <c r="I33" s="10"/>
      <c r="L33" s="85"/>
      <c r="M33" s="85"/>
      <c r="N33" s="85"/>
      <c r="Q33" s="77"/>
    </row>
    <row r="34" spans="5:18" ht="15.6" x14ac:dyDescent="0.3">
      <c r="E34" s="40" t="s">
        <v>88</v>
      </c>
      <c r="F34" s="41"/>
      <c r="G34" s="10"/>
      <c r="H34" s="76"/>
      <c r="I34" s="10"/>
      <c r="L34" s="85"/>
      <c r="M34" s="85"/>
      <c r="N34" s="85"/>
      <c r="Q34" s="77"/>
    </row>
    <row r="35" spans="5:18" ht="30" x14ac:dyDescent="0.3">
      <c r="E35" s="36" t="s">
        <v>102</v>
      </c>
      <c r="F35" s="81"/>
      <c r="G35" s="22">
        <v>-452362</v>
      </c>
      <c r="H35" s="76"/>
      <c r="I35" s="22">
        <v>-298173</v>
      </c>
      <c r="L35" s="85"/>
      <c r="M35" s="85"/>
      <c r="N35" s="85"/>
      <c r="Q35" s="77"/>
    </row>
    <row r="36" spans="5:18" ht="15.6" x14ac:dyDescent="0.3">
      <c r="E36" s="36" t="s">
        <v>103</v>
      </c>
      <c r="F36" s="81"/>
      <c r="G36" s="22">
        <v>-8249724</v>
      </c>
      <c r="H36" s="76"/>
      <c r="I36" s="22">
        <v>-6378694</v>
      </c>
      <c r="L36" s="85"/>
      <c r="M36" s="85"/>
      <c r="N36" s="85"/>
      <c r="Q36" s="77"/>
    </row>
    <row r="37" spans="5:18" s="28" customFormat="1" ht="15.6" x14ac:dyDescent="0.3">
      <c r="E37" s="36" t="s">
        <v>147</v>
      </c>
      <c r="F37" s="41"/>
      <c r="G37" s="22">
        <v>-10624</v>
      </c>
      <c r="H37" s="95"/>
      <c r="I37" s="142">
        <v>0</v>
      </c>
      <c r="L37" s="96"/>
      <c r="M37" s="96"/>
      <c r="N37" s="96"/>
      <c r="Q37" s="77"/>
    </row>
    <row r="38" spans="5:18" ht="15.6" x14ac:dyDescent="0.3">
      <c r="E38" s="36" t="s">
        <v>148</v>
      </c>
      <c r="F38" s="41"/>
      <c r="G38" s="22">
        <v>-7444384</v>
      </c>
      <c r="H38" s="76"/>
      <c r="I38" s="142">
        <v>0</v>
      </c>
      <c r="L38" s="85"/>
      <c r="M38" s="85"/>
      <c r="N38" s="85"/>
      <c r="Q38" s="77"/>
    </row>
    <row r="39" spans="5:18" ht="15.6" x14ac:dyDescent="0.3">
      <c r="E39" s="36" t="s">
        <v>104</v>
      </c>
      <c r="F39" s="41"/>
      <c r="G39" s="142">
        <v>0</v>
      </c>
      <c r="H39" s="76"/>
      <c r="I39" s="22">
        <v>-3303000</v>
      </c>
      <c r="L39" s="85"/>
      <c r="M39" s="85"/>
      <c r="N39" s="85"/>
      <c r="Q39" s="77"/>
    </row>
    <row r="40" spans="5:18" ht="15.6" x14ac:dyDescent="0.3">
      <c r="E40" s="36" t="s">
        <v>144</v>
      </c>
      <c r="F40" s="29"/>
      <c r="G40" s="142">
        <v>0</v>
      </c>
      <c r="H40" s="88"/>
      <c r="I40" s="22">
        <v>-838579</v>
      </c>
      <c r="K40" s="19" t="s">
        <v>21</v>
      </c>
      <c r="L40" s="85"/>
      <c r="M40" s="97"/>
      <c r="N40" s="85"/>
      <c r="Q40" s="77"/>
      <c r="R40" s="89"/>
    </row>
    <row r="41" spans="5:18" ht="26.25" customHeight="1" x14ac:dyDescent="0.3">
      <c r="E41" s="40" t="s">
        <v>96</v>
      </c>
      <c r="F41" s="29"/>
      <c r="G41" s="8">
        <f>SUM(G35:G40)</f>
        <v>-16157094</v>
      </c>
      <c r="H41" s="88"/>
      <c r="I41" s="8">
        <f>SUM(I35:I40)</f>
        <v>-10818446</v>
      </c>
      <c r="K41" s="19" t="s">
        <v>22</v>
      </c>
      <c r="L41" s="85"/>
      <c r="M41" s="97"/>
      <c r="N41" s="85"/>
      <c r="Q41" s="77"/>
    </row>
    <row r="42" spans="5:18" ht="27.75" customHeight="1" x14ac:dyDescent="0.3">
      <c r="E42" s="40" t="s">
        <v>105</v>
      </c>
      <c r="F42" s="41"/>
      <c r="G42" s="7">
        <f>G41+G32</f>
        <v>13729372</v>
      </c>
      <c r="H42" s="95"/>
      <c r="I42" s="7">
        <f>I41+I32</f>
        <v>-2343429</v>
      </c>
      <c r="K42" s="89" t="s">
        <v>24</v>
      </c>
      <c r="L42" s="85"/>
      <c r="M42" s="97"/>
      <c r="Q42" s="77"/>
    </row>
    <row r="43" spans="5:18" ht="17.25" customHeight="1" x14ac:dyDescent="0.3">
      <c r="E43" s="40"/>
      <c r="F43" s="41"/>
      <c r="G43" s="13"/>
      <c r="H43" s="95"/>
      <c r="I43" s="13"/>
      <c r="K43" s="89"/>
      <c r="L43" s="89"/>
      <c r="M43" s="97"/>
      <c r="Q43" s="77"/>
    </row>
    <row r="44" spans="5:18" ht="17.25" customHeight="1" x14ac:dyDescent="0.3">
      <c r="E44" s="40" t="s">
        <v>106</v>
      </c>
      <c r="F44" s="41"/>
      <c r="G44" s="13"/>
      <c r="H44" s="95"/>
      <c r="I44" s="13"/>
      <c r="K44" s="89"/>
      <c r="L44" s="89"/>
      <c r="M44" s="97"/>
      <c r="Q44" s="77"/>
    </row>
    <row r="45" spans="5:18" ht="17.25" customHeight="1" x14ac:dyDescent="0.3">
      <c r="E45" s="40" t="s">
        <v>85</v>
      </c>
      <c r="F45" s="41"/>
      <c r="G45" s="16"/>
      <c r="H45" s="95"/>
      <c r="I45" s="16"/>
      <c r="K45" s="89"/>
      <c r="L45" s="89"/>
      <c r="M45" s="97"/>
      <c r="Q45" s="77"/>
    </row>
    <row r="46" spans="5:18" s="28" customFormat="1" ht="15.6" x14ac:dyDescent="0.3">
      <c r="E46" s="36" t="s">
        <v>107</v>
      </c>
      <c r="F46" s="41"/>
      <c r="G46" s="22">
        <v>40158</v>
      </c>
      <c r="H46" s="95"/>
      <c r="I46" s="22">
        <v>2756674</v>
      </c>
      <c r="L46" s="96"/>
      <c r="M46" s="96"/>
      <c r="N46" s="96"/>
      <c r="Q46" s="77"/>
    </row>
    <row r="47" spans="5:18" s="28" customFormat="1" ht="15.6" x14ac:dyDescent="0.3">
      <c r="E47" s="36" t="s">
        <v>108</v>
      </c>
      <c r="F47" s="41"/>
      <c r="G47" s="22">
        <v>7633929</v>
      </c>
      <c r="H47" s="95"/>
      <c r="I47" s="22">
        <v>12728976</v>
      </c>
      <c r="L47" s="96"/>
      <c r="M47" s="96"/>
      <c r="N47" s="96"/>
      <c r="Q47" s="77"/>
    </row>
    <row r="48" spans="5:18" s="28" customFormat="1" ht="15.6" x14ac:dyDescent="0.3">
      <c r="E48" s="36" t="s">
        <v>109</v>
      </c>
      <c r="F48" s="41"/>
      <c r="G48" s="142">
        <v>0</v>
      </c>
      <c r="H48" s="95"/>
      <c r="I48" s="22">
        <v>5586488</v>
      </c>
      <c r="L48" s="96"/>
      <c r="M48" s="96"/>
      <c r="N48" s="96"/>
      <c r="Q48" s="77"/>
    </row>
    <row r="49" spans="5:17" ht="17.25" customHeight="1" x14ac:dyDescent="0.3">
      <c r="E49" s="40" t="s">
        <v>95</v>
      </c>
      <c r="F49" s="41"/>
      <c r="G49" s="98">
        <f>SUM(G46:G48)</f>
        <v>7674087</v>
      </c>
      <c r="H49" s="95"/>
      <c r="I49" s="98">
        <f>SUM(I46:I48)</f>
        <v>21072138</v>
      </c>
      <c r="K49" s="89"/>
      <c r="L49" s="89"/>
      <c r="M49" s="97"/>
      <c r="Q49" s="77"/>
    </row>
    <row r="50" spans="5:17" ht="17.25" customHeight="1" x14ac:dyDescent="0.3">
      <c r="E50" s="36"/>
      <c r="F50" s="41"/>
      <c r="G50" s="16"/>
      <c r="H50" s="95"/>
      <c r="I50" s="16"/>
      <c r="K50" s="89"/>
      <c r="L50" s="89"/>
      <c r="M50" s="97"/>
      <c r="Q50" s="77"/>
    </row>
    <row r="51" spans="5:17" ht="17.25" customHeight="1" x14ac:dyDescent="0.3">
      <c r="E51" s="40" t="s">
        <v>88</v>
      </c>
      <c r="F51" s="41"/>
      <c r="G51" s="16"/>
      <c r="H51" s="95"/>
      <c r="I51" s="16"/>
      <c r="K51" s="89"/>
      <c r="L51" s="89"/>
      <c r="M51" s="97"/>
      <c r="Q51" s="77"/>
    </row>
    <row r="52" spans="5:17" s="28" customFormat="1" ht="15.6" x14ac:dyDescent="0.3">
      <c r="E52" s="36" t="s">
        <v>110</v>
      </c>
      <c r="F52" s="41"/>
      <c r="G52" s="142">
        <v>-17916855</v>
      </c>
      <c r="H52" s="95"/>
      <c r="I52" s="22">
        <v>-1114987</v>
      </c>
      <c r="L52" s="96"/>
      <c r="M52" s="96"/>
      <c r="N52" s="96"/>
      <c r="Q52" s="77"/>
    </row>
    <row r="53" spans="5:17" s="28" customFormat="1" ht="15.6" x14ac:dyDescent="0.3">
      <c r="E53" s="36" t="s">
        <v>149</v>
      </c>
      <c r="F53" s="41"/>
      <c r="G53" s="142">
        <v>-557886</v>
      </c>
      <c r="H53" s="95"/>
      <c r="I53" s="22">
        <v>-581219</v>
      </c>
      <c r="L53" s="96"/>
      <c r="M53" s="96"/>
      <c r="N53" s="96"/>
      <c r="Q53" s="77"/>
    </row>
    <row r="54" spans="5:17" s="28" customFormat="1" ht="15.6" x14ac:dyDescent="0.3">
      <c r="E54" s="36" t="s">
        <v>111</v>
      </c>
      <c r="F54" s="41"/>
      <c r="G54" s="142">
        <v>-12000000</v>
      </c>
      <c r="H54" s="95"/>
      <c r="I54" s="22">
        <v>0</v>
      </c>
      <c r="L54" s="96"/>
      <c r="M54" s="96"/>
      <c r="N54" s="96"/>
      <c r="Q54" s="77"/>
    </row>
    <row r="55" spans="5:17" s="28" customFormat="1" ht="15.6" x14ac:dyDescent="0.3">
      <c r="E55" s="36" t="s">
        <v>112</v>
      </c>
      <c r="F55" s="41"/>
      <c r="G55" s="142">
        <v>-1417272</v>
      </c>
      <c r="H55" s="95"/>
      <c r="I55" s="22">
        <v>0</v>
      </c>
      <c r="L55" s="96"/>
      <c r="M55" s="96"/>
      <c r="N55" s="96"/>
      <c r="Q55" s="77"/>
    </row>
    <row r="56" spans="5:17" s="28" customFormat="1" ht="15.6" x14ac:dyDescent="0.3">
      <c r="E56" s="36" t="s">
        <v>150</v>
      </c>
      <c r="F56" s="41"/>
      <c r="G56" s="142">
        <v>-50777</v>
      </c>
      <c r="H56" s="95"/>
      <c r="I56" s="22">
        <v>-210408</v>
      </c>
      <c r="L56" s="96"/>
      <c r="M56" s="96"/>
      <c r="N56" s="96"/>
      <c r="Q56" s="77"/>
    </row>
    <row r="57" spans="5:17" s="28" customFormat="1" ht="15.6" x14ac:dyDescent="0.3">
      <c r="E57" s="36" t="s">
        <v>151</v>
      </c>
      <c r="F57" s="41"/>
      <c r="G57" s="142">
        <v>-397968</v>
      </c>
      <c r="H57" s="95"/>
      <c r="I57" s="22">
        <v>0</v>
      </c>
      <c r="L57" s="96"/>
      <c r="M57" s="96"/>
      <c r="N57" s="96"/>
      <c r="Q57" s="77"/>
    </row>
    <row r="58" spans="5:17" s="28" customFormat="1" ht="15.6" x14ac:dyDescent="0.3">
      <c r="E58" s="36" t="s">
        <v>31</v>
      </c>
      <c r="F58" s="41"/>
      <c r="G58" s="142">
        <v>-3620008</v>
      </c>
      <c r="H58" s="95"/>
      <c r="I58" s="22">
        <v>-6469706</v>
      </c>
      <c r="L58" s="96"/>
      <c r="M58" s="96"/>
      <c r="N58" s="96"/>
      <c r="Q58" s="77"/>
    </row>
    <row r="59" spans="5:17" ht="17.25" customHeight="1" x14ac:dyDescent="0.3">
      <c r="E59" s="40" t="s">
        <v>96</v>
      </c>
      <c r="F59" s="41"/>
      <c r="G59" s="8">
        <f>SUM(G52:G58)</f>
        <v>-35960766</v>
      </c>
      <c r="H59" s="95"/>
      <c r="I59" s="8">
        <f>SUM(I52:I58)</f>
        <v>-8376320</v>
      </c>
      <c r="K59" s="89"/>
      <c r="L59" s="89"/>
      <c r="M59" s="97"/>
      <c r="Q59" s="77"/>
    </row>
    <row r="60" spans="5:17" ht="31.2" x14ac:dyDescent="0.3">
      <c r="E60" s="40" t="s">
        <v>113</v>
      </c>
      <c r="F60" s="41"/>
      <c r="G60" s="8">
        <f>G59+G49</f>
        <v>-28286679</v>
      </c>
      <c r="H60" s="95"/>
      <c r="I60" s="8">
        <f>I59+I49</f>
        <v>12695818</v>
      </c>
      <c r="K60" s="89"/>
      <c r="L60" s="89"/>
      <c r="M60" s="97"/>
      <c r="Q60" s="77"/>
    </row>
    <row r="61" spans="5:17" ht="17.25" customHeight="1" x14ac:dyDescent="0.3">
      <c r="E61" s="40"/>
      <c r="F61" s="41"/>
      <c r="G61" s="13"/>
      <c r="H61" s="95"/>
      <c r="I61" s="13"/>
      <c r="K61" s="89"/>
      <c r="L61" s="89"/>
      <c r="M61" s="97"/>
      <c r="Q61" s="77"/>
    </row>
    <row r="62" spans="5:17" ht="17.25" customHeight="1" x14ac:dyDescent="0.3">
      <c r="E62" s="40" t="s">
        <v>114</v>
      </c>
      <c r="F62" s="41"/>
      <c r="G62" s="13">
        <v>31046681</v>
      </c>
      <c r="H62" s="95"/>
      <c r="I62" s="13">
        <v>24408885</v>
      </c>
      <c r="K62" s="89"/>
      <c r="L62" s="89"/>
      <c r="M62" s="97"/>
      <c r="Q62" s="77"/>
    </row>
    <row r="63" spans="5:17" ht="17.25" customHeight="1" x14ac:dyDescent="0.3">
      <c r="E63" s="36" t="s">
        <v>115</v>
      </c>
      <c r="F63" s="41"/>
      <c r="G63" s="16">
        <v>292734519</v>
      </c>
      <c r="H63" s="95"/>
      <c r="I63" s="16">
        <v>106440156</v>
      </c>
      <c r="K63" s="89"/>
      <c r="L63" s="89"/>
      <c r="M63" s="97"/>
      <c r="Q63" s="77"/>
    </row>
    <row r="64" spans="5:17" ht="17.25" customHeight="1" x14ac:dyDescent="0.3">
      <c r="E64" s="36" t="s">
        <v>116</v>
      </c>
      <c r="F64" s="41"/>
      <c r="G64" s="16">
        <v>-58200</v>
      </c>
      <c r="H64" s="95"/>
      <c r="I64" s="16">
        <v>200878</v>
      </c>
      <c r="K64" s="89"/>
      <c r="L64" s="89"/>
      <c r="M64" s="97"/>
      <c r="Q64" s="77"/>
    </row>
    <row r="65" spans="5:17" ht="17.25" customHeight="1" x14ac:dyDescent="0.3">
      <c r="E65" s="36" t="s">
        <v>117</v>
      </c>
      <c r="F65" s="41"/>
      <c r="G65" s="16">
        <v>-14849</v>
      </c>
      <c r="H65" s="95"/>
      <c r="I65" s="16">
        <v>0</v>
      </c>
      <c r="K65" s="89"/>
      <c r="L65" s="89"/>
      <c r="M65" s="97"/>
      <c r="Q65" s="77"/>
    </row>
    <row r="66" spans="5:17" ht="17.25" customHeight="1" thickBot="1" x14ac:dyDescent="0.35">
      <c r="E66" s="40" t="s">
        <v>118</v>
      </c>
      <c r="F66" s="41"/>
      <c r="G66" s="99">
        <f>SUM(G62:G65)</f>
        <v>323708151</v>
      </c>
      <c r="H66" s="95"/>
      <c r="I66" s="99">
        <f>SUM(I62:I65)</f>
        <v>131049919</v>
      </c>
      <c r="K66" s="89"/>
      <c r="L66" s="89"/>
      <c r="M66" s="97"/>
      <c r="Q66" s="77"/>
    </row>
    <row r="67" spans="5:17" ht="17.25" customHeight="1" thickTop="1" x14ac:dyDescent="0.3">
      <c r="E67" s="40"/>
      <c r="F67" s="41"/>
      <c r="G67" s="13"/>
      <c r="H67" s="95"/>
      <c r="I67" s="13"/>
      <c r="K67" s="89"/>
      <c r="L67" s="89"/>
      <c r="M67" s="97"/>
      <c r="Q67" s="77"/>
    </row>
    <row r="68" spans="5:17" ht="17.25" customHeight="1" x14ac:dyDescent="0.3">
      <c r="E68" s="40"/>
      <c r="F68" s="41"/>
      <c r="G68" s="13"/>
      <c r="H68" s="95"/>
      <c r="I68" s="13"/>
      <c r="K68" s="89"/>
      <c r="L68" s="89"/>
      <c r="M68" s="97"/>
      <c r="Q68" s="77"/>
    </row>
    <row r="69" spans="5:17" ht="17.25" customHeight="1" x14ac:dyDescent="0.3">
      <c r="E69" s="40"/>
      <c r="F69" s="41"/>
      <c r="G69" s="13"/>
      <c r="H69" s="95"/>
      <c r="I69" s="13"/>
      <c r="K69" s="89"/>
      <c r="L69" s="89"/>
      <c r="M69" s="97"/>
      <c r="Q69" s="77"/>
    </row>
    <row r="70" spans="5:17" ht="14.25" customHeight="1" x14ac:dyDescent="0.3">
      <c r="E70" s="48" t="s">
        <v>126</v>
      </c>
      <c r="F70" s="29"/>
      <c r="G70" s="19" t="s">
        <v>10</v>
      </c>
      <c r="H70" s="16"/>
      <c r="I70" s="13"/>
      <c r="K70" s="89" t="s">
        <v>23</v>
      </c>
      <c r="L70" s="85"/>
      <c r="M70" s="97"/>
      <c r="Q70" s="77"/>
    </row>
    <row r="71" spans="5:17" ht="14.25" customHeight="1" x14ac:dyDescent="0.3">
      <c r="E71" s="36"/>
      <c r="F71" s="29"/>
      <c r="G71" s="48" t="s">
        <v>125</v>
      </c>
      <c r="H71" s="16"/>
      <c r="I71" s="13"/>
      <c r="K71" s="89"/>
      <c r="L71" s="85"/>
      <c r="M71" s="97"/>
      <c r="Q71" s="77"/>
    </row>
    <row r="72" spans="5:17" ht="14.25" customHeight="1" x14ac:dyDescent="0.3">
      <c r="E72" s="18"/>
      <c r="F72" s="29"/>
      <c r="G72" s="18"/>
      <c r="H72" s="16"/>
      <c r="I72" s="13"/>
      <c r="K72" s="89"/>
      <c r="L72" s="85"/>
      <c r="M72" s="97"/>
      <c r="Q72" s="77"/>
    </row>
    <row r="73" spans="5:17" ht="14.25" customHeight="1" x14ac:dyDescent="0.3">
      <c r="E73" s="48" t="s">
        <v>81</v>
      </c>
      <c r="F73" s="29"/>
      <c r="G73" s="19" t="s">
        <v>10</v>
      </c>
      <c r="H73" s="16"/>
      <c r="I73" s="13"/>
      <c r="K73" s="89"/>
      <c r="L73" s="85"/>
      <c r="M73" s="97"/>
      <c r="Q73" s="77"/>
    </row>
    <row r="74" spans="5:17" ht="14.25" customHeight="1" x14ac:dyDescent="0.3">
      <c r="E74" s="18"/>
      <c r="F74" s="29"/>
      <c r="G74" s="48" t="s">
        <v>84</v>
      </c>
      <c r="H74" s="16"/>
      <c r="I74" s="13"/>
      <c r="K74" s="89"/>
      <c r="L74" s="85"/>
      <c r="M74" s="97"/>
      <c r="Q74" s="77"/>
    </row>
    <row r="75" spans="5:17" ht="14.25" customHeight="1" x14ac:dyDescent="0.3">
      <c r="E75" s="48"/>
      <c r="F75" s="29"/>
      <c r="G75" s="15"/>
      <c r="H75" s="16"/>
      <c r="I75" s="13"/>
      <c r="K75" s="89"/>
      <c r="L75" s="85"/>
      <c r="M75" s="97"/>
      <c r="Q75" s="77"/>
    </row>
    <row r="76" spans="5:17" ht="14.25" customHeight="1" x14ac:dyDescent="0.3">
      <c r="E76" s="49" t="s">
        <v>82</v>
      </c>
      <c r="F76" s="29"/>
      <c r="G76" s="22" t="s">
        <v>29</v>
      </c>
      <c r="H76" s="16"/>
      <c r="I76" s="13"/>
      <c r="K76" s="89"/>
      <c r="L76" s="85"/>
      <c r="M76" s="97"/>
      <c r="Q76" s="77"/>
    </row>
    <row r="77" spans="5:17" ht="14.25" customHeight="1" x14ac:dyDescent="0.3">
      <c r="E77" s="36"/>
      <c r="F77" s="29"/>
      <c r="G77" s="49" t="s">
        <v>83</v>
      </c>
      <c r="H77" s="13"/>
      <c r="I77" s="13"/>
      <c r="K77" s="89"/>
      <c r="L77" s="85"/>
      <c r="M77" s="97"/>
      <c r="Q77" s="77"/>
    </row>
    <row r="78" spans="5:17" ht="16.5" customHeight="1" x14ac:dyDescent="0.3">
      <c r="E78" s="51"/>
      <c r="F78" s="52"/>
      <c r="H78" s="48"/>
      <c r="I78" s="100"/>
    </row>
    <row r="79" spans="5:17" ht="16.5" customHeight="1" x14ac:dyDescent="0.3">
      <c r="E79" s="51"/>
      <c r="F79" s="52"/>
      <c r="H79" s="101"/>
      <c r="J79" s="102" t="s">
        <v>26</v>
      </c>
    </row>
    <row r="82" spans="7:7" x14ac:dyDescent="0.3">
      <c r="G82" s="22">
        <f>G66-BS!G33</f>
        <v>0</v>
      </c>
    </row>
  </sheetData>
  <pageMargins left="0.70866141732283472" right="0.70866141732283472" top="0.74803149606299213" bottom="0.35433070866141736" header="0.31496062992125984" footer="0.31496062992125984"/>
  <pageSetup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E5:K49"/>
  <sheetViews>
    <sheetView view="pageBreakPreview" topLeftCell="C1" zoomScale="55" zoomScaleNormal="80" zoomScaleSheetLayoutView="55" workbookViewId="0">
      <selection activeCell="E27" sqref="E27"/>
    </sheetView>
  </sheetViews>
  <sheetFormatPr defaultColWidth="9.21875" defaultRowHeight="15" x14ac:dyDescent="0.25"/>
  <cols>
    <col min="1" max="3" width="9.21875" style="1"/>
    <col min="4" max="4" width="4.77734375" style="1" customWidth="1"/>
    <col min="5" max="5" width="68.77734375" style="1" bestFit="1" customWidth="1"/>
    <col min="6" max="6" width="16.5546875" style="1" customWidth="1"/>
    <col min="7" max="7" width="27.109375" style="1" bestFit="1" customWidth="1"/>
    <col min="8" max="8" width="19.77734375" style="1" customWidth="1"/>
    <col min="9" max="9" width="15.44140625" style="1" customWidth="1"/>
    <col min="10" max="10" width="12.21875" style="1" customWidth="1"/>
    <col min="11" max="11" width="10" style="1" customWidth="1"/>
    <col min="12" max="16384" width="9.21875" style="1"/>
  </cols>
  <sheetData>
    <row r="5" spans="5:10" ht="20.399999999999999" x14ac:dyDescent="0.35">
      <c r="J5" s="129" t="s">
        <v>32</v>
      </c>
    </row>
    <row r="6" spans="5:10" ht="15.6" x14ac:dyDescent="0.3">
      <c r="J6" s="103" t="s">
        <v>127</v>
      </c>
    </row>
    <row r="7" spans="5:10" s="130" customFormat="1" ht="11.4" x14ac:dyDescent="0.2">
      <c r="J7" s="131"/>
    </row>
    <row r="8" spans="5:10" ht="15.6" x14ac:dyDescent="0.3">
      <c r="J8" s="103" t="s">
        <v>119</v>
      </c>
    </row>
    <row r="12" spans="5:10" ht="13.2" customHeight="1" x14ac:dyDescent="0.3">
      <c r="E12" s="46"/>
      <c r="F12" s="150"/>
      <c r="G12" s="150"/>
      <c r="H12" s="150"/>
      <c r="I12" s="150"/>
      <c r="J12" s="104"/>
    </row>
    <row r="13" spans="5:10" ht="48" customHeight="1" x14ac:dyDescent="0.3">
      <c r="E13" s="46"/>
      <c r="F13" s="105" t="s">
        <v>60</v>
      </c>
      <c r="G13" s="105" t="s">
        <v>143</v>
      </c>
      <c r="H13" s="105" t="s">
        <v>165</v>
      </c>
      <c r="I13" s="105" t="s">
        <v>9</v>
      </c>
      <c r="J13" s="106"/>
    </row>
    <row r="14" spans="5:10" ht="14.25" customHeight="1" x14ac:dyDescent="0.3">
      <c r="E14" s="46"/>
      <c r="F14" s="107"/>
      <c r="G14" s="107"/>
      <c r="H14" s="107"/>
      <c r="I14" s="107"/>
      <c r="J14" s="107"/>
    </row>
    <row r="15" spans="5:10" ht="15.6" x14ac:dyDescent="0.3">
      <c r="E15" s="46" t="s">
        <v>142</v>
      </c>
      <c r="F15" s="108">
        <v>269</v>
      </c>
      <c r="G15" s="144">
        <v>0</v>
      </c>
      <c r="H15" s="108">
        <v>104976395</v>
      </c>
      <c r="I15" s="110">
        <f>H15+F15</f>
        <v>104976664</v>
      </c>
      <c r="J15" s="111"/>
    </row>
    <row r="16" spans="5:10" ht="15.6" x14ac:dyDescent="0.3">
      <c r="E16" s="42"/>
      <c r="F16" s="113"/>
      <c r="G16" s="113"/>
      <c r="H16" s="113"/>
      <c r="I16" s="112"/>
      <c r="J16" s="114"/>
    </row>
    <row r="17" spans="5:10" ht="15.6" x14ac:dyDescent="0.3">
      <c r="E17" s="46" t="s">
        <v>120</v>
      </c>
      <c r="F17" s="115"/>
      <c r="G17" s="115"/>
      <c r="H17" s="115"/>
      <c r="I17" s="112"/>
      <c r="J17" s="116"/>
    </row>
    <row r="18" spans="5:10" ht="15.6" x14ac:dyDescent="0.3">
      <c r="E18" s="42" t="s">
        <v>121</v>
      </c>
      <c r="F18" s="117">
        <v>0</v>
      </c>
      <c r="G18" s="118">
        <v>0</v>
      </c>
      <c r="H18" s="117">
        <v>-15285000</v>
      </c>
      <c r="I18" s="119">
        <f>H18</f>
        <v>-15285000</v>
      </c>
      <c r="J18" s="116"/>
    </row>
    <row r="19" spans="5:10" ht="15.6" x14ac:dyDescent="0.3">
      <c r="E19" s="46" t="s">
        <v>122</v>
      </c>
      <c r="F19" s="120">
        <v>0</v>
      </c>
      <c r="G19" s="120">
        <v>0</v>
      </c>
      <c r="H19" s="120">
        <f>H18</f>
        <v>-15285000</v>
      </c>
      <c r="I19" s="121">
        <f>H19</f>
        <v>-15285000</v>
      </c>
      <c r="J19" s="111"/>
    </row>
    <row r="20" spans="5:10" ht="15.6" x14ac:dyDescent="0.3">
      <c r="E20" s="42" t="s">
        <v>80</v>
      </c>
      <c r="F20" s="122">
        <v>0</v>
      </c>
      <c r="G20" s="123">
        <v>0</v>
      </c>
      <c r="H20" s="122">
        <v>33638491</v>
      </c>
      <c r="I20" s="124">
        <f>H20</f>
        <v>33638491</v>
      </c>
      <c r="J20" s="111"/>
    </row>
    <row r="21" spans="5:10" ht="16.2" thickBot="1" x14ac:dyDescent="0.35">
      <c r="E21" s="46" t="s">
        <v>152</v>
      </c>
      <c r="F21" s="125">
        <f>SUM(F19:F19)+SUM(F15)</f>
        <v>269</v>
      </c>
      <c r="G21" s="125">
        <v>0</v>
      </c>
      <c r="H21" s="125">
        <v>123329886</v>
      </c>
      <c r="I21" s="126">
        <f>SUM(I19:I19)+SUM(I15)+I20</f>
        <v>123330155</v>
      </c>
      <c r="J21" s="111"/>
    </row>
    <row r="22" spans="5:10" ht="15.6" thickTop="1" x14ac:dyDescent="0.25">
      <c r="F22" s="127"/>
      <c r="G22" s="127"/>
      <c r="H22" s="127"/>
      <c r="I22" s="128"/>
      <c r="J22" s="82"/>
    </row>
    <row r="23" spans="5:10" x14ac:dyDescent="0.25">
      <c r="F23" s="127"/>
      <c r="G23" s="127"/>
      <c r="H23" s="127"/>
      <c r="I23" s="128"/>
      <c r="J23" s="82"/>
    </row>
    <row r="24" spans="5:10" x14ac:dyDescent="0.25">
      <c r="F24" s="127"/>
      <c r="G24" s="127"/>
      <c r="H24" s="127"/>
      <c r="I24" s="128"/>
      <c r="J24" s="82"/>
    </row>
    <row r="26" spans="5:10" ht="13.2" customHeight="1" x14ac:dyDescent="0.3">
      <c r="E26" s="46"/>
      <c r="F26" s="150"/>
      <c r="G26" s="150"/>
      <c r="H26" s="150"/>
      <c r="I26" s="150"/>
      <c r="J26" s="104"/>
    </row>
    <row r="27" spans="5:10" ht="48" customHeight="1" x14ac:dyDescent="0.3">
      <c r="E27" s="46"/>
      <c r="F27" s="105" t="s">
        <v>60</v>
      </c>
      <c r="G27" s="105" t="s">
        <v>143</v>
      </c>
      <c r="H27" s="105" t="s">
        <v>165</v>
      </c>
      <c r="I27" s="105" t="s">
        <v>9</v>
      </c>
      <c r="J27" s="106"/>
    </row>
    <row r="28" spans="5:10" ht="14.25" customHeight="1" x14ac:dyDescent="0.3">
      <c r="E28" s="46"/>
      <c r="F28" s="107"/>
      <c r="G28" s="107"/>
      <c r="H28" s="107"/>
      <c r="I28" s="107"/>
      <c r="J28" s="107"/>
    </row>
    <row r="29" spans="5:10" ht="15.6" x14ac:dyDescent="0.3">
      <c r="E29" s="46" t="s">
        <v>153</v>
      </c>
      <c r="F29" s="108">
        <v>269</v>
      </c>
      <c r="G29" s="108">
        <v>174627</v>
      </c>
      <c r="H29" s="108">
        <v>149614947</v>
      </c>
      <c r="I29" s="109">
        <f>H29+G29+F29</f>
        <v>149789843</v>
      </c>
      <c r="J29" s="111"/>
    </row>
    <row r="30" spans="5:10" ht="15.6" x14ac:dyDescent="0.3">
      <c r="E30" s="42"/>
      <c r="F30" s="113"/>
      <c r="G30" s="113"/>
      <c r="H30" s="113"/>
      <c r="I30" s="112"/>
      <c r="J30" s="114"/>
    </row>
    <row r="31" spans="5:10" ht="15.6" x14ac:dyDescent="0.3">
      <c r="E31" s="46" t="s">
        <v>120</v>
      </c>
      <c r="F31" s="115"/>
      <c r="G31" s="115"/>
      <c r="H31" s="115"/>
      <c r="I31" s="143"/>
      <c r="J31" s="116"/>
    </row>
    <row r="32" spans="5:10" ht="15.6" x14ac:dyDescent="0.3">
      <c r="E32" s="42" t="s">
        <v>121</v>
      </c>
      <c r="F32" s="117">
        <v>0</v>
      </c>
      <c r="G32" s="118">
        <v>0</v>
      </c>
      <c r="H32" s="117">
        <v>-4646465</v>
      </c>
      <c r="I32" s="109">
        <f t="shared" ref="I32" si="0">H32</f>
        <v>-4646465</v>
      </c>
      <c r="J32" s="116"/>
    </row>
    <row r="33" spans="5:10" ht="15" customHeight="1" x14ac:dyDescent="0.3">
      <c r="E33" s="46" t="s">
        <v>122</v>
      </c>
      <c r="F33" s="120">
        <v>0</v>
      </c>
      <c r="G33" s="120">
        <v>0</v>
      </c>
      <c r="H33" s="120">
        <f>H32</f>
        <v>-4646465</v>
      </c>
      <c r="I33" s="121">
        <f>H33</f>
        <v>-4646465</v>
      </c>
      <c r="J33" s="111"/>
    </row>
    <row r="34" spans="5:10" ht="15.6" x14ac:dyDescent="0.3">
      <c r="E34" s="42" t="s">
        <v>80</v>
      </c>
      <c r="F34" s="122">
        <v>0</v>
      </c>
      <c r="G34" s="122">
        <v>17080</v>
      </c>
      <c r="H34" s="122">
        <v>40963030</v>
      </c>
      <c r="I34" s="121">
        <f>H34+G34</f>
        <v>40980110</v>
      </c>
      <c r="J34" s="111"/>
    </row>
    <row r="35" spans="5:10" ht="16.2" thickBot="1" x14ac:dyDescent="0.35">
      <c r="E35" s="46" t="s">
        <v>154</v>
      </c>
      <c r="F35" s="125">
        <f>SUM(F33:F33)+SUM(F29)</f>
        <v>269</v>
      </c>
      <c r="G35" s="125">
        <v>191707</v>
      </c>
      <c r="H35" s="125">
        <f>SUM(H33:H33)+SUM(H29)+H34</f>
        <v>185931512</v>
      </c>
      <c r="I35" s="125">
        <f>SUM(I33:I33)+SUM(I29)+I34</f>
        <v>186123488</v>
      </c>
      <c r="J35" s="111"/>
    </row>
    <row r="36" spans="5:10" ht="15.6" thickTop="1" x14ac:dyDescent="0.25"/>
    <row r="39" spans="5:10" x14ac:dyDescent="0.25">
      <c r="E39" s="48" t="s">
        <v>126</v>
      </c>
      <c r="F39" s="29"/>
      <c r="G39" s="19" t="s">
        <v>10</v>
      </c>
      <c r="H39" s="16"/>
    </row>
    <row r="40" spans="5:10" x14ac:dyDescent="0.25">
      <c r="E40" s="36"/>
      <c r="F40" s="29"/>
      <c r="G40" s="48" t="s">
        <v>125</v>
      </c>
      <c r="H40" s="16"/>
    </row>
    <row r="41" spans="5:10" x14ac:dyDescent="0.25">
      <c r="E41" s="18"/>
      <c r="F41" s="29"/>
      <c r="G41" s="18"/>
      <c r="H41" s="16"/>
    </row>
    <row r="42" spans="5:10" x14ac:dyDescent="0.25">
      <c r="E42" s="48" t="s">
        <v>81</v>
      </c>
      <c r="F42" s="29"/>
      <c r="G42" s="19" t="s">
        <v>10</v>
      </c>
      <c r="H42" s="16"/>
    </row>
    <row r="43" spans="5:10" x14ac:dyDescent="0.25">
      <c r="E43" s="18"/>
      <c r="F43" s="29"/>
      <c r="G43" s="48" t="s">
        <v>84</v>
      </c>
      <c r="H43" s="16"/>
    </row>
    <row r="44" spans="5:10" x14ac:dyDescent="0.25">
      <c r="E44" s="48"/>
      <c r="F44" s="29"/>
      <c r="G44" s="15"/>
      <c r="H44" s="16"/>
    </row>
    <row r="45" spans="5:10" x14ac:dyDescent="0.25">
      <c r="E45" s="49" t="s">
        <v>82</v>
      </c>
      <c r="F45" s="29"/>
      <c r="G45" s="22" t="s">
        <v>29</v>
      </c>
      <c r="H45" s="16"/>
    </row>
    <row r="46" spans="5:10" ht="15.6" x14ac:dyDescent="0.25">
      <c r="E46" s="36"/>
      <c r="F46" s="29"/>
      <c r="G46" s="49" t="s">
        <v>83</v>
      </c>
      <c r="H46" s="13"/>
    </row>
    <row r="49" spans="11:11" x14ac:dyDescent="0.25">
      <c r="K49" s="82" t="s">
        <v>27</v>
      </c>
    </row>
  </sheetData>
  <mergeCells count="2">
    <mergeCell ref="F12:I12"/>
    <mergeCell ref="F26:I26"/>
  </mergeCells>
  <pageMargins left="0.23622047244094491" right="0.23622047244094491" top="0.74803149606299213" bottom="0.74803149606299213" header="0.31496062992125984" footer="0.31496062992125984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PL</vt:lpstr>
      <vt:lpstr>BS</vt:lpstr>
      <vt:lpstr>CFS</vt:lpstr>
      <vt:lpstr>SCE_1кв. 2025</vt:lpstr>
      <vt:lpstr>BS!BalanceSheet</vt:lpstr>
      <vt:lpstr>CFS!CashFlows</vt:lpstr>
      <vt:lpstr>BS!OLE_LINK16</vt:lpstr>
      <vt:lpstr>PL!OLE_LINK6</vt:lpstr>
      <vt:lpstr>BS!Print_Area</vt:lpstr>
      <vt:lpstr>CFS!Print_Area</vt:lpstr>
      <vt:lpstr>PL!Print_Area</vt:lpstr>
      <vt:lpstr>'SCE_1кв.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Karzhauova, Lyazzat (Fortebank)</dc:creator>
  <cp:lastModifiedBy>Bekzhanov Bektursyn</cp:lastModifiedBy>
  <cp:lastPrinted>2024-11-21T07:53:29Z</cp:lastPrinted>
  <dcterms:created xsi:type="dcterms:W3CDTF">2016-08-11T09:26:21Z</dcterms:created>
  <dcterms:modified xsi:type="dcterms:W3CDTF">2025-05-14T05:02:51Z</dcterms:modified>
</cp:coreProperties>
</file>