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ДБУ\УРиСО\регуляторные и статистические отчеты\25-отчеты на Биржу\01.10.2022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VREP_700_ND_RESPONDENTundefined!$A$6:$I$913</definedName>
  </definedNames>
  <calcPr calcId="162913"/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16" i="1"/>
  <c r="D16" i="1"/>
  <c r="E16" i="1"/>
  <c r="F16" i="1"/>
  <c r="G16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17" i="1"/>
  <c r="D17" i="1"/>
  <c r="E17" i="1"/>
  <c r="F17" i="1"/>
  <c r="G17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60" i="1"/>
  <c r="D60" i="1"/>
  <c r="E60" i="1"/>
  <c r="F60" i="1"/>
  <c r="G6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8" i="1"/>
  <c r="D88" i="1"/>
  <c r="E88" i="1"/>
  <c r="F88" i="1"/>
  <c r="G88" i="1"/>
  <c r="C50" i="1"/>
  <c r="D50" i="1"/>
  <c r="E50" i="1"/>
  <c r="F50" i="1"/>
  <c r="G50" i="1"/>
  <c r="C65" i="1"/>
  <c r="D65" i="1"/>
  <c r="E65" i="1"/>
  <c r="F65" i="1"/>
  <c r="G65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64" i="1"/>
  <c r="D64" i="1"/>
  <c r="E64" i="1"/>
  <c r="F64" i="1"/>
  <c r="G64" i="1"/>
  <c r="C137" i="1"/>
  <c r="D137" i="1"/>
  <c r="E137" i="1"/>
  <c r="F137" i="1"/>
  <c r="G137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67" i="1"/>
  <c r="D67" i="1"/>
  <c r="E67" i="1"/>
  <c r="F67" i="1"/>
  <c r="G67" i="1"/>
  <c r="C68" i="1"/>
  <c r="D68" i="1"/>
  <c r="E68" i="1"/>
  <c r="F68" i="1"/>
  <c r="G68" i="1"/>
  <c r="C15" i="1"/>
  <c r="D15" i="1"/>
  <c r="E15" i="1"/>
  <c r="F15" i="1"/>
  <c r="G15" i="1"/>
  <c r="C89" i="1"/>
  <c r="D89" i="1"/>
  <c r="E89" i="1"/>
  <c r="F89" i="1"/>
  <c r="G89" i="1"/>
  <c r="C90" i="1"/>
  <c r="D90" i="1"/>
  <c r="E90" i="1"/>
  <c r="F90" i="1"/>
  <c r="G90" i="1"/>
  <c r="C42" i="1"/>
  <c r="D42" i="1"/>
  <c r="E42" i="1"/>
  <c r="F42" i="1"/>
  <c r="G42" i="1"/>
  <c r="C43" i="1"/>
  <c r="D43" i="1"/>
  <c r="E43" i="1"/>
  <c r="F43" i="1"/>
  <c r="G43" i="1"/>
  <c r="C110" i="1"/>
  <c r="D110" i="1"/>
  <c r="E110" i="1"/>
  <c r="F110" i="1"/>
  <c r="G110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91" i="1"/>
  <c r="D91" i="1"/>
  <c r="E91" i="1"/>
  <c r="F91" i="1"/>
  <c r="G91" i="1"/>
  <c r="C92" i="1"/>
  <c r="D92" i="1"/>
  <c r="E92" i="1"/>
  <c r="F92" i="1"/>
  <c r="G92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18" i="1"/>
  <c r="D18" i="1"/>
  <c r="E18" i="1"/>
  <c r="F18" i="1"/>
  <c r="G18" i="1"/>
  <c r="C19" i="1"/>
  <c r="D19" i="1"/>
  <c r="E19" i="1"/>
  <c r="F19" i="1"/>
  <c r="G19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52" i="1"/>
  <c r="D52" i="1"/>
  <c r="E52" i="1"/>
  <c r="F52" i="1"/>
  <c r="G52" i="1"/>
  <c r="C51" i="1"/>
  <c r="D51" i="1"/>
  <c r="E51" i="1"/>
  <c r="F51" i="1"/>
  <c r="G51" i="1"/>
  <c r="C66" i="1"/>
  <c r="D66" i="1"/>
  <c r="E66" i="1"/>
  <c r="F66" i="1"/>
  <c r="G66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08" i="1"/>
  <c r="D108" i="1"/>
  <c r="E108" i="1"/>
  <c r="F108" i="1"/>
  <c r="G108" i="1"/>
  <c r="C109" i="1"/>
  <c r="D109" i="1"/>
  <c r="E109" i="1"/>
  <c r="F109" i="1"/>
  <c r="G109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53" i="1"/>
  <c r="D53" i="1"/>
  <c r="E53" i="1"/>
  <c r="F53" i="1"/>
  <c r="G53" i="1"/>
  <c r="C54" i="1"/>
  <c r="D54" i="1"/>
  <c r="E54" i="1"/>
  <c r="F54" i="1"/>
  <c r="G54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63" i="1"/>
  <c r="D163" i="1"/>
  <c r="E163" i="1"/>
  <c r="F163" i="1"/>
  <c r="G163" i="1"/>
  <c r="C176" i="1"/>
  <c r="D176" i="1"/>
  <c r="E176" i="1"/>
  <c r="F176" i="1"/>
  <c r="G176" i="1"/>
  <c r="C177" i="1"/>
  <c r="D177" i="1"/>
  <c r="E177" i="1"/>
  <c r="F177" i="1"/>
  <c r="G177" i="1"/>
  <c r="C178" i="1"/>
  <c r="D178" i="1"/>
  <c r="E178" i="1"/>
  <c r="F178" i="1"/>
  <c r="G178" i="1"/>
  <c r="C179" i="1"/>
  <c r="D179" i="1"/>
  <c r="E179" i="1"/>
  <c r="F179" i="1"/>
  <c r="G179" i="1"/>
  <c r="C180" i="1"/>
  <c r="D180" i="1"/>
  <c r="E180" i="1"/>
  <c r="F180" i="1"/>
  <c r="G180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82" i="1"/>
  <c r="D182" i="1"/>
  <c r="E182" i="1"/>
  <c r="F182" i="1"/>
  <c r="G182" i="1"/>
  <c r="C188" i="1"/>
  <c r="D188" i="1"/>
  <c r="E188" i="1"/>
  <c r="F188" i="1"/>
  <c r="G188" i="1"/>
  <c r="C184" i="1"/>
  <c r="D184" i="1"/>
  <c r="E184" i="1"/>
  <c r="F184" i="1"/>
  <c r="G184" i="1"/>
  <c r="C183" i="1"/>
  <c r="D183" i="1"/>
  <c r="E183" i="1"/>
  <c r="F183" i="1"/>
  <c r="G183" i="1"/>
  <c r="C185" i="1"/>
  <c r="D185" i="1"/>
  <c r="E185" i="1"/>
  <c r="F185" i="1"/>
  <c r="G185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60" i="1"/>
  <c r="D160" i="1"/>
  <c r="E160" i="1"/>
  <c r="F160" i="1"/>
  <c r="G160" i="1"/>
  <c r="C161" i="1"/>
  <c r="D161" i="1"/>
  <c r="E161" i="1"/>
  <c r="F161" i="1"/>
  <c r="G161" i="1"/>
  <c r="C187" i="1"/>
  <c r="D187" i="1"/>
  <c r="E187" i="1"/>
  <c r="F187" i="1"/>
  <c r="G187" i="1"/>
  <c r="C193" i="1"/>
  <c r="D193" i="1"/>
  <c r="E193" i="1"/>
  <c r="F193" i="1"/>
  <c r="G193" i="1"/>
  <c r="C186" i="1"/>
  <c r="D186" i="1"/>
  <c r="E186" i="1"/>
  <c r="F186" i="1"/>
  <c r="G186" i="1"/>
  <c r="C190" i="1"/>
  <c r="D190" i="1"/>
  <c r="E190" i="1"/>
  <c r="F190" i="1"/>
  <c r="G190" i="1"/>
  <c r="C170" i="1"/>
  <c r="D170" i="1"/>
  <c r="E170" i="1"/>
  <c r="F170" i="1"/>
  <c r="G170" i="1"/>
  <c r="C198" i="1"/>
  <c r="D198" i="1"/>
  <c r="E198" i="1"/>
  <c r="F198" i="1"/>
  <c r="G198" i="1"/>
  <c r="C171" i="1"/>
  <c r="D171" i="1"/>
  <c r="E171" i="1"/>
  <c r="F171" i="1"/>
  <c r="G171" i="1"/>
  <c r="C191" i="1"/>
  <c r="D191" i="1"/>
  <c r="E191" i="1"/>
  <c r="F191" i="1"/>
  <c r="G191" i="1"/>
  <c r="C196" i="1"/>
  <c r="D196" i="1"/>
  <c r="E196" i="1"/>
  <c r="F196" i="1"/>
  <c r="G196" i="1"/>
  <c r="C147" i="1"/>
  <c r="D147" i="1"/>
  <c r="E147" i="1"/>
  <c r="F147" i="1"/>
  <c r="G147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27" i="1"/>
  <c r="D227" i="1"/>
  <c r="E227" i="1"/>
  <c r="F227" i="1"/>
  <c r="G227" i="1"/>
  <c r="C222" i="1"/>
  <c r="D222" i="1"/>
  <c r="E222" i="1"/>
  <c r="F222" i="1"/>
  <c r="G222" i="1"/>
  <c r="C223" i="1"/>
  <c r="D223" i="1"/>
  <c r="E223" i="1"/>
  <c r="F223" i="1"/>
  <c r="G223" i="1"/>
  <c r="C189" i="1"/>
  <c r="D189" i="1"/>
  <c r="E189" i="1"/>
  <c r="F189" i="1"/>
  <c r="G189" i="1"/>
  <c r="C162" i="1"/>
  <c r="D162" i="1"/>
  <c r="E162" i="1"/>
  <c r="F162" i="1"/>
  <c r="G162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204" i="1"/>
  <c r="D204" i="1"/>
  <c r="E204" i="1"/>
  <c r="F204" i="1"/>
  <c r="G204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194" i="1"/>
  <c r="D194" i="1"/>
  <c r="E194" i="1"/>
  <c r="F194" i="1"/>
  <c r="G194" i="1"/>
  <c r="C195" i="1"/>
  <c r="D195" i="1"/>
  <c r="E195" i="1"/>
  <c r="F195" i="1"/>
  <c r="G195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197" i="1"/>
  <c r="D197" i="1"/>
  <c r="E197" i="1"/>
  <c r="F197" i="1"/>
  <c r="G197" i="1"/>
  <c r="C251" i="1"/>
  <c r="D251" i="1"/>
  <c r="E251" i="1"/>
  <c r="F251" i="1"/>
  <c r="G251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1" i="1"/>
  <c r="D231" i="1"/>
  <c r="E231" i="1"/>
  <c r="F231" i="1"/>
  <c r="G231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232" i="1"/>
  <c r="D232" i="1"/>
  <c r="E232" i="1"/>
  <c r="F232" i="1"/>
  <c r="G232" i="1"/>
  <c r="C252" i="1"/>
  <c r="D252" i="1"/>
  <c r="E252" i="1"/>
  <c r="F252" i="1"/>
  <c r="G252" i="1"/>
  <c r="C253" i="1"/>
  <c r="D253" i="1"/>
  <c r="E253" i="1"/>
  <c r="F253" i="1"/>
  <c r="G253" i="1"/>
  <c r="C254" i="1"/>
  <c r="D254" i="1"/>
  <c r="E254" i="1"/>
  <c r="F254" i="1"/>
  <c r="G254" i="1"/>
  <c r="C255" i="1"/>
  <c r="D255" i="1"/>
  <c r="E255" i="1"/>
  <c r="F255" i="1"/>
  <c r="G255" i="1"/>
  <c r="C236" i="1"/>
  <c r="D236" i="1"/>
  <c r="E236" i="1"/>
  <c r="F236" i="1"/>
  <c r="G236" i="1"/>
  <c r="C237" i="1"/>
  <c r="D237" i="1"/>
  <c r="E237" i="1"/>
  <c r="F237" i="1"/>
  <c r="G237" i="1"/>
  <c r="C238" i="1"/>
  <c r="D238" i="1"/>
  <c r="E238" i="1"/>
  <c r="F238" i="1"/>
  <c r="G238" i="1"/>
  <c r="C239" i="1"/>
  <c r="D239" i="1"/>
  <c r="E239" i="1"/>
  <c r="F239" i="1"/>
  <c r="G239" i="1"/>
  <c r="C240" i="1"/>
  <c r="D240" i="1"/>
  <c r="E240" i="1"/>
  <c r="F240" i="1"/>
  <c r="G240" i="1"/>
  <c r="C241" i="1"/>
  <c r="D241" i="1"/>
  <c r="E241" i="1"/>
  <c r="F241" i="1"/>
  <c r="G241" i="1"/>
  <c r="C242" i="1"/>
  <c r="D242" i="1"/>
  <c r="E242" i="1"/>
  <c r="F242" i="1"/>
  <c r="G242" i="1"/>
  <c r="C243" i="1"/>
  <c r="D243" i="1"/>
  <c r="E243" i="1"/>
  <c r="F243" i="1"/>
  <c r="G243" i="1"/>
  <c r="C261" i="1"/>
  <c r="D261" i="1"/>
  <c r="E261" i="1"/>
  <c r="F261" i="1"/>
  <c r="G261" i="1"/>
  <c r="C259" i="1"/>
  <c r="D259" i="1"/>
  <c r="E259" i="1"/>
  <c r="F259" i="1"/>
  <c r="G259" i="1"/>
  <c r="C260" i="1"/>
  <c r="D260" i="1"/>
  <c r="E260" i="1"/>
  <c r="F260" i="1"/>
  <c r="G260" i="1"/>
  <c r="C244" i="1"/>
  <c r="D244" i="1"/>
  <c r="E244" i="1"/>
  <c r="F244" i="1"/>
  <c r="G244" i="1"/>
  <c r="C245" i="1"/>
  <c r="D245" i="1"/>
  <c r="E245" i="1"/>
  <c r="F245" i="1"/>
  <c r="G245" i="1"/>
  <c r="C246" i="1"/>
  <c r="D246" i="1"/>
  <c r="E246" i="1"/>
  <c r="F246" i="1"/>
  <c r="G246" i="1"/>
  <c r="C247" i="1"/>
  <c r="D247" i="1"/>
  <c r="E247" i="1"/>
  <c r="F247" i="1"/>
  <c r="G247" i="1"/>
  <c r="C248" i="1"/>
  <c r="D248" i="1"/>
  <c r="E248" i="1"/>
  <c r="F248" i="1"/>
  <c r="G248" i="1"/>
  <c r="C249" i="1"/>
  <c r="D249" i="1"/>
  <c r="E249" i="1"/>
  <c r="F249" i="1"/>
  <c r="G249" i="1"/>
  <c r="C199" i="1"/>
  <c r="D199" i="1"/>
  <c r="E199" i="1"/>
  <c r="F199" i="1"/>
  <c r="G199" i="1"/>
  <c r="C200" i="1"/>
  <c r="D200" i="1"/>
  <c r="E200" i="1"/>
  <c r="F200" i="1"/>
  <c r="G200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192" i="1"/>
  <c r="D192" i="1"/>
  <c r="E192" i="1"/>
  <c r="F192" i="1"/>
  <c r="G192" i="1"/>
  <c r="C256" i="1"/>
  <c r="D256" i="1"/>
  <c r="E256" i="1"/>
  <c r="F256" i="1"/>
  <c r="G256" i="1"/>
  <c r="C257" i="1"/>
  <c r="D257" i="1"/>
  <c r="E257" i="1"/>
  <c r="F257" i="1"/>
  <c r="G257" i="1"/>
  <c r="C258" i="1"/>
  <c r="D258" i="1"/>
  <c r="E258" i="1"/>
  <c r="F258" i="1"/>
  <c r="G258" i="1"/>
  <c r="C265" i="1"/>
  <c r="D265" i="1"/>
  <c r="E265" i="1"/>
  <c r="F265" i="1"/>
  <c r="G265" i="1"/>
  <c r="C250" i="1"/>
  <c r="D250" i="1"/>
  <c r="E250" i="1"/>
  <c r="F250" i="1"/>
  <c r="G250" i="1"/>
  <c r="C201" i="1"/>
  <c r="D201" i="1"/>
  <c r="E201" i="1"/>
  <c r="F201" i="1"/>
  <c r="G201" i="1"/>
  <c r="C202" i="1"/>
  <c r="D202" i="1"/>
  <c r="E202" i="1"/>
  <c r="F202" i="1"/>
  <c r="G202" i="1"/>
  <c r="C203" i="1"/>
  <c r="D203" i="1"/>
  <c r="E203" i="1"/>
  <c r="F203" i="1"/>
  <c r="G203" i="1"/>
  <c r="C181" i="1"/>
  <c r="D181" i="1"/>
  <c r="E181" i="1"/>
  <c r="F181" i="1"/>
  <c r="G181" i="1"/>
  <c r="C270" i="1"/>
  <c r="D270" i="1"/>
  <c r="E270" i="1"/>
  <c r="F270" i="1"/>
  <c r="G270" i="1"/>
  <c r="C281" i="1"/>
  <c r="D281" i="1"/>
  <c r="E281" i="1"/>
  <c r="F281" i="1"/>
  <c r="G281" i="1"/>
  <c r="C282" i="1"/>
  <c r="D282" i="1"/>
  <c r="E282" i="1"/>
  <c r="F282" i="1"/>
  <c r="G282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83" i="1"/>
  <c r="D283" i="1"/>
  <c r="E283" i="1"/>
  <c r="F283" i="1"/>
  <c r="G283" i="1"/>
  <c r="C284" i="1"/>
  <c r="D284" i="1"/>
  <c r="E284" i="1"/>
  <c r="F284" i="1"/>
  <c r="G284" i="1"/>
  <c r="C285" i="1"/>
  <c r="D285" i="1"/>
  <c r="E285" i="1"/>
  <c r="F285" i="1"/>
  <c r="G285" i="1"/>
  <c r="C286" i="1"/>
  <c r="D286" i="1"/>
  <c r="E286" i="1"/>
  <c r="F286" i="1"/>
  <c r="G286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87" i="1"/>
  <c r="D287" i="1"/>
  <c r="E287" i="1"/>
  <c r="F287" i="1"/>
  <c r="G287" i="1"/>
  <c r="C276" i="1"/>
  <c r="D276" i="1"/>
  <c r="E276" i="1"/>
  <c r="F276" i="1"/>
  <c r="G276" i="1"/>
  <c r="C277" i="1"/>
  <c r="D277" i="1"/>
  <c r="E277" i="1"/>
  <c r="F277" i="1"/>
  <c r="G277" i="1"/>
  <c r="C278" i="1"/>
  <c r="D278" i="1"/>
  <c r="E278" i="1"/>
  <c r="F278" i="1"/>
  <c r="G278" i="1"/>
  <c r="C279" i="1"/>
  <c r="D279" i="1"/>
  <c r="E279" i="1"/>
  <c r="F279" i="1"/>
  <c r="G279" i="1"/>
  <c r="C269" i="1"/>
  <c r="D269" i="1"/>
  <c r="E269" i="1"/>
  <c r="F269" i="1"/>
  <c r="G269" i="1"/>
  <c r="C288" i="1"/>
  <c r="D288" i="1"/>
  <c r="E288" i="1"/>
  <c r="F288" i="1"/>
  <c r="G288" i="1"/>
  <c r="C289" i="1"/>
  <c r="D289" i="1"/>
  <c r="E289" i="1"/>
  <c r="F289" i="1"/>
  <c r="G289" i="1"/>
  <c r="C280" i="1"/>
  <c r="D280" i="1"/>
  <c r="E280" i="1"/>
  <c r="F280" i="1"/>
  <c r="G280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52" i="1"/>
  <c r="D352" i="1"/>
  <c r="E352" i="1"/>
  <c r="F352" i="1"/>
  <c r="G352" i="1"/>
  <c r="C353" i="1"/>
  <c r="D353" i="1"/>
  <c r="E353" i="1"/>
  <c r="F353" i="1"/>
  <c r="G353" i="1"/>
  <c r="C354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12" i="1"/>
  <c r="D312" i="1"/>
  <c r="E312" i="1"/>
  <c r="F312" i="1"/>
  <c r="G312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5" i="1"/>
  <c r="D365" i="1"/>
  <c r="E365" i="1"/>
  <c r="F365" i="1"/>
  <c r="G365" i="1"/>
  <c r="C366" i="1"/>
  <c r="D366" i="1"/>
  <c r="E366" i="1"/>
  <c r="F366" i="1"/>
  <c r="G366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290" i="1"/>
  <c r="D290" i="1"/>
  <c r="E290" i="1"/>
  <c r="F290" i="1"/>
  <c r="G290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72" i="1"/>
  <c r="D372" i="1"/>
  <c r="E372" i="1"/>
  <c r="F372" i="1"/>
  <c r="G37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71" i="1"/>
  <c r="D371" i="1"/>
  <c r="E371" i="1"/>
  <c r="F371" i="1"/>
  <c r="G371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378" i="1"/>
  <c r="D378" i="1"/>
  <c r="E378" i="1"/>
  <c r="F378" i="1"/>
  <c r="G378" i="1"/>
  <c r="C374" i="1"/>
  <c r="D374" i="1"/>
  <c r="E374" i="1"/>
  <c r="F374" i="1"/>
  <c r="G374" i="1"/>
  <c r="C373" i="1"/>
  <c r="D373" i="1"/>
  <c r="E373" i="1"/>
  <c r="F373" i="1"/>
  <c r="G373" i="1"/>
  <c r="C379" i="1"/>
  <c r="D379" i="1"/>
  <c r="E379" i="1"/>
  <c r="F379" i="1"/>
  <c r="G379" i="1"/>
  <c r="C380" i="1"/>
  <c r="D380" i="1"/>
  <c r="E380" i="1"/>
  <c r="F380" i="1"/>
  <c r="G380" i="1"/>
  <c r="C375" i="1"/>
  <c r="D375" i="1"/>
  <c r="E375" i="1"/>
  <c r="F375" i="1"/>
  <c r="G375" i="1"/>
  <c r="C376" i="1"/>
  <c r="D376" i="1"/>
  <c r="E376" i="1"/>
  <c r="F376" i="1"/>
  <c r="G376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81" i="1"/>
  <c r="D381" i="1"/>
  <c r="E381" i="1"/>
  <c r="F381" i="1"/>
  <c r="G381" i="1"/>
  <c r="C382" i="1"/>
  <c r="D382" i="1"/>
  <c r="E382" i="1"/>
  <c r="F382" i="1"/>
  <c r="G382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68" i="1"/>
  <c r="D468" i="1"/>
  <c r="E468" i="1"/>
  <c r="F468" i="1"/>
  <c r="G468" i="1"/>
  <c r="C469" i="1"/>
  <c r="D469" i="1"/>
  <c r="E469" i="1"/>
  <c r="F469" i="1"/>
  <c r="G469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3" i="1"/>
  <c r="D433" i="1"/>
  <c r="E433" i="1"/>
  <c r="F433" i="1"/>
  <c r="G433" i="1"/>
  <c r="C434" i="1"/>
  <c r="D434" i="1"/>
  <c r="E434" i="1"/>
  <c r="F434" i="1"/>
  <c r="G434" i="1"/>
  <c r="C470" i="1"/>
  <c r="D470" i="1"/>
  <c r="E470" i="1"/>
  <c r="F470" i="1"/>
  <c r="G470" i="1"/>
  <c r="C471" i="1"/>
  <c r="D471" i="1"/>
  <c r="E471" i="1"/>
  <c r="F471" i="1"/>
  <c r="G471" i="1"/>
  <c r="C472" i="1"/>
  <c r="D472" i="1"/>
  <c r="E472" i="1"/>
  <c r="F472" i="1"/>
  <c r="G472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35" i="1"/>
  <c r="D435" i="1"/>
  <c r="E435" i="1"/>
  <c r="F435" i="1"/>
  <c r="G435" i="1"/>
  <c r="C431" i="1"/>
  <c r="D431" i="1"/>
  <c r="E431" i="1"/>
  <c r="F431" i="1"/>
  <c r="G431" i="1"/>
  <c r="C432" i="1"/>
  <c r="D432" i="1"/>
  <c r="E432" i="1"/>
  <c r="F432" i="1"/>
  <c r="G43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7" i="1"/>
  <c r="D477" i="1"/>
  <c r="E477" i="1"/>
  <c r="F477" i="1"/>
  <c r="G477" i="1"/>
  <c r="C439" i="1"/>
  <c r="D439" i="1"/>
  <c r="E439" i="1"/>
  <c r="F439" i="1"/>
  <c r="G439" i="1"/>
  <c r="C440" i="1"/>
  <c r="D440" i="1"/>
  <c r="E440" i="1"/>
  <c r="F440" i="1"/>
  <c r="G440" i="1"/>
  <c r="C441" i="1"/>
  <c r="D441" i="1"/>
  <c r="E441" i="1"/>
  <c r="F441" i="1"/>
  <c r="G441" i="1"/>
  <c r="C377" i="1"/>
  <c r="D377" i="1"/>
  <c r="E377" i="1"/>
  <c r="F377" i="1"/>
  <c r="G377" i="1"/>
  <c r="C367" i="1"/>
  <c r="D367" i="1"/>
  <c r="E367" i="1"/>
  <c r="F367" i="1"/>
  <c r="G367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478" i="1"/>
  <c r="D478" i="1"/>
  <c r="E478" i="1"/>
  <c r="F478" i="1"/>
  <c r="G478" i="1"/>
  <c r="C479" i="1"/>
  <c r="D479" i="1"/>
  <c r="E479" i="1"/>
  <c r="F479" i="1"/>
  <c r="G479" i="1"/>
  <c r="C480" i="1"/>
  <c r="D480" i="1"/>
  <c r="E480" i="1"/>
  <c r="F480" i="1"/>
  <c r="G480" i="1"/>
  <c r="C481" i="1"/>
  <c r="D481" i="1"/>
  <c r="E481" i="1"/>
  <c r="F481" i="1"/>
  <c r="G481" i="1"/>
  <c r="C436" i="1"/>
  <c r="D436" i="1"/>
  <c r="E436" i="1"/>
  <c r="F436" i="1"/>
  <c r="G436" i="1"/>
  <c r="C437" i="1"/>
  <c r="D437" i="1"/>
  <c r="E437" i="1"/>
  <c r="F437" i="1"/>
  <c r="G437" i="1"/>
  <c r="C438" i="1"/>
  <c r="D438" i="1"/>
  <c r="E438" i="1"/>
  <c r="F438" i="1"/>
  <c r="G438" i="1"/>
  <c r="C442" i="1"/>
  <c r="D442" i="1"/>
  <c r="E442" i="1"/>
  <c r="F442" i="1"/>
  <c r="G442" i="1"/>
  <c r="C443" i="1"/>
  <c r="D443" i="1"/>
  <c r="E443" i="1"/>
  <c r="F443" i="1"/>
  <c r="G443" i="1"/>
  <c r="C444" i="1"/>
  <c r="D444" i="1"/>
  <c r="E444" i="1"/>
  <c r="F444" i="1"/>
  <c r="G444" i="1"/>
  <c r="C445" i="1"/>
  <c r="D445" i="1"/>
  <c r="E445" i="1"/>
  <c r="F445" i="1"/>
  <c r="G445" i="1"/>
  <c r="C446" i="1"/>
  <c r="D446" i="1"/>
  <c r="E446" i="1"/>
  <c r="F446" i="1"/>
  <c r="G446" i="1"/>
  <c r="C447" i="1"/>
  <c r="D447" i="1"/>
  <c r="E447" i="1"/>
  <c r="F447" i="1"/>
  <c r="G447" i="1"/>
  <c r="C448" i="1"/>
  <c r="D448" i="1"/>
  <c r="E448" i="1"/>
  <c r="F448" i="1"/>
  <c r="G448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5" i="1"/>
  <c r="D455" i="1"/>
  <c r="E455" i="1"/>
  <c r="F455" i="1"/>
  <c r="G455" i="1"/>
  <c r="C456" i="1"/>
  <c r="D456" i="1"/>
  <c r="E456" i="1"/>
  <c r="F456" i="1"/>
  <c r="G456" i="1"/>
  <c r="C457" i="1"/>
  <c r="D457" i="1"/>
  <c r="E457" i="1"/>
  <c r="F457" i="1"/>
  <c r="G457" i="1"/>
  <c r="C383" i="1"/>
  <c r="D383" i="1"/>
  <c r="E383" i="1"/>
  <c r="F383" i="1"/>
  <c r="G383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2" i="1"/>
  <c r="D462" i="1"/>
  <c r="E462" i="1"/>
  <c r="F462" i="1"/>
  <c r="G462" i="1"/>
  <c r="C463" i="1"/>
  <c r="D463" i="1"/>
  <c r="E463" i="1"/>
  <c r="F463" i="1"/>
  <c r="G463" i="1"/>
  <c r="C464" i="1"/>
  <c r="D464" i="1"/>
  <c r="E464" i="1"/>
  <c r="F464" i="1"/>
  <c r="G464" i="1"/>
  <c r="C518" i="1"/>
  <c r="D518" i="1"/>
  <c r="E518" i="1"/>
  <c r="F518" i="1"/>
  <c r="G518" i="1"/>
  <c r="C502" i="1"/>
  <c r="D502" i="1"/>
  <c r="E502" i="1"/>
  <c r="F502" i="1"/>
  <c r="G502" i="1"/>
  <c r="C520" i="1"/>
  <c r="D520" i="1"/>
  <c r="E520" i="1"/>
  <c r="F520" i="1"/>
  <c r="G520" i="1"/>
  <c r="C526" i="1"/>
  <c r="D526" i="1"/>
  <c r="E526" i="1"/>
  <c r="F526" i="1"/>
  <c r="G526" i="1"/>
  <c r="C527" i="1"/>
  <c r="D527" i="1"/>
  <c r="E527" i="1"/>
  <c r="F527" i="1"/>
  <c r="G527" i="1"/>
  <c r="C528" i="1"/>
  <c r="D528" i="1"/>
  <c r="E528" i="1"/>
  <c r="F528" i="1"/>
  <c r="G528" i="1"/>
  <c r="C529" i="1"/>
  <c r="D529" i="1"/>
  <c r="E529" i="1"/>
  <c r="F529" i="1"/>
  <c r="G529" i="1"/>
  <c r="C530" i="1"/>
  <c r="D530" i="1"/>
  <c r="E530" i="1"/>
  <c r="F530" i="1"/>
  <c r="G530" i="1"/>
  <c r="C533" i="1"/>
  <c r="D533" i="1"/>
  <c r="E533" i="1"/>
  <c r="F533" i="1"/>
  <c r="G533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6" i="1"/>
  <c r="D486" i="1"/>
  <c r="E486" i="1"/>
  <c r="F486" i="1"/>
  <c r="G486" i="1"/>
  <c r="C487" i="1"/>
  <c r="D487" i="1"/>
  <c r="E487" i="1"/>
  <c r="F487" i="1"/>
  <c r="G487" i="1"/>
  <c r="C488" i="1"/>
  <c r="D488" i="1"/>
  <c r="E488" i="1"/>
  <c r="F488" i="1"/>
  <c r="G488" i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47" i="1"/>
  <c r="D547" i="1"/>
  <c r="E547" i="1"/>
  <c r="F547" i="1"/>
  <c r="G547" i="1"/>
  <c r="C548" i="1"/>
  <c r="D548" i="1"/>
  <c r="E548" i="1"/>
  <c r="F548" i="1"/>
  <c r="G548" i="1"/>
  <c r="C549" i="1"/>
  <c r="D549" i="1"/>
  <c r="E549" i="1"/>
  <c r="F549" i="1"/>
  <c r="G549" i="1"/>
  <c r="C577" i="1"/>
  <c r="D577" i="1"/>
  <c r="E577" i="1"/>
  <c r="F577" i="1"/>
  <c r="G577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4" i="1"/>
  <c r="D524" i="1"/>
  <c r="E524" i="1"/>
  <c r="F524" i="1"/>
  <c r="G524" i="1"/>
  <c r="C525" i="1"/>
  <c r="D525" i="1"/>
  <c r="E525" i="1"/>
  <c r="F525" i="1"/>
  <c r="G525" i="1"/>
  <c r="C510" i="1"/>
  <c r="D510" i="1"/>
  <c r="E510" i="1"/>
  <c r="F510" i="1"/>
  <c r="G510" i="1"/>
  <c r="C511" i="1"/>
  <c r="D511" i="1"/>
  <c r="E511" i="1"/>
  <c r="F511" i="1"/>
  <c r="G511" i="1"/>
  <c r="C512" i="1"/>
  <c r="D512" i="1"/>
  <c r="E512" i="1"/>
  <c r="F512" i="1"/>
  <c r="G512" i="1"/>
  <c r="C516" i="1"/>
  <c r="D516" i="1"/>
  <c r="E516" i="1"/>
  <c r="F516" i="1"/>
  <c r="G516" i="1"/>
  <c r="C517" i="1"/>
  <c r="D517" i="1"/>
  <c r="E517" i="1"/>
  <c r="F517" i="1"/>
  <c r="G517" i="1"/>
  <c r="C532" i="1"/>
  <c r="D532" i="1"/>
  <c r="E532" i="1"/>
  <c r="F532" i="1"/>
  <c r="G532" i="1"/>
  <c r="C514" i="1"/>
  <c r="D514" i="1"/>
  <c r="E514" i="1"/>
  <c r="F514" i="1"/>
  <c r="G514" i="1"/>
  <c r="C515" i="1"/>
  <c r="D515" i="1"/>
  <c r="E515" i="1"/>
  <c r="F515" i="1"/>
  <c r="G515" i="1"/>
  <c r="C538" i="1"/>
  <c r="D538" i="1"/>
  <c r="E538" i="1"/>
  <c r="F538" i="1"/>
  <c r="G538" i="1"/>
  <c r="C539" i="1"/>
  <c r="D539" i="1"/>
  <c r="E539" i="1"/>
  <c r="F539" i="1"/>
  <c r="G539" i="1"/>
  <c r="C540" i="1"/>
  <c r="D540" i="1"/>
  <c r="E540" i="1"/>
  <c r="F540" i="1"/>
  <c r="G540" i="1"/>
  <c r="C541" i="1"/>
  <c r="D541" i="1"/>
  <c r="E541" i="1"/>
  <c r="F541" i="1"/>
  <c r="G541" i="1"/>
  <c r="C542" i="1"/>
  <c r="D542" i="1"/>
  <c r="E542" i="1"/>
  <c r="F542" i="1"/>
  <c r="G542" i="1"/>
  <c r="C543" i="1"/>
  <c r="D543" i="1"/>
  <c r="E543" i="1"/>
  <c r="F543" i="1"/>
  <c r="G543" i="1"/>
  <c r="C544" i="1"/>
  <c r="D544" i="1"/>
  <c r="E544" i="1"/>
  <c r="F544" i="1"/>
  <c r="G544" i="1"/>
  <c r="C545" i="1"/>
  <c r="D545" i="1"/>
  <c r="E545" i="1"/>
  <c r="F545" i="1"/>
  <c r="G545" i="1"/>
  <c r="C546" i="1"/>
  <c r="D546" i="1"/>
  <c r="E546" i="1"/>
  <c r="F546" i="1"/>
  <c r="G546" i="1"/>
  <c r="C513" i="1"/>
  <c r="D513" i="1"/>
  <c r="E513" i="1"/>
  <c r="F513" i="1"/>
  <c r="G513" i="1"/>
  <c r="C534" i="1"/>
  <c r="D534" i="1"/>
  <c r="E534" i="1"/>
  <c r="F534" i="1"/>
  <c r="G534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55" i="1"/>
  <c r="D555" i="1"/>
  <c r="E555" i="1"/>
  <c r="F555" i="1"/>
  <c r="G555" i="1"/>
  <c r="C556" i="1"/>
  <c r="D556" i="1"/>
  <c r="E556" i="1"/>
  <c r="F556" i="1"/>
  <c r="G556" i="1"/>
  <c r="C557" i="1"/>
  <c r="D557" i="1"/>
  <c r="E557" i="1"/>
  <c r="F557" i="1"/>
  <c r="G557" i="1"/>
  <c r="C558" i="1"/>
  <c r="D558" i="1"/>
  <c r="E558" i="1"/>
  <c r="F558" i="1"/>
  <c r="G558" i="1"/>
  <c r="C559" i="1"/>
  <c r="D559" i="1"/>
  <c r="E559" i="1"/>
  <c r="F559" i="1"/>
  <c r="G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35" i="1"/>
  <c r="D535" i="1"/>
  <c r="E535" i="1"/>
  <c r="F535" i="1"/>
  <c r="G535" i="1"/>
  <c r="C536" i="1"/>
  <c r="D536" i="1"/>
  <c r="E536" i="1"/>
  <c r="F536" i="1"/>
  <c r="G536" i="1"/>
  <c r="C609" i="1"/>
  <c r="D609" i="1"/>
  <c r="E609" i="1"/>
  <c r="F609" i="1"/>
  <c r="G609" i="1"/>
  <c r="C580" i="1"/>
  <c r="D580" i="1"/>
  <c r="E580" i="1"/>
  <c r="F580" i="1"/>
  <c r="G580" i="1"/>
  <c r="C615" i="1"/>
  <c r="D615" i="1"/>
  <c r="E615" i="1"/>
  <c r="F615" i="1"/>
  <c r="G615" i="1"/>
  <c r="C531" i="1"/>
  <c r="D531" i="1"/>
  <c r="E531" i="1"/>
  <c r="F531" i="1"/>
  <c r="G531" i="1"/>
  <c r="C610" i="1"/>
  <c r="D610" i="1"/>
  <c r="E610" i="1"/>
  <c r="F610" i="1"/>
  <c r="G610" i="1"/>
  <c r="C611" i="1"/>
  <c r="D611" i="1"/>
  <c r="E611" i="1"/>
  <c r="F611" i="1"/>
  <c r="G611" i="1"/>
  <c r="C612" i="1"/>
  <c r="D612" i="1"/>
  <c r="E612" i="1"/>
  <c r="F612" i="1"/>
  <c r="G612" i="1"/>
  <c r="C613" i="1"/>
  <c r="D613" i="1"/>
  <c r="E613" i="1"/>
  <c r="F613" i="1"/>
  <c r="G613" i="1"/>
  <c r="C614" i="1"/>
  <c r="D614" i="1"/>
  <c r="E614" i="1"/>
  <c r="F614" i="1"/>
  <c r="G614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7" i="1"/>
  <c r="D587" i="1"/>
  <c r="E587" i="1"/>
  <c r="F587" i="1"/>
  <c r="G587" i="1"/>
  <c r="C588" i="1"/>
  <c r="D588" i="1"/>
  <c r="E588" i="1"/>
  <c r="F588" i="1"/>
  <c r="G588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537" i="1"/>
  <c r="D537" i="1"/>
  <c r="E537" i="1"/>
  <c r="F537" i="1"/>
  <c r="G537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78" i="1"/>
  <c r="D578" i="1"/>
  <c r="E578" i="1"/>
  <c r="F578" i="1"/>
  <c r="G578" i="1"/>
  <c r="C579" i="1"/>
  <c r="D579" i="1"/>
  <c r="E579" i="1"/>
  <c r="F579" i="1"/>
  <c r="G579" i="1"/>
  <c r="C519" i="1"/>
  <c r="D519" i="1"/>
  <c r="E519" i="1"/>
  <c r="F519" i="1"/>
  <c r="G519" i="1"/>
  <c r="C660" i="1"/>
  <c r="D660" i="1"/>
  <c r="E660" i="1"/>
  <c r="F660" i="1"/>
  <c r="G660" i="1"/>
  <c r="C661" i="1"/>
  <c r="D661" i="1"/>
  <c r="E661" i="1"/>
  <c r="F661" i="1"/>
  <c r="G661" i="1"/>
  <c r="C662" i="1"/>
  <c r="D662" i="1"/>
  <c r="E662" i="1"/>
  <c r="F662" i="1"/>
  <c r="G662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69" i="1"/>
  <c r="D669" i="1"/>
  <c r="E669" i="1"/>
  <c r="F669" i="1"/>
  <c r="G669" i="1"/>
  <c r="C670" i="1"/>
  <c r="D670" i="1"/>
  <c r="E670" i="1"/>
  <c r="F670" i="1"/>
  <c r="G670" i="1"/>
  <c r="C671" i="1"/>
  <c r="D671" i="1"/>
  <c r="E671" i="1"/>
  <c r="F671" i="1"/>
  <c r="G671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75" i="1"/>
  <c r="D675" i="1"/>
  <c r="E675" i="1"/>
  <c r="F675" i="1"/>
  <c r="G675" i="1"/>
  <c r="C676" i="1"/>
  <c r="D676" i="1"/>
  <c r="E676" i="1"/>
  <c r="F676" i="1"/>
  <c r="G676" i="1"/>
  <c r="C616" i="1"/>
  <c r="D616" i="1"/>
  <c r="E616" i="1"/>
  <c r="F616" i="1"/>
  <c r="G616" i="1"/>
  <c r="C651" i="1"/>
  <c r="D651" i="1"/>
  <c r="E651" i="1"/>
  <c r="F651" i="1"/>
  <c r="G651" i="1"/>
  <c r="C652" i="1"/>
  <c r="D652" i="1"/>
  <c r="E652" i="1"/>
  <c r="F652" i="1"/>
  <c r="G652" i="1"/>
  <c r="C653" i="1"/>
  <c r="D653" i="1"/>
  <c r="E653" i="1"/>
  <c r="F653" i="1"/>
  <c r="G653" i="1"/>
  <c r="C654" i="1"/>
  <c r="D654" i="1"/>
  <c r="E654" i="1"/>
  <c r="F654" i="1"/>
  <c r="G654" i="1"/>
  <c r="C655" i="1"/>
  <c r="D655" i="1"/>
  <c r="E655" i="1"/>
  <c r="F655" i="1"/>
  <c r="G655" i="1"/>
  <c r="C656" i="1"/>
  <c r="D656" i="1"/>
  <c r="E656" i="1"/>
  <c r="F656" i="1"/>
  <c r="G656" i="1"/>
  <c r="C657" i="1"/>
  <c r="D657" i="1"/>
  <c r="E657" i="1"/>
  <c r="F657" i="1"/>
  <c r="G657" i="1"/>
  <c r="C658" i="1"/>
  <c r="D658" i="1"/>
  <c r="E658" i="1"/>
  <c r="F658" i="1"/>
  <c r="G658" i="1"/>
  <c r="C659" i="1"/>
  <c r="D659" i="1"/>
  <c r="E659" i="1"/>
  <c r="F659" i="1"/>
  <c r="G659" i="1"/>
  <c r="C624" i="1"/>
  <c r="D624" i="1"/>
  <c r="E624" i="1"/>
  <c r="F624" i="1"/>
  <c r="G624" i="1"/>
  <c r="C645" i="1"/>
  <c r="D645" i="1"/>
  <c r="E645" i="1"/>
  <c r="F645" i="1"/>
  <c r="G645" i="1"/>
  <c r="C695" i="1"/>
  <c r="D695" i="1"/>
  <c r="E695" i="1"/>
  <c r="F695" i="1"/>
  <c r="G695" i="1"/>
  <c r="C696" i="1"/>
  <c r="D696" i="1"/>
  <c r="E696" i="1"/>
  <c r="F696" i="1"/>
  <c r="G696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604" i="1"/>
  <c r="D604" i="1"/>
  <c r="E604" i="1"/>
  <c r="F604" i="1"/>
  <c r="G604" i="1"/>
  <c r="C605" i="1"/>
  <c r="D605" i="1"/>
  <c r="E605" i="1"/>
  <c r="F605" i="1"/>
  <c r="G605" i="1"/>
  <c r="C608" i="1"/>
  <c r="D608" i="1"/>
  <c r="E608" i="1"/>
  <c r="F608" i="1"/>
  <c r="G608" i="1"/>
  <c r="C687" i="1"/>
  <c r="D687" i="1"/>
  <c r="E687" i="1"/>
  <c r="F687" i="1"/>
  <c r="G687" i="1"/>
  <c r="C697" i="1"/>
  <c r="D697" i="1"/>
  <c r="E697" i="1"/>
  <c r="F697" i="1"/>
  <c r="G697" i="1"/>
  <c r="C606" i="1"/>
  <c r="D606" i="1"/>
  <c r="E606" i="1"/>
  <c r="F606" i="1"/>
  <c r="G606" i="1"/>
  <c r="C607" i="1"/>
  <c r="D607" i="1"/>
  <c r="E607" i="1"/>
  <c r="F607" i="1"/>
  <c r="G607" i="1"/>
  <c r="C647" i="1"/>
  <c r="D647" i="1"/>
  <c r="E647" i="1"/>
  <c r="F647" i="1"/>
  <c r="G647" i="1"/>
  <c r="C648" i="1"/>
  <c r="D648" i="1"/>
  <c r="E648" i="1"/>
  <c r="F648" i="1"/>
  <c r="G648" i="1"/>
  <c r="C649" i="1"/>
  <c r="D649" i="1"/>
  <c r="E649" i="1"/>
  <c r="F649" i="1"/>
  <c r="G649" i="1"/>
  <c r="C650" i="1"/>
  <c r="D650" i="1"/>
  <c r="E650" i="1"/>
  <c r="F650" i="1"/>
  <c r="G650" i="1"/>
  <c r="C646" i="1"/>
  <c r="D646" i="1"/>
  <c r="E646" i="1"/>
  <c r="F646" i="1"/>
  <c r="G646" i="1"/>
  <c r="C698" i="1"/>
  <c r="D698" i="1"/>
  <c r="E698" i="1"/>
  <c r="F698" i="1"/>
  <c r="G698" i="1"/>
  <c r="C690" i="1"/>
  <c r="D690" i="1"/>
  <c r="E690" i="1"/>
  <c r="F690" i="1"/>
  <c r="G690" i="1"/>
  <c r="C688" i="1"/>
  <c r="D688" i="1"/>
  <c r="E688" i="1"/>
  <c r="F688" i="1"/>
  <c r="G688" i="1"/>
  <c r="C617" i="1"/>
  <c r="D617" i="1"/>
  <c r="E617" i="1"/>
  <c r="F617" i="1"/>
  <c r="G617" i="1"/>
  <c r="C699" i="1"/>
  <c r="D699" i="1"/>
  <c r="E699" i="1"/>
  <c r="F699" i="1"/>
  <c r="G699" i="1"/>
  <c r="C700" i="1"/>
  <c r="D700" i="1"/>
  <c r="E700" i="1"/>
  <c r="F700" i="1"/>
  <c r="G700" i="1"/>
  <c r="C691" i="1"/>
  <c r="D691" i="1"/>
  <c r="E691" i="1"/>
  <c r="F691" i="1"/>
  <c r="G691" i="1"/>
  <c r="C621" i="1"/>
  <c r="D621" i="1"/>
  <c r="E621" i="1"/>
  <c r="F621" i="1"/>
  <c r="G621" i="1"/>
  <c r="C680" i="1"/>
  <c r="D680" i="1"/>
  <c r="E680" i="1"/>
  <c r="F680" i="1"/>
  <c r="G680" i="1"/>
  <c r="C622" i="1"/>
  <c r="D622" i="1"/>
  <c r="E622" i="1"/>
  <c r="F622" i="1"/>
  <c r="G622" i="1"/>
  <c r="C701" i="1"/>
  <c r="D701" i="1"/>
  <c r="E701" i="1"/>
  <c r="F701" i="1"/>
  <c r="G701" i="1"/>
  <c r="C703" i="1"/>
  <c r="D703" i="1"/>
  <c r="E703" i="1"/>
  <c r="F703" i="1"/>
  <c r="G703" i="1"/>
  <c r="C685" i="1"/>
  <c r="D685" i="1"/>
  <c r="E685" i="1"/>
  <c r="F685" i="1"/>
  <c r="G685" i="1"/>
  <c r="C686" i="1"/>
  <c r="D686" i="1"/>
  <c r="E686" i="1"/>
  <c r="F686" i="1"/>
  <c r="G686" i="1"/>
  <c r="C682" i="1"/>
  <c r="D682" i="1"/>
  <c r="E682" i="1"/>
  <c r="F682" i="1"/>
  <c r="G682" i="1"/>
  <c r="C683" i="1"/>
  <c r="D683" i="1"/>
  <c r="E683" i="1"/>
  <c r="F683" i="1"/>
  <c r="G683" i="1"/>
  <c r="C684" i="1"/>
  <c r="D684" i="1"/>
  <c r="E684" i="1"/>
  <c r="F684" i="1"/>
  <c r="G684" i="1"/>
  <c r="C702" i="1"/>
  <c r="D702" i="1"/>
  <c r="E702" i="1"/>
  <c r="F702" i="1"/>
  <c r="G702" i="1"/>
  <c r="C689" i="1"/>
  <c r="D689" i="1"/>
  <c r="E689" i="1"/>
  <c r="F689" i="1"/>
  <c r="G689" i="1"/>
  <c r="C704" i="1"/>
  <c r="D704" i="1"/>
  <c r="E704" i="1"/>
  <c r="F704" i="1"/>
  <c r="G704" i="1"/>
  <c r="C705" i="1"/>
  <c r="D705" i="1"/>
  <c r="E705" i="1"/>
  <c r="F705" i="1"/>
  <c r="G705" i="1"/>
  <c r="C693" i="1"/>
  <c r="D693" i="1"/>
  <c r="E693" i="1"/>
  <c r="F693" i="1"/>
  <c r="G693" i="1"/>
  <c r="C694" i="1"/>
  <c r="D694" i="1"/>
  <c r="E694" i="1"/>
  <c r="F694" i="1"/>
  <c r="G694" i="1"/>
  <c r="C618" i="1"/>
  <c r="D618" i="1"/>
  <c r="E618" i="1"/>
  <c r="F618" i="1"/>
  <c r="G618" i="1"/>
  <c r="C619" i="1"/>
  <c r="D619" i="1"/>
  <c r="E619" i="1"/>
  <c r="F619" i="1"/>
  <c r="G619" i="1"/>
  <c r="C620" i="1"/>
  <c r="D620" i="1"/>
  <c r="E620" i="1"/>
  <c r="F620" i="1"/>
  <c r="G620" i="1"/>
  <c r="C708" i="1"/>
  <c r="D708" i="1"/>
  <c r="E708" i="1"/>
  <c r="F708" i="1"/>
  <c r="G708" i="1"/>
  <c r="C712" i="1"/>
  <c r="D712" i="1"/>
  <c r="E712" i="1"/>
  <c r="F712" i="1"/>
  <c r="G712" i="1"/>
  <c r="C623" i="1"/>
  <c r="D623" i="1"/>
  <c r="E623" i="1"/>
  <c r="F623" i="1"/>
  <c r="G623" i="1"/>
  <c r="C709" i="1"/>
  <c r="D709" i="1"/>
  <c r="E709" i="1"/>
  <c r="F709" i="1"/>
  <c r="G709" i="1"/>
  <c r="C710" i="1"/>
  <c r="D710" i="1"/>
  <c r="E710" i="1"/>
  <c r="F710" i="1"/>
  <c r="G710" i="1"/>
  <c r="C706" i="1"/>
  <c r="D706" i="1"/>
  <c r="E706" i="1"/>
  <c r="F706" i="1"/>
  <c r="G706" i="1"/>
  <c r="C711" i="1"/>
  <c r="D711" i="1"/>
  <c r="E711" i="1"/>
  <c r="F711" i="1"/>
  <c r="G711" i="1"/>
  <c r="C721" i="1"/>
  <c r="D721" i="1"/>
  <c r="E721" i="1"/>
  <c r="F721" i="1"/>
  <c r="G721" i="1"/>
  <c r="C720" i="1"/>
  <c r="D720" i="1"/>
  <c r="E720" i="1"/>
  <c r="F720" i="1"/>
  <c r="G720" i="1"/>
  <c r="C718" i="1"/>
  <c r="D718" i="1"/>
  <c r="E718" i="1"/>
  <c r="F718" i="1"/>
  <c r="G718" i="1"/>
  <c r="C722" i="1"/>
  <c r="D722" i="1"/>
  <c r="E722" i="1"/>
  <c r="F722" i="1"/>
  <c r="G722" i="1"/>
  <c r="C625" i="1"/>
  <c r="D625" i="1"/>
  <c r="E625" i="1"/>
  <c r="F625" i="1"/>
  <c r="G625" i="1"/>
  <c r="C626" i="1"/>
  <c r="D626" i="1"/>
  <c r="E626" i="1"/>
  <c r="F626" i="1"/>
  <c r="G626" i="1"/>
  <c r="C627" i="1"/>
  <c r="D627" i="1"/>
  <c r="E627" i="1"/>
  <c r="F627" i="1"/>
  <c r="G627" i="1"/>
  <c r="C628" i="1"/>
  <c r="D628" i="1"/>
  <c r="E628" i="1"/>
  <c r="F628" i="1"/>
  <c r="G628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C633" i="1"/>
  <c r="D633" i="1"/>
  <c r="E633" i="1"/>
  <c r="F633" i="1"/>
  <c r="G633" i="1"/>
  <c r="C634" i="1"/>
  <c r="D634" i="1"/>
  <c r="E634" i="1"/>
  <c r="F634" i="1"/>
  <c r="G634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38" i="1"/>
  <c r="D638" i="1"/>
  <c r="E638" i="1"/>
  <c r="F638" i="1"/>
  <c r="G638" i="1"/>
  <c r="C639" i="1"/>
  <c r="D639" i="1"/>
  <c r="E639" i="1"/>
  <c r="F639" i="1"/>
  <c r="G639" i="1"/>
  <c r="C640" i="1"/>
  <c r="D640" i="1"/>
  <c r="E640" i="1"/>
  <c r="F640" i="1"/>
  <c r="G640" i="1"/>
  <c r="C641" i="1"/>
  <c r="D641" i="1"/>
  <c r="E641" i="1"/>
  <c r="F641" i="1"/>
  <c r="G641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715" i="1"/>
  <c r="D715" i="1"/>
  <c r="E715" i="1"/>
  <c r="F715" i="1"/>
  <c r="G715" i="1"/>
  <c r="C716" i="1"/>
  <c r="D716" i="1"/>
  <c r="E716" i="1"/>
  <c r="F716" i="1"/>
  <c r="G716" i="1"/>
  <c r="C724" i="1"/>
  <c r="D724" i="1"/>
  <c r="E724" i="1"/>
  <c r="F724" i="1"/>
  <c r="G724" i="1"/>
  <c r="C677" i="1"/>
  <c r="D677" i="1"/>
  <c r="E677" i="1"/>
  <c r="F677" i="1"/>
  <c r="G677" i="1"/>
  <c r="C678" i="1"/>
  <c r="D678" i="1"/>
  <c r="E678" i="1"/>
  <c r="F678" i="1"/>
  <c r="G678" i="1"/>
  <c r="C679" i="1"/>
  <c r="D679" i="1"/>
  <c r="E679" i="1"/>
  <c r="F679" i="1"/>
  <c r="G679" i="1"/>
  <c r="C735" i="1"/>
  <c r="D735" i="1"/>
  <c r="E735" i="1"/>
  <c r="F735" i="1"/>
  <c r="G735" i="1"/>
  <c r="C692" i="1"/>
  <c r="D692" i="1"/>
  <c r="E692" i="1"/>
  <c r="F692" i="1"/>
  <c r="G692" i="1"/>
  <c r="C713" i="1"/>
  <c r="D713" i="1"/>
  <c r="E713" i="1"/>
  <c r="F713" i="1"/>
  <c r="G713" i="1"/>
  <c r="C714" i="1"/>
  <c r="D714" i="1"/>
  <c r="E714" i="1"/>
  <c r="F714" i="1"/>
  <c r="G714" i="1"/>
  <c r="C737" i="1"/>
  <c r="D737" i="1"/>
  <c r="E737" i="1"/>
  <c r="F737" i="1"/>
  <c r="G737" i="1"/>
  <c r="C728" i="1"/>
  <c r="D728" i="1"/>
  <c r="E728" i="1"/>
  <c r="F728" i="1"/>
  <c r="G728" i="1"/>
  <c r="C729" i="1"/>
  <c r="D729" i="1"/>
  <c r="E729" i="1"/>
  <c r="F729" i="1"/>
  <c r="G729" i="1"/>
  <c r="C738" i="1"/>
  <c r="D738" i="1"/>
  <c r="E738" i="1"/>
  <c r="F738" i="1"/>
  <c r="G738" i="1"/>
  <c r="C739" i="1"/>
  <c r="D739" i="1"/>
  <c r="E739" i="1"/>
  <c r="F739" i="1"/>
  <c r="G739" i="1"/>
  <c r="C717" i="1"/>
  <c r="D717" i="1"/>
  <c r="E717" i="1"/>
  <c r="F717" i="1"/>
  <c r="G717" i="1"/>
  <c r="C740" i="1"/>
  <c r="D740" i="1"/>
  <c r="E740" i="1"/>
  <c r="F740" i="1"/>
  <c r="G740" i="1"/>
  <c r="C723" i="1"/>
  <c r="D723" i="1"/>
  <c r="E723" i="1"/>
  <c r="F723" i="1"/>
  <c r="G723" i="1"/>
  <c r="C741" i="1"/>
  <c r="D741" i="1"/>
  <c r="E741" i="1"/>
  <c r="F741" i="1"/>
  <c r="G741" i="1"/>
  <c r="C742" i="1"/>
  <c r="D742" i="1"/>
  <c r="E742" i="1"/>
  <c r="F742" i="1"/>
  <c r="G742" i="1"/>
  <c r="C732" i="1"/>
  <c r="D732" i="1"/>
  <c r="E732" i="1"/>
  <c r="F732" i="1"/>
  <c r="G732" i="1"/>
  <c r="C725" i="1"/>
  <c r="D725" i="1"/>
  <c r="E725" i="1"/>
  <c r="F725" i="1"/>
  <c r="G725" i="1"/>
  <c r="C727" i="1"/>
  <c r="D727" i="1"/>
  <c r="E727" i="1"/>
  <c r="F727" i="1"/>
  <c r="G727" i="1"/>
  <c r="C726" i="1"/>
  <c r="D726" i="1"/>
  <c r="E726" i="1"/>
  <c r="F726" i="1"/>
  <c r="G726" i="1"/>
  <c r="C733" i="1"/>
  <c r="D733" i="1"/>
  <c r="E733" i="1"/>
  <c r="F733" i="1"/>
  <c r="G733" i="1"/>
  <c r="C736" i="1"/>
  <c r="D736" i="1"/>
  <c r="E736" i="1"/>
  <c r="F736" i="1"/>
  <c r="G736" i="1"/>
  <c r="C745" i="1"/>
  <c r="D745" i="1"/>
  <c r="E745" i="1"/>
  <c r="F745" i="1"/>
  <c r="G745" i="1"/>
  <c r="C681" i="1"/>
  <c r="D681" i="1"/>
  <c r="E681" i="1"/>
  <c r="F681" i="1"/>
  <c r="G681" i="1"/>
  <c r="C747" i="1"/>
  <c r="D747" i="1"/>
  <c r="E747" i="1"/>
  <c r="F747" i="1"/>
  <c r="G747" i="1"/>
  <c r="C749" i="1"/>
  <c r="D749" i="1"/>
  <c r="E749" i="1"/>
  <c r="F749" i="1"/>
  <c r="G749" i="1"/>
  <c r="C748" i="1"/>
  <c r="D748" i="1"/>
  <c r="E748" i="1"/>
  <c r="F748" i="1"/>
  <c r="G748" i="1"/>
  <c r="C746" i="1"/>
  <c r="D746" i="1"/>
  <c r="E746" i="1"/>
  <c r="F746" i="1"/>
  <c r="G746" i="1"/>
  <c r="C752" i="1"/>
  <c r="D752" i="1"/>
  <c r="E752" i="1"/>
  <c r="F752" i="1"/>
  <c r="G752" i="1"/>
  <c r="C763" i="1"/>
  <c r="D763" i="1"/>
  <c r="E763" i="1"/>
  <c r="F763" i="1"/>
  <c r="G763" i="1"/>
  <c r="C731" i="1"/>
  <c r="D731" i="1"/>
  <c r="E731" i="1"/>
  <c r="F731" i="1"/>
  <c r="G731" i="1"/>
  <c r="C764" i="1"/>
  <c r="D764" i="1"/>
  <c r="E764" i="1"/>
  <c r="F764" i="1"/>
  <c r="G764" i="1"/>
  <c r="C766" i="1"/>
  <c r="D766" i="1"/>
  <c r="E766" i="1"/>
  <c r="F766" i="1"/>
  <c r="G766" i="1"/>
  <c r="C750" i="1"/>
  <c r="D750" i="1"/>
  <c r="E750" i="1"/>
  <c r="F750" i="1"/>
  <c r="G750" i="1"/>
  <c r="C768" i="1"/>
  <c r="D768" i="1"/>
  <c r="E768" i="1"/>
  <c r="F768" i="1"/>
  <c r="G768" i="1"/>
  <c r="C719" i="1"/>
  <c r="D719" i="1"/>
  <c r="E719" i="1"/>
  <c r="F719" i="1"/>
  <c r="G719" i="1"/>
  <c r="C707" i="1"/>
  <c r="D707" i="1"/>
  <c r="E707" i="1"/>
  <c r="F707" i="1"/>
  <c r="G707" i="1"/>
  <c r="C754" i="1"/>
  <c r="D754" i="1"/>
  <c r="E754" i="1"/>
  <c r="F754" i="1"/>
  <c r="G754" i="1"/>
  <c r="C734" i="1"/>
  <c r="D734" i="1"/>
  <c r="E734" i="1"/>
  <c r="F734" i="1"/>
  <c r="G734" i="1"/>
  <c r="C743" i="1"/>
  <c r="D743" i="1"/>
  <c r="E743" i="1"/>
  <c r="F743" i="1"/>
  <c r="G743" i="1"/>
  <c r="C756" i="1"/>
  <c r="D756" i="1"/>
  <c r="E756" i="1"/>
  <c r="F756" i="1"/>
  <c r="G756" i="1"/>
  <c r="C744" i="1"/>
  <c r="D744" i="1"/>
  <c r="E744" i="1"/>
  <c r="F744" i="1"/>
  <c r="G744" i="1"/>
  <c r="C761" i="1"/>
  <c r="D761" i="1"/>
  <c r="E761" i="1"/>
  <c r="F761" i="1"/>
  <c r="G761" i="1"/>
  <c r="C730" i="1"/>
  <c r="D730" i="1"/>
  <c r="E730" i="1"/>
  <c r="F730" i="1"/>
  <c r="G730" i="1"/>
  <c r="C753" i="1"/>
  <c r="D753" i="1"/>
  <c r="E753" i="1"/>
  <c r="F753" i="1"/>
  <c r="G753" i="1"/>
  <c r="C759" i="1"/>
  <c r="D759" i="1"/>
  <c r="E759" i="1"/>
  <c r="F759" i="1"/>
  <c r="G759" i="1"/>
  <c r="C760" i="1"/>
  <c r="D760" i="1"/>
  <c r="E760" i="1"/>
  <c r="F760" i="1"/>
  <c r="G760" i="1"/>
  <c r="C751" i="1"/>
  <c r="D751" i="1"/>
  <c r="E751" i="1"/>
  <c r="F751" i="1"/>
  <c r="G751" i="1"/>
  <c r="C762" i="1"/>
  <c r="D762" i="1"/>
  <c r="E762" i="1"/>
  <c r="F762" i="1"/>
  <c r="G762" i="1"/>
  <c r="C765" i="1"/>
  <c r="D765" i="1"/>
  <c r="E765" i="1"/>
  <c r="F765" i="1"/>
  <c r="G765" i="1"/>
  <c r="C767" i="1"/>
  <c r="D767" i="1"/>
  <c r="E767" i="1"/>
  <c r="F767" i="1"/>
  <c r="G767" i="1"/>
  <c r="C758" i="1"/>
  <c r="D758" i="1"/>
  <c r="E758" i="1"/>
  <c r="F758" i="1"/>
  <c r="G758" i="1"/>
  <c r="C757" i="1"/>
  <c r="D757" i="1"/>
  <c r="E757" i="1"/>
  <c r="F757" i="1"/>
  <c r="G757" i="1"/>
  <c r="C769" i="1"/>
  <c r="D769" i="1"/>
  <c r="E769" i="1"/>
  <c r="F769" i="1"/>
  <c r="G769" i="1"/>
  <c r="C755" i="1"/>
  <c r="D755" i="1"/>
  <c r="E755" i="1"/>
  <c r="F755" i="1"/>
  <c r="G755" i="1"/>
  <c r="C770" i="1"/>
  <c r="D770" i="1"/>
  <c r="E770" i="1"/>
  <c r="F770" i="1"/>
  <c r="G770" i="1"/>
  <c r="C771" i="1"/>
  <c r="D771" i="1"/>
  <c r="E771" i="1"/>
  <c r="F771" i="1"/>
  <c r="G771" i="1"/>
  <c r="C773" i="1"/>
  <c r="D773" i="1"/>
  <c r="E773" i="1"/>
  <c r="F773" i="1"/>
  <c r="G773" i="1"/>
  <c r="C775" i="1"/>
  <c r="D775" i="1"/>
  <c r="E775" i="1"/>
  <c r="F775" i="1"/>
  <c r="G775" i="1"/>
  <c r="C774" i="1"/>
  <c r="D774" i="1"/>
  <c r="E774" i="1"/>
  <c r="F774" i="1"/>
  <c r="G774" i="1"/>
  <c r="C793" i="1"/>
  <c r="D793" i="1"/>
  <c r="E793" i="1"/>
  <c r="F793" i="1"/>
  <c r="G793" i="1"/>
  <c r="C791" i="1"/>
  <c r="D791" i="1"/>
  <c r="E791" i="1"/>
  <c r="F791" i="1"/>
  <c r="G791" i="1"/>
  <c r="C781" i="1"/>
  <c r="D781" i="1"/>
  <c r="E781" i="1"/>
  <c r="F781" i="1"/>
  <c r="G781" i="1"/>
  <c r="C777" i="1"/>
  <c r="D777" i="1"/>
  <c r="E777" i="1"/>
  <c r="F777" i="1"/>
  <c r="G777" i="1"/>
  <c r="C794" i="1"/>
  <c r="D794" i="1"/>
  <c r="E794" i="1"/>
  <c r="F794" i="1"/>
  <c r="G794" i="1"/>
  <c r="C785" i="1"/>
  <c r="D785" i="1"/>
  <c r="E785" i="1"/>
  <c r="F785" i="1"/>
  <c r="G785" i="1"/>
  <c r="C792" i="1"/>
  <c r="D792" i="1"/>
  <c r="E792" i="1"/>
  <c r="F792" i="1"/>
  <c r="G792" i="1"/>
  <c r="C790" i="1"/>
  <c r="D790" i="1"/>
  <c r="E790" i="1"/>
  <c r="F790" i="1"/>
  <c r="G790" i="1"/>
  <c r="C778" i="1"/>
  <c r="D778" i="1"/>
  <c r="E778" i="1"/>
  <c r="F778" i="1"/>
  <c r="G778" i="1"/>
  <c r="C786" i="1"/>
  <c r="D786" i="1"/>
  <c r="E786" i="1"/>
  <c r="F786" i="1"/>
  <c r="G786" i="1"/>
  <c r="C802" i="1"/>
  <c r="D802" i="1"/>
  <c r="E802" i="1"/>
  <c r="F802" i="1"/>
  <c r="G802" i="1"/>
  <c r="C801" i="1"/>
  <c r="D801" i="1"/>
  <c r="E801" i="1"/>
  <c r="F801" i="1"/>
  <c r="G801" i="1"/>
  <c r="C783" i="1"/>
  <c r="D783" i="1"/>
  <c r="E783" i="1"/>
  <c r="F783" i="1"/>
  <c r="G783" i="1"/>
  <c r="C780" i="1"/>
  <c r="D780" i="1"/>
  <c r="E780" i="1"/>
  <c r="F780" i="1"/>
  <c r="G780" i="1"/>
  <c r="C788" i="1"/>
  <c r="D788" i="1"/>
  <c r="E788" i="1"/>
  <c r="F788" i="1"/>
  <c r="G788" i="1"/>
  <c r="C800" i="1"/>
  <c r="D800" i="1"/>
  <c r="E800" i="1"/>
  <c r="F800" i="1"/>
  <c r="G800" i="1"/>
  <c r="C787" i="1"/>
  <c r="D787" i="1"/>
  <c r="E787" i="1"/>
  <c r="F787" i="1"/>
  <c r="G787" i="1"/>
  <c r="C804" i="1"/>
  <c r="D804" i="1"/>
  <c r="E804" i="1"/>
  <c r="F804" i="1"/>
  <c r="G804" i="1"/>
  <c r="C776" i="1"/>
  <c r="D776" i="1"/>
  <c r="E776" i="1"/>
  <c r="F776" i="1"/>
  <c r="G776" i="1"/>
  <c r="C803" i="1"/>
  <c r="D803" i="1"/>
  <c r="E803" i="1"/>
  <c r="F803" i="1"/>
  <c r="G803" i="1"/>
  <c r="C799" i="1"/>
  <c r="D799" i="1"/>
  <c r="E799" i="1"/>
  <c r="F799" i="1"/>
  <c r="G799" i="1"/>
  <c r="C784" i="1"/>
  <c r="D784" i="1"/>
  <c r="E784" i="1"/>
  <c r="F784" i="1"/>
  <c r="G784" i="1"/>
  <c r="C795" i="1"/>
  <c r="D795" i="1"/>
  <c r="E795" i="1"/>
  <c r="F795" i="1"/>
  <c r="G795" i="1"/>
  <c r="C806" i="1"/>
  <c r="D806" i="1"/>
  <c r="E806" i="1"/>
  <c r="F806" i="1"/>
  <c r="G806" i="1"/>
  <c r="C789" i="1"/>
  <c r="D789" i="1"/>
  <c r="E789" i="1"/>
  <c r="F789" i="1"/>
  <c r="G789" i="1"/>
  <c r="C796" i="1"/>
  <c r="D796" i="1"/>
  <c r="E796" i="1"/>
  <c r="F796" i="1"/>
  <c r="G796" i="1"/>
  <c r="C810" i="1"/>
  <c r="D810" i="1"/>
  <c r="E810" i="1"/>
  <c r="F810" i="1"/>
  <c r="G810" i="1"/>
  <c r="C820" i="1"/>
  <c r="D820" i="1"/>
  <c r="E820" i="1"/>
  <c r="F820" i="1"/>
  <c r="G820" i="1"/>
  <c r="C821" i="1"/>
  <c r="D821" i="1"/>
  <c r="E821" i="1"/>
  <c r="F821" i="1"/>
  <c r="G821" i="1"/>
  <c r="C811" i="1"/>
  <c r="D811" i="1"/>
  <c r="E811" i="1"/>
  <c r="F811" i="1"/>
  <c r="G811" i="1"/>
  <c r="C812" i="1"/>
  <c r="D812" i="1"/>
  <c r="E812" i="1"/>
  <c r="F812" i="1"/>
  <c r="G812" i="1"/>
  <c r="C814" i="1"/>
  <c r="D814" i="1"/>
  <c r="E814" i="1"/>
  <c r="F814" i="1"/>
  <c r="G814" i="1"/>
  <c r="C807" i="1"/>
  <c r="D807" i="1"/>
  <c r="E807" i="1"/>
  <c r="F807" i="1"/>
  <c r="G807" i="1"/>
  <c r="C805" i="1"/>
  <c r="D805" i="1"/>
  <c r="E805" i="1"/>
  <c r="F805" i="1"/>
  <c r="G805" i="1"/>
  <c r="C813" i="1"/>
  <c r="D813" i="1"/>
  <c r="E813" i="1"/>
  <c r="F813" i="1"/>
  <c r="G813" i="1"/>
  <c r="C772" i="1"/>
  <c r="D772" i="1"/>
  <c r="E772" i="1"/>
  <c r="F772" i="1"/>
  <c r="G772" i="1"/>
  <c r="C779" i="1"/>
  <c r="D779" i="1"/>
  <c r="E779" i="1"/>
  <c r="F779" i="1"/>
  <c r="G779" i="1"/>
  <c r="C827" i="1"/>
  <c r="D827" i="1"/>
  <c r="E827" i="1"/>
  <c r="F827" i="1"/>
  <c r="G827" i="1"/>
  <c r="C798" i="1"/>
  <c r="D798" i="1"/>
  <c r="E798" i="1"/>
  <c r="F798" i="1"/>
  <c r="G798" i="1"/>
  <c r="C808" i="1"/>
  <c r="D808" i="1"/>
  <c r="E808" i="1"/>
  <c r="F808" i="1"/>
  <c r="G808" i="1"/>
  <c r="C797" i="1"/>
  <c r="D797" i="1"/>
  <c r="E797" i="1"/>
  <c r="F797" i="1"/>
  <c r="G797" i="1"/>
  <c r="C816" i="1"/>
  <c r="D816" i="1"/>
  <c r="E816" i="1"/>
  <c r="F816" i="1"/>
  <c r="G816" i="1"/>
  <c r="C817" i="1"/>
  <c r="D817" i="1"/>
  <c r="E817" i="1"/>
  <c r="F817" i="1"/>
  <c r="G817" i="1"/>
  <c r="C815" i="1"/>
  <c r="D815" i="1"/>
  <c r="E815" i="1"/>
  <c r="F815" i="1"/>
  <c r="G815" i="1"/>
  <c r="C826" i="1"/>
  <c r="D826" i="1"/>
  <c r="E826" i="1"/>
  <c r="F826" i="1"/>
  <c r="G826" i="1"/>
  <c r="C819" i="1"/>
  <c r="D819" i="1"/>
  <c r="E819" i="1"/>
  <c r="F819" i="1"/>
  <c r="G819" i="1"/>
  <c r="C834" i="1"/>
  <c r="D834" i="1"/>
  <c r="E834" i="1"/>
  <c r="F834" i="1"/>
  <c r="G834" i="1"/>
  <c r="C835" i="1"/>
  <c r="D835" i="1"/>
  <c r="E835" i="1"/>
  <c r="F835" i="1"/>
  <c r="G835" i="1"/>
  <c r="C837" i="1"/>
  <c r="D837" i="1"/>
  <c r="E837" i="1"/>
  <c r="F837" i="1"/>
  <c r="G837" i="1"/>
  <c r="C840" i="1"/>
  <c r="D840" i="1"/>
  <c r="E840" i="1"/>
  <c r="F840" i="1"/>
  <c r="G840" i="1"/>
  <c r="C838" i="1"/>
  <c r="D838" i="1"/>
  <c r="E838" i="1"/>
  <c r="F838" i="1"/>
  <c r="G838" i="1"/>
  <c r="C850" i="1"/>
  <c r="D850" i="1"/>
  <c r="E850" i="1"/>
  <c r="F850" i="1"/>
  <c r="G850" i="1"/>
  <c r="C839" i="1"/>
  <c r="D839" i="1"/>
  <c r="E839" i="1"/>
  <c r="F839" i="1"/>
  <c r="G839" i="1"/>
  <c r="C852" i="1"/>
  <c r="D852" i="1"/>
  <c r="E852" i="1"/>
  <c r="F852" i="1"/>
  <c r="G852" i="1"/>
  <c r="C841" i="1"/>
  <c r="D841" i="1"/>
  <c r="E841" i="1"/>
  <c r="F841" i="1"/>
  <c r="G841" i="1"/>
  <c r="C822" i="1"/>
  <c r="D822" i="1"/>
  <c r="E822" i="1"/>
  <c r="F822" i="1"/>
  <c r="G822" i="1"/>
  <c r="C843" i="1"/>
  <c r="D843" i="1"/>
  <c r="E843" i="1"/>
  <c r="F843" i="1"/>
  <c r="G843" i="1"/>
  <c r="C825" i="1"/>
  <c r="D825" i="1"/>
  <c r="E825" i="1"/>
  <c r="F825" i="1"/>
  <c r="G825" i="1"/>
  <c r="C836" i="1"/>
  <c r="D836" i="1"/>
  <c r="E836" i="1"/>
  <c r="F836" i="1"/>
  <c r="G836" i="1"/>
  <c r="C851" i="1"/>
  <c r="D851" i="1"/>
  <c r="E851" i="1"/>
  <c r="F851" i="1"/>
  <c r="G851" i="1"/>
  <c r="C830" i="1"/>
  <c r="D830" i="1"/>
  <c r="E830" i="1"/>
  <c r="F830" i="1"/>
  <c r="G830" i="1"/>
  <c r="C823" i="1"/>
  <c r="D823" i="1"/>
  <c r="E823" i="1"/>
  <c r="F823" i="1"/>
  <c r="G823" i="1"/>
  <c r="C829" i="1"/>
  <c r="D829" i="1"/>
  <c r="E829" i="1"/>
  <c r="F829" i="1"/>
  <c r="G829" i="1"/>
  <c r="C809" i="1"/>
  <c r="D809" i="1"/>
  <c r="E809" i="1"/>
  <c r="F809" i="1"/>
  <c r="G809" i="1"/>
  <c r="C818" i="1"/>
  <c r="D818" i="1"/>
  <c r="E818" i="1"/>
  <c r="F818" i="1"/>
  <c r="G818" i="1"/>
  <c r="C831" i="1"/>
  <c r="D831" i="1"/>
  <c r="E831" i="1"/>
  <c r="F831" i="1"/>
  <c r="G831" i="1"/>
  <c r="C853" i="1"/>
  <c r="D853" i="1"/>
  <c r="E853" i="1"/>
  <c r="F853" i="1"/>
  <c r="G853" i="1"/>
  <c r="C844" i="1"/>
  <c r="D844" i="1"/>
  <c r="E844" i="1"/>
  <c r="F844" i="1"/>
  <c r="G844" i="1"/>
  <c r="C846" i="1"/>
  <c r="D846" i="1"/>
  <c r="E846" i="1"/>
  <c r="F846" i="1"/>
  <c r="G846" i="1"/>
  <c r="C833" i="1"/>
  <c r="D833" i="1"/>
  <c r="E833" i="1"/>
  <c r="F833" i="1"/>
  <c r="G833" i="1"/>
  <c r="C855" i="1"/>
  <c r="D855" i="1"/>
  <c r="E855" i="1"/>
  <c r="F855" i="1"/>
  <c r="G855" i="1"/>
  <c r="C862" i="1"/>
  <c r="D862" i="1"/>
  <c r="E862" i="1"/>
  <c r="F862" i="1"/>
  <c r="G862" i="1"/>
  <c r="C864" i="1"/>
  <c r="D864" i="1"/>
  <c r="E864" i="1"/>
  <c r="F864" i="1"/>
  <c r="G864" i="1"/>
  <c r="C828" i="1"/>
  <c r="D828" i="1"/>
  <c r="E828" i="1"/>
  <c r="F828" i="1"/>
  <c r="G828" i="1"/>
  <c r="C842" i="1"/>
  <c r="D842" i="1"/>
  <c r="E842" i="1"/>
  <c r="F842" i="1"/>
  <c r="G842" i="1"/>
  <c r="C824" i="1"/>
  <c r="D824" i="1"/>
  <c r="E824" i="1"/>
  <c r="F824" i="1"/>
  <c r="G824" i="1"/>
  <c r="C857" i="1"/>
  <c r="D857" i="1"/>
  <c r="E857" i="1"/>
  <c r="F857" i="1"/>
  <c r="G857" i="1"/>
  <c r="C858" i="1"/>
  <c r="D858" i="1"/>
  <c r="E858" i="1"/>
  <c r="F858" i="1"/>
  <c r="G858" i="1"/>
  <c r="C847" i="1"/>
  <c r="D847" i="1"/>
  <c r="E847" i="1"/>
  <c r="F847" i="1"/>
  <c r="G847" i="1"/>
  <c r="C867" i="1"/>
  <c r="D867" i="1"/>
  <c r="E867" i="1"/>
  <c r="F867" i="1"/>
  <c r="G867" i="1"/>
  <c r="C849" i="1"/>
  <c r="D849" i="1"/>
  <c r="E849" i="1"/>
  <c r="F849" i="1"/>
  <c r="G849" i="1"/>
  <c r="C861" i="1"/>
  <c r="D861" i="1"/>
  <c r="E861" i="1"/>
  <c r="F861" i="1"/>
  <c r="G861" i="1"/>
  <c r="C845" i="1"/>
  <c r="D845" i="1"/>
  <c r="E845" i="1"/>
  <c r="F845" i="1"/>
  <c r="G845" i="1"/>
  <c r="C848" i="1"/>
  <c r="D848" i="1"/>
  <c r="E848" i="1"/>
  <c r="F848" i="1"/>
  <c r="G848" i="1"/>
  <c r="C859" i="1"/>
  <c r="D859" i="1"/>
  <c r="E859" i="1"/>
  <c r="F859" i="1"/>
  <c r="G859" i="1"/>
  <c r="C854" i="1"/>
  <c r="D854" i="1"/>
  <c r="E854" i="1"/>
  <c r="F854" i="1"/>
  <c r="G854" i="1"/>
  <c r="C868" i="1"/>
  <c r="D868" i="1"/>
  <c r="E868" i="1"/>
  <c r="F868" i="1"/>
  <c r="G868" i="1"/>
  <c r="C863" i="1"/>
  <c r="D863" i="1"/>
  <c r="E863" i="1"/>
  <c r="F863" i="1"/>
  <c r="G863" i="1"/>
  <c r="C856" i="1"/>
  <c r="D856" i="1"/>
  <c r="E856" i="1"/>
  <c r="F856" i="1"/>
  <c r="G856" i="1"/>
  <c r="C865" i="1"/>
  <c r="D865" i="1"/>
  <c r="E865" i="1"/>
  <c r="F865" i="1"/>
  <c r="G865" i="1"/>
  <c r="C860" i="1"/>
  <c r="D860" i="1"/>
  <c r="E860" i="1"/>
  <c r="F860" i="1"/>
  <c r="G860" i="1"/>
  <c r="C832" i="1"/>
  <c r="D832" i="1"/>
  <c r="E832" i="1"/>
  <c r="F832" i="1"/>
  <c r="G832" i="1"/>
  <c r="C866" i="1"/>
  <c r="D866" i="1"/>
  <c r="E866" i="1"/>
  <c r="F866" i="1"/>
  <c r="G866" i="1"/>
  <c r="C869" i="1"/>
  <c r="D869" i="1"/>
  <c r="E869" i="1"/>
  <c r="F869" i="1"/>
  <c r="G869" i="1"/>
  <c r="C870" i="1"/>
  <c r="D870" i="1"/>
  <c r="E870" i="1"/>
  <c r="F870" i="1"/>
  <c r="G870" i="1"/>
  <c r="C871" i="1"/>
  <c r="D871" i="1"/>
  <c r="E871" i="1"/>
  <c r="F871" i="1"/>
  <c r="G871" i="1"/>
  <c r="C872" i="1"/>
  <c r="D872" i="1"/>
  <c r="E872" i="1"/>
  <c r="F872" i="1"/>
  <c r="G872" i="1"/>
  <c r="C873" i="1"/>
  <c r="D873" i="1"/>
  <c r="E873" i="1"/>
  <c r="F873" i="1"/>
  <c r="G873" i="1"/>
  <c r="C874" i="1"/>
  <c r="D874" i="1"/>
  <c r="E874" i="1"/>
  <c r="F874" i="1"/>
  <c r="G874" i="1"/>
  <c r="C875" i="1"/>
  <c r="D875" i="1"/>
  <c r="E875" i="1"/>
  <c r="F875" i="1"/>
  <c r="G875" i="1"/>
  <c r="C877" i="1"/>
  <c r="D877" i="1"/>
  <c r="E877" i="1"/>
  <c r="F877" i="1"/>
  <c r="G877" i="1"/>
  <c r="C876" i="1"/>
  <c r="D876" i="1"/>
  <c r="E876" i="1"/>
  <c r="F876" i="1"/>
  <c r="G876" i="1"/>
  <c r="C878" i="1"/>
  <c r="D878" i="1"/>
  <c r="E878" i="1"/>
  <c r="F878" i="1"/>
  <c r="G878" i="1"/>
  <c r="C879" i="1"/>
  <c r="D879" i="1"/>
  <c r="E879" i="1"/>
  <c r="F879" i="1"/>
  <c r="G879" i="1"/>
  <c r="C880" i="1"/>
  <c r="D880" i="1"/>
  <c r="E880" i="1"/>
  <c r="F880" i="1"/>
  <c r="G880" i="1"/>
  <c r="C894" i="1"/>
  <c r="D894" i="1"/>
  <c r="E894" i="1"/>
  <c r="F894" i="1"/>
  <c r="G894" i="1"/>
  <c r="C882" i="1"/>
  <c r="D882" i="1"/>
  <c r="E882" i="1"/>
  <c r="F882" i="1"/>
  <c r="G882" i="1"/>
  <c r="C897" i="1"/>
  <c r="D897" i="1"/>
  <c r="E897" i="1"/>
  <c r="F897" i="1"/>
  <c r="G897" i="1"/>
  <c r="C907" i="1"/>
  <c r="D907" i="1"/>
  <c r="E907" i="1"/>
  <c r="F907" i="1"/>
  <c r="G907" i="1"/>
  <c r="C898" i="1"/>
  <c r="D898" i="1"/>
  <c r="E898" i="1"/>
  <c r="F898" i="1"/>
  <c r="G898" i="1"/>
  <c r="C900" i="1"/>
  <c r="D900" i="1"/>
  <c r="E900" i="1"/>
  <c r="F900" i="1"/>
  <c r="G900" i="1"/>
  <c r="C887" i="1"/>
  <c r="D887" i="1"/>
  <c r="E887" i="1"/>
  <c r="F887" i="1"/>
  <c r="G887" i="1"/>
  <c r="C902" i="1"/>
  <c r="D902" i="1"/>
  <c r="E902" i="1"/>
  <c r="F902" i="1"/>
  <c r="G902" i="1"/>
  <c r="C888" i="1"/>
  <c r="D888" i="1"/>
  <c r="E888" i="1"/>
  <c r="F888" i="1"/>
  <c r="G888" i="1"/>
  <c r="C901" i="1"/>
  <c r="D901" i="1"/>
  <c r="E901" i="1"/>
  <c r="F901" i="1"/>
  <c r="G901" i="1"/>
  <c r="C903" i="1"/>
  <c r="D903" i="1"/>
  <c r="E903" i="1"/>
  <c r="F903" i="1"/>
  <c r="G903" i="1"/>
  <c r="C889" i="1"/>
  <c r="D889" i="1"/>
  <c r="E889" i="1"/>
  <c r="F889" i="1"/>
  <c r="G889" i="1"/>
  <c r="C909" i="1"/>
  <c r="D909" i="1"/>
  <c r="E909" i="1"/>
  <c r="F909" i="1"/>
  <c r="G909" i="1"/>
  <c r="C895" i="1"/>
  <c r="D895" i="1"/>
  <c r="E895" i="1"/>
  <c r="F895" i="1"/>
  <c r="G895" i="1"/>
  <c r="C896" i="1"/>
  <c r="D896" i="1"/>
  <c r="E896" i="1"/>
  <c r="F896" i="1"/>
  <c r="G896" i="1"/>
  <c r="C885" i="1"/>
  <c r="D885" i="1"/>
  <c r="E885" i="1"/>
  <c r="F885" i="1"/>
  <c r="G885" i="1"/>
  <c r="C886" i="1"/>
  <c r="D886" i="1"/>
  <c r="E886" i="1"/>
  <c r="F886" i="1"/>
  <c r="G886" i="1"/>
  <c r="C913" i="1"/>
  <c r="D913" i="1"/>
  <c r="E913" i="1"/>
  <c r="F913" i="1"/>
  <c r="G913" i="1"/>
  <c r="C892" i="1"/>
  <c r="D892" i="1"/>
  <c r="E892" i="1"/>
  <c r="F892" i="1"/>
  <c r="G892" i="1"/>
  <c r="C891" i="1"/>
  <c r="D891" i="1"/>
  <c r="E891" i="1"/>
  <c r="F891" i="1"/>
  <c r="G891" i="1"/>
  <c r="C893" i="1"/>
  <c r="D893" i="1"/>
  <c r="E893" i="1"/>
  <c r="F893" i="1"/>
  <c r="G893" i="1"/>
  <c r="C883" i="1"/>
  <c r="D883" i="1"/>
  <c r="E883" i="1"/>
  <c r="F883" i="1"/>
  <c r="G883" i="1"/>
  <c r="C910" i="1"/>
  <c r="D910" i="1"/>
  <c r="E910" i="1"/>
  <c r="F910" i="1"/>
  <c r="G910" i="1"/>
  <c r="C911" i="1"/>
  <c r="D911" i="1"/>
  <c r="E911" i="1"/>
  <c r="F911" i="1"/>
  <c r="G911" i="1"/>
  <c r="C912" i="1"/>
  <c r="D912" i="1"/>
  <c r="E912" i="1"/>
  <c r="F912" i="1"/>
  <c r="G912" i="1"/>
  <c r="C905" i="1"/>
  <c r="D905" i="1"/>
  <c r="E905" i="1"/>
  <c r="F905" i="1"/>
  <c r="G905" i="1"/>
  <c r="C904" i="1"/>
  <c r="D904" i="1"/>
  <c r="E904" i="1"/>
  <c r="F904" i="1"/>
  <c r="G904" i="1"/>
  <c r="C906" i="1"/>
  <c r="D906" i="1"/>
  <c r="E906" i="1"/>
  <c r="F906" i="1"/>
  <c r="G906" i="1"/>
  <c r="C890" i="1"/>
  <c r="D890" i="1"/>
  <c r="E890" i="1"/>
  <c r="F890" i="1"/>
  <c r="G890" i="1"/>
  <c r="C899" i="1"/>
  <c r="D899" i="1"/>
  <c r="E899" i="1"/>
  <c r="F899" i="1"/>
  <c r="G899" i="1"/>
  <c r="C884" i="1"/>
  <c r="D884" i="1"/>
  <c r="E884" i="1"/>
  <c r="F884" i="1"/>
  <c r="G884" i="1"/>
  <c r="C881" i="1"/>
  <c r="D881" i="1"/>
  <c r="E881" i="1"/>
  <c r="F881" i="1"/>
  <c r="G881" i="1"/>
  <c r="C908" i="1"/>
  <c r="D908" i="1"/>
  <c r="E908" i="1"/>
  <c r="F908" i="1"/>
  <c r="G908" i="1"/>
  <c r="C782" i="1"/>
  <c r="D782" i="1"/>
  <c r="E782" i="1"/>
  <c r="F782" i="1"/>
  <c r="G782" i="1"/>
</calcChain>
</file>

<file path=xl/sharedStrings.xml><?xml version="1.0" encoding="utf-8"?>
<sst xmlns="http://schemas.openxmlformats.org/spreadsheetml/2006/main" count="11" uniqueCount="11">
  <si>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</si>
  <si>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</si>
  <si>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</si>
  <si>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</si>
  <si>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</si>
  <si>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</si>
  <si>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</si>
  <si>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</si>
  <si>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</si>
  <si>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r>
      <rPr>
        <sz val="10"/>
        <rFont val="Times New Roman"/>
        <family val="1"/>
        <charset val="204"/>
      </rPr>
      <t>АО "First Heartland Jusan Bank"</t>
    </r>
  </si>
  <si>
    <t>по состоянию на 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</si>
</sst>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/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3"/>
  <sheetViews>
    <sheetView tabSelected="1" zoomScale="90" zoomScaleNormal="90" workbookViewId="0">
      <selection activeCell="A4" sqref="A4:H4"/>
    </sheetView>
  </sheetViews>
  <sheetFormatPr defaultRowHeight="14.4" x14ac:dyDescent="0.3"/>
  <cols>
    <col min="1" max="1" width="13.5546875" bestFit="1" customWidth="1"/>
    <col min="4" max="4" width="63.33203125" customWidth="1"/>
    <col min="8" max="8" width="22.88671875" style="1" customWidth="1"/>
  </cols>
  <sheetData>
    <row r="2" spans="1:8" x14ac:dyDescent="0.3">
      <c r="A2" s="7" t="s">
        <v>8</v>
      </c>
      <c r="B2" s="7"/>
      <c r="C2" s="7"/>
      <c r="D2" s="7"/>
      <c r="E2" s="7"/>
      <c r="F2" s="7"/>
      <c r="G2" s="7"/>
      <c r="H2" s="7"/>
    </row>
    <row r="3" spans="1:8" x14ac:dyDescent="0.3">
      <c r="A3" s="8" t="s">
        <v>10</v>
      </c>
      <c r="B3" s="8"/>
      <c r="C3" s="8"/>
      <c r="D3" s="8"/>
      <c r="E3" s="8"/>
      <c r="F3" s="8"/>
      <c r="G3" s="8"/>
      <c r="H3" s="8"/>
    </row>
    <row r="4" spans="1:8" x14ac:dyDescent="0.3">
      <c r="A4" s="8" t="s">
        <v>9</v>
      </c>
      <c r="B4" s="8"/>
      <c r="C4" s="8"/>
      <c r="D4" s="8"/>
      <c r="E4" s="8"/>
      <c r="F4" s="8"/>
      <c r="G4" s="8"/>
      <c r="H4" s="8"/>
    </row>
    <row r="6" spans="1:8" ht="57.6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</row>
    <row r="7" spans="1:8" x14ac:dyDescent="0.3">
      <c r="A7" s="4">
        <v>44834</v>
      </c>
      <c r="B7" s="2">
        <v>36</v>
      </c>
      <c r="C7" s="2" t="str">
        <f>"1001"</f>
        <v>1001</v>
      </c>
      <c r="D7" s="2" t="str">
        <f>"Наличность в кассе"</f>
        <v>Наличность в кассе</v>
      </c>
      <c r="E7" s="2" t="str">
        <f>"2"</f>
        <v>2</v>
      </c>
      <c r="F7" s="2" t="str">
        <f>"3"</f>
        <v>3</v>
      </c>
      <c r="G7" s="2" t="str">
        <f>"3"</f>
        <v>3</v>
      </c>
      <c r="H7" s="3">
        <v>30042678233.380001</v>
      </c>
    </row>
    <row r="8" spans="1:8" x14ac:dyDescent="0.3">
      <c r="A8" s="4">
        <v>44834</v>
      </c>
      <c r="B8" s="2">
        <v>36</v>
      </c>
      <c r="C8" s="2" t="str">
        <f>"1001"</f>
        <v>1001</v>
      </c>
      <c r="D8" s="2" t="str">
        <f>"Наличность в кассе"</f>
        <v>Наличность в кассе</v>
      </c>
      <c r="E8" s="2" t="str">
        <f>"1"</f>
        <v>1</v>
      </c>
      <c r="F8" s="2" t="str">
        <f t="shared" ref="F8:F14" si="0">"3"</f>
        <v>3</v>
      </c>
      <c r="G8" s="2" t="str">
        <f>"1"</f>
        <v>1</v>
      </c>
      <c r="H8" s="3">
        <v>10792133104</v>
      </c>
    </row>
    <row r="9" spans="1:8" x14ac:dyDescent="0.3">
      <c r="A9" s="4">
        <v>44834</v>
      </c>
      <c r="B9" s="2">
        <v>36</v>
      </c>
      <c r="C9" s="2" t="str">
        <f>"1001"</f>
        <v>1001</v>
      </c>
      <c r="D9" s="2" t="str">
        <f>"Наличность в кассе"</f>
        <v>Наличность в кассе</v>
      </c>
      <c r="E9" s="2" t="str">
        <f>"2"</f>
        <v>2</v>
      </c>
      <c r="F9" s="2" t="str">
        <f t="shared" si="0"/>
        <v>3</v>
      </c>
      <c r="G9" s="2" t="str">
        <f>"2"</f>
        <v>2</v>
      </c>
      <c r="H9" s="3">
        <v>39827067902.169998</v>
      </c>
    </row>
    <row r="10" spans="1:8" x14ac:dyDescent="0.3">
      <c r="A10" s="4">
        <v>44834</v>
      </c>
      <c r="B10" s="2">
        <v>36</v>
      </c>
      <c r="C10" s="2" t="str">
        <f>"1002"</f>
        <v>1002</v>
      </c>
      <c r="D10" s="2" t="str">
        <f>"Банкноты и монеты в пути"</f>
        <v>Банкноты и монеты в пути</v>
      </c>
      <c r="E10" s="2" t="str">
        <f>"2"</f>
        <v>2</v>
      </c>
      <c r="F10" s="2" t="str">
        <f t="shared" si="0"/>
        <v>3</v>
      </c>
      <c r="G10" s="2" t="str">
        <f>"3"</f>
        <v>3</v>
      </c>
      <c r="H10" s="3">
        <v>370672200.80000001</v>
      </c>
    </row>
    <row r="11" spans="1:8" x14ac:dyDescent="0.3">
      <c r="A11" s="4">
        <v>44834</v>
      </c>
      <c r="B11" s="2">
        <v>36</v>
      </c>
      <c r="C11" s="2" t="str">
        <f>"1002"</f>
        <v>1002</v>
      </c>
      <c r="D11" s="2" t="str">
        <f>"Банкноты и монеты в пути"</f>
        <v>Банкноты и монеты в пути</v>
      </c>
      <c r="E11" s="2" t="str">
        <f>"2"</f>
        <v>2</v>
      </c>
      <c r="F11" s="2" t="str">
        <f t="shared" si="0"/>
        <v>3</v>
      </c>
      <c r="G11" s="2" t="str">
        <f>"2"</f>
        <v>2</v>
      </c>
      <c r="H11" s="3">
        <v>5648450293.8100004</v>
      </c>
    </row>
    <row r="12" spans="1:8" x14ac:dyDescent="0.3">
      <c r="A12" s="4">
        <v>44834</v>
      </c>
      <c r="B12" s="2">
        <v>36</v>
      </c>
      <c r="C12" s="2" t="str">
        <f>"1002"</f>
        <v>1002</v>
      </c>
      <c r="D12" s="2" t="str">
        <f>"Банкноты и монеты в пути"</f>
        <v>Банкноты и монеты в пути</v>
      </c>
      <c r="E12" s="2" t="str">
        <f>"1"</f>
        <v>1</v>
      </c>
      <c r="F12" s="2" t="str">
        <f t="shared" si="0"/>
        <v>3</v>
      </c>
      <c r="G12" s="2" t="str">
        <f>"1"</f>
        <v>1</v>
      </c>
      <c r="H12" s="3">
        <v>5454766325</v>
      </c>
    </row>
    <row r="13" spans="1:8" x14ac:dyDescent="0.3">
      <c r="A13" s="4">
        <v>44834</v>
      </c>
      <c r="B13" s="2">
        <v>36</v>
      </c>
      <c r="C13" s="2" t="str">
        <f>"1005"</f>
        <v>1005</v>
      </c>
      <c r="D13" s="2" t="str">
        <f>"Наличность в банкоматах и электронных терминалах"</f>
        <v>Наличность в банкоматах и электронных терминалах</v>
      </c>
      <c r="E13" s="2" t="str">
        <f>"1"</f>
        <v>1</v>
      </c>
      <c r="F13" s="2" t="str">
        <f t="shared" si="0"/>
        <v>3</v>
      </c>
      <c r="G13" s="2" t="str">
        <f>"1"</f>
        <v>1</v>
      </c>
      <c r="H13" s="3">
        <v>16343645700</v>
      </c>
    </row>
    <row r="14" spans="1:8" x14ac:dyDescent="0.3">
      <c r="A14" s="4">
        <v>44834</v>
      </c>
      <c r="B14" s="2">
        <v>36</v>
      </c>
      <c r="C14" s="2" t="str">
        <f>"1005"</f>
        <v>1005</v>
      </c>
      <c r="D14" s="2" t="str">
        <f>"Наличность в банкоматах и электронных терминалах"</f>
        <v>Наличность в банкоматах и электронных терминалах</v>
      </c>
      <c r="E14" s="2" t="str">
        <f>"2"</f>
        <v>2</v>
      </c>
      <c r="F14" s="2" t="str">
        <f t="shared" si="0"/>
        <v>3</v>
      </c>
      <c r="G14" s="2" t="str">
        <f>"2"</f>
        <v>2</v>
      </c>
      <c r="H14" s="3">
        <v>17733612</v>
      </c>
    </row>
    <row r="15" spans="1:8" x14ac:dyDescent="0.3">
      <c r="A15" s="4">
        <v>44834</v>
      </c>
      <c r="B15" s="2">
        <v>36</v>
      </c>
      <c r="C15" s="2" t="str">
        <f>"1011"</f>
        <v>1011</v>
      </c>
      <c r="D15" s="2" t="str">
        <f>"Аффинированные драгоценные металлы"</f>
        <v>Аффинированные драгоценные металлы</v>
      </c>
      <c r="E15" s="2" t="str">
        <f>""</f>
        <v/>
      </c>
      <c r="F15" s="2" t="str">
        <f>""</f>
        <v/>
      </c>
      <c r="G15" s="2" t="str">
        <f>""</f>
        <v/>
      </c>
      <c r="H15" s="3">
        <v>39090959.140000001</v>
      </c>
    </row>
    <row r="16" spans="1:8" x14ac:dyDescent="0.3">
      <c r="A16" s="4">
        <v>44834</v>
      </c>
      <c r="B16" s="2">
        <v>36</v>
      </c>
      <c r="C16" s="2" t="str">
        <f>"1012"</f>
        <v>1012</v>
      </c>
      <c r="D16" s="2" t="str">
        <f>"Аффинированные драгоценные металлы в пути"</f>
        <v>Аффинированные драгоценные металлы в пути</v>
      </c>
      <c r="E16" s="2" t="str">
        <f>""</f>
        <v/>
      </c>
      <c r="F16" s="2" t="str">
        <f>""</f>
        <v/>
      </c>
      <c r="G16" s="2" t="str">
        <f>""</f>
        <v/>
      </c>
      <c r="H16" s="3">
        <v>10254778.15</v>
      </c>
    </row>
    <row r="17" spans="1:8" x14ac:dyDescent="0.3">
      <c r="A17" s="4">
        <v>44834</v>
      </c>
      <c r="B17" s="2">
        <v>36</v>
      </c>
      <c r="C17" s="2" t="str">
        <f>"1013"</f>
        <v>1013</v>
      </c>
      <c r="D17" s="2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7" s="2" t="str">
        <f>"2"</f>
        <v>2</v>
      </c>
      <c r="F17" s="2" t="str">
        <f>"4"</f>
        <v>4</v>
      </c>
      <c r="G17" s="2" t="str">
        <f>""</f>
        <v/>
      </c>
      <c r="H17" s="3">
        <v>0</v>
      </c>
    </row>
    <row r="18" spans="1:8" x14ac:dyDescent="0.3">
      <c r="A18" s="4">
        <v>44834</v>
      </c>
      <c r="B18" s="2">
        <v>36</v>
      </c>
      <c r="C18" s="2" t="str">
        <f>"1051"</f>
        <v>1051</v>
      </c>
      <c r="D18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2" t="str">
        <f>"1"</f>
        <v>1</v>
      </c>
      <c r="F18" s="2" t="str">
        <f>"3"</f>
        <v>3</v>
      </c>
      <c r="G18" s="2" t="str">
        <f>"1"</f>
        <v>1</v>
      </c>
      <c r="H18" s="3">
        <v>15556409196.389999</v>
      </c>
    </row>
    <row r="19" spans="1:8" x14ac:dyDescent="0.3">
      <c r="A19" s="4">
        <v>44834</v>
      </c>
      <c r="B19" s="2">
        <v>36</v>
      </c>
      <c r="C19" s="2" t="str">
        <f>"1051"</f>
        <v>1051</v>
      </c>
      <c r="D19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2" t="str">
        <f>"1"</f>
        <v>1</v>
      </c>
      <c r="F19" s="2" t="str">
        <f>"3"</f>
        <v>3</v>
      </c>
      <c r="G19" s="2" t="str">
        <f>"2"</f>
        <v>2</v>
      </c>
      <c r="H19" s="3">
        <v>5416606446.6499996</v>
      </c>
    </row>
    <row r="20" spans="1:8" x14ac:dyDescent="0.3">
      <c r="A20" s="4">
        <v>44834</v>
      </c>
      <c r="B20" s="2">
        <v>36</v>
      </c>
      <c r="C20" s="2" t="str">
        <f t="shared" ref="C20:C30" si="1">"1052"</f>
        <v>1052</v>
      </c>
      <c r="D20" s="2" t="str">
        <f t="shared" ref="D20:D30" si="2">"Корреспондентские счета в других банках"</f>
        <v>Корреспондентские счета в других банках</v>
      </c>
      <c r="E20" s="2" t="str">
        <f>"1"</f>
        <v>1</v>
      </c>
      <c r="F20" s="2" t="str">
        <f>"4"</f>
        <v>4</v>
      </c>
      <c r="G20" s="2" t="str">
        <f>"3"</f>
        <v>3</v>
      </c>
      <c r="H20" s="3">
        <v>20169.849999999999</v>
      </c>
    </row>
    <row r="21" spans="1:8" x14ac:dyDescent="0.3">
      <c r="A21" s="4">
        <v>44834</v>
      </c>
      <c r="B21" s="2">
        <v>36</v>
      </c>
      <c r="C21" s="2" t="str">
        <f t="shared" si="1"/>
        <v>1052</v>
      </c>
      <c r="D21" s="2" t="str">
        <f t="shared" si="2"/>
        <v>Корреспондентские счета в других банках</v>
      </c>
      <c r="E21" s="2" t="str">
        <f>"2"</f>
        <v>2</v>
      </c>
      <c r="F21" s="2" t="str">
        <f>"5"</f>
        <v>5</v>
      </c>
      <c r="G21" s="2" t="str">
        <f>"3"</f>
        <v>3</v>
      </c>
      <c r="H21" s="3">
        <v>575411420.63</v>
      </c>
    </row>
    <row r="22" spans="1:8" x14ac:dyDescent="0.3">
      <c r="A22" s="4">
        <v>44834</v>
      </c>
      <c r="B22" s="2">
        <v>36</v>
      </c>
      <c r="C22" s="2" t="str">
        <f t="shared" si="1"/>
        <v>1052</v>
      </c>
      <c r="D22" s="2" t="str">
        <f t="shared" si="2"/>
        <v>Корреспондентские счета в других банках</v>
      </c>
      <c r="E22" s="2" t="str">
        <f>"1"</f>
        <v>1</v>
      </c>
      <c r="F22" s="2" t="str">
        <f>"4"</f>
        <v>4</v>
      </c>
      <c r="G22" s="2" t="str">
        <f>"1"</f>
        <v>1</v>
      </c>
      <c r="H22" s="3">
        <v>30002421.899999999</v>
      </c>
    </row>
    <row r="23" spans="1:8" x14ac:dyDescent="0.3">
      <c r="A23" s="4">
        <v>44834</v>
      </c>
      <c r="B23" s="2">
        <v>36</v>
      </c>
      <c r="C23" s="2" t="str">
        <f t="shared" si="1"/>
        <v>1052</v>
      </c>
      <c r="D23" s="2" t="str">
        <f t="shared" si="2"/>
        <v>Корреспондентские счета в других банках</v>
      </c>
      <c r="E23" s="2" t="str">
        <f t="shared" ref="E23:E28" si="3">"2"</f>
        <v>2</v>
      </c>
      <c r="F23" s="2" t="str">
        <f>"4"</f>
        <v>4</v>
      </c>
      <c r="G23" s="2" t="str">
        <f>"2"</f>
        <v>2</v>
      </c>
      <c r="H23" s="3">
        <v>97350460022.589996</v>
      </c>
    </row>
    <row r="24" spans="1:8" x14ac:dyDescent="0.3">
      <c r="A24" s="4">
        <v>44834</v>
      </c>
      <c r="B24" s="2">
        <v>36</v>
      </c>
      <c r="C24" s="2" t="str">
        <f t="shared" si="1"/>
        <v>1052</v>
      </c>
      <c r="D24" s="2" t="str">
        <f t="shared" si="2"/>
        <v>Корреспондентские счета в других банках</v>
      </c>
      <c r="E24" s="2" t="str">
        <f t="shared" si="3"/>
        <v>2</v>
      </c>
      <c r="F24" s="2" t="str">
        <f>"4"</f>
        <v>4</v>
      </c>
      <c r="G24" s="2" t="str">
        <f>"1"</f>
        <v>1</v>
      </c>
      <c r="H24" s="3">
        <v>55423.68</v>
      </c>
    </row>
    <row r="25" spans="1:8" x14ac:dyDescent="0.3">
      <c r="A25" s="4">
        <v>44834</v>
      </c>
      <c r="B25" s="2">
        <v>36</v>
      </c>
      <c r="C25" s="2" t="str">
        <f t="shared" si="1"/>
        <v>1052</v>
      </c>
      <c r="D25" s="2" t="str">
        <f t="shared" si="2"/>
        <v>Корреспондентские счета в других банках</v>
      </c>
      <c r="E25" s="2" t="str">
        <f t="shared" si="3"/>
        <v>2</v>
      </c>
      <c r="F25" s="2" t="str">
        <f>"5"</f>
        <v>5</v>
      </c>
      <c r="G25" s="2" t="str">
        <f>"2"</f>
        <v>2</v>
      </c>
      <c r="H25" s="3">
        <v>3242988584.9899998</v>
      </c>
    </row>
    <row r="26" spans="1:8" x14ac:dyDescent="0.3">
      <c r="A26" s="4">
        <v>44834</v>
      </c>
      <c r="B26" s="2">
        <v>36</v>
      </c>
      <c r="C26" s="2" t="str">
        <f t="shared" si="1"/>
        <v>1052</v>
      </c>
      <c r="D26" s="2" t="str">
        <f t="shared" si="2"/>
        <v>Корреспондентские счета в других банках</v>
      </c>
      <c r="E26" s="2" t="str">
        <f t="shared" si="3"/>
        <v>2</v>
      </c>
      <c r="F26" s="2" t="str">
        <f>"3"</f>
        <v>3</v>
      </c>
      <c r="G26" s="2" t="str">
        <f>"3"</f>
        <v>3</v>
      </c>
      <c r="H26" s="3">
        <v>50008807.82</v>
      </c>
    </row>
    <row r="27" spans="1:8" x14ac:dyDescent="0.3">
      <c r="A27" s="4">
        <v>44834</v>
      </c>
      <c r="B27" s="2">
        <v>36</v>
      </c>
      <c r="C27" s="2" t="str">
        <f t="shared" si="1"/>
        <v>1052</v>
      </c>
      <c r="D27" s="2" t="str">
        <f t="shared" si="2"/>
        <v>Корреспондентские счета в других банках</v>
      </c>
      <c r="E27" s="2" t="str">
        <f t="shared" si="3"/>
        <v>2</v>
      </c>
      <c r="F27" s="2" t="str">
        <f>"4"</f>
        <v>4</v>
      </c>
      <c r="G27" s="2" t="str">
        <f>"3"</f>
        <v>3</v>
      </c>
      <c r="H27" s="3">
        <v>6339695525.9200001</v>
      </c>
    </row>
    <row r="28" spans="1:8" x14ac:dyDescent="0.3">
      <c r="A28" s="4">
        <v>44834</v>
      </c>
      <c r="B28" s="2">
        <v>36</v>
      </c>
      <c r="C28" s="2" t="str">
        <f t="shared" si="1"/>
        <v>1052</v>
      </c>
      <c r="D28" s="2" t="str">
        <f t="shared" si="2"/>
        <v>Корреспондентские счета в других банках</v>
      </c>
      <c r="E28" s="2" t="str">
        <f t="shared" si="3"/>
        <v>2</v>
      </c>
      <c r="F28" s="2" t="str">
        <f>"5"</f>
        <v>5</v>
      </c>
      <c r="G28" s="2" t="str">
        <f>"1"</f>
        <v>1</v>
      </c>
      <c r="H28" s="3">
        <v>733908261.41999996</v>
      </c>
    </row>
    <row r="29" spans="1:8" x14ac:dyDescent="0.3">
      <c r="A29" s="4">
        <v>44834</v>
      </c>
      <c r="B29" s="2">
        <v>36</v>
      </c>
      <c r="C29" s="2" t="str">
        <f t="shared" si="1"/>
        <v>1052</v>
      </c>
      <c r="D29" s="2" t="str">
        <f t="shared" si="2"/>
        <v>Корреспондентские счета в других банках</v>
      </c>
      <c r="E29" s="2" t="str">
        <f>"1"</f>
        <v>1</v>
      </c>
      <c r="F29" s="2" t="str">
        <f>"5"</f>
        <v>5</v>
      </c>
      <c r="G29" s="2" t="str">
        <f>"2"</f>
        <v>2</v>
      </c>
      <c r="H29" s="3">
        <v>1286956315.3599999</v>
      </c>
    </row>
    <row r="30" spans="1:8" x14ac:dyDescent="0.3">
      <c r="A30" s="4">
        <v>44834</v>
      </c>
      <c r="B30" s="2">
        <v>36</v>
      </c>
      <c r="C30" s="2" t="str">
        <f t="shared" si="1"/>
        <v>1052</v>
      </c>
      <c r="D30" s="2" t="str">
        <f t="shared" si="2"/>
        <v>Корреспондентские счета в других банках</v>
      </c>
      <c r="E30" s="2" t="str">
        <f>"1"</f>
        <v>1</v>
      </c>
      <c r="F30" s="2" t="str">
        <f>"4"</f>
        <v>4</v>
      </c>
      <c r="G30" s="2" t="str">
        <f>"2"</f>
        <v>2</v>
      </c>
      <c r="H30" s="3">
        <v>6865384862.6300001</v>
      </c>
    </row>
    <row r="31" spans="1:8" x14ac:dyDescent="0.3">
      <c r="A31" s="4">
        <v>44834</v>
      </c>
      <c r="B31" s="2">
        <v>36</v>
      </c>
      <c r="C31" s="2" t="str">
        <f t="shared" ref="C31:C41" si="4">"1054"</f>
        <v>1054</v>
      </c>
      <c r="D31" s="2" t="str">
        <f t="shared" ref="D31:D41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1" s="2" t="str">
        <f>"1"</f>
        <v>1</v>
      </c>
      <c r="F31" s="2" t="str">
        <f>"4"</f>
        <v>4</v>
      </c>
      <c r="G31" s="2" t="str">
        <f>"2"</f>
        <v>2</v>
      </c>
      <c r="H31" s="3">
        <v>-18952.419999999998</v>
      </c>
    </row>
    <row r="32" spans="1:8" x14ac:dyDescent="0.3">
      <c r="A32" s="4">
        <v>44834</v>
      </c>
      <c r="B32" s="2">
        <v>36</v>
      </c>
      <c r="C32" s="2" t="str">
        <f t="shared" si="4"/>
        <v>1054</v>
      </c>
      <c r="D32" s="2" t="str">
        <f t="shared" si="5"/>
        <v>Резервы (провизии) по корреспондентским счетам в других банках и текущим счетам ипотечных организаций</v>
      </c>
      <c r="E32" s="2" t="str">
        <f>"1"</f>
        <v>1</v>
      </c>
      <c r="F32" s="2" t="str">
        <f>"5"</f>
        <v>5</v>
      </c>
      <c r="G32" s="2" t="str">
        <f>"2"</f>
        <v>2</v>
      </c>
      <c r="H32" s="3">
        <v>-1009938.74</v>
      </c>
    </row>
    <row r="33" spans="1:8" x14ac:dyDescent="0.3">
      <c r="A33" s="4">
        <v>44834</v>
      </c>
      <c r="B33" s="2">
        <v>36</v>
      </c>
      <c r="C33" s="2" t="str">
        <f t="shared" si="4"/>
        <v>1054</v>
      </c>
      <c r="D33" s="2" t="str">
        <f t="shared" si="5"/>
        <v>Резервы (провизии) по корреспондентским счетам в других банках и текущим счетам ипотечных организаций</v>
      </c>
      <c r="E33" s="2" t="str">
        <f>"1"</f>
        <v>1</v>
      </c>
      <c r="F33" s="2" t="str">
        <f>"4"</f>
        <v>4</v>
      </c>
      <c r="G33" s="2" t="str">
        <f>"3"</f>
        <v>3</v>
      </c>
      <c r="H33" s="3">
        <v>-0.12</v>
      </c>
    </row>
    <row r="34" spans="1:8" x14ac:dyDescent="0.3">
      <c r="A34" s="4">
        <v>44834</v>
      </c>
      <c r="B34" s="2">
        <v>36</v>
      </c>
      <c r="C34" s="2" t="str">
        <f t="shared" si="4"/>
        <v>1054</v>
      </c>
      <c r="D34" s="2" t="str">
        <f t="shared" si="5"/>
        <v>Резервы (провизии) по корреспондентским счетам в других банках и текущим счетам ипотечных организаций</v>
      </c>
      <c r="E34" s="2" t="str">
        <f t="shared" ref="E34:E39" si="6">"2"</f>
        <v>2</v>
      </c>
      <c r="F34" s="2" t="str">
        <f>"5"</f>
        <v>5</v>
      </c>
      <c r="G34" s="2" t="str">
        <f>"3"</f>
        <v>3</v>
      </c>
      <c r="H34" s="3">
        <v>-117739434.97</v>
      </c>
    </row>
    <row r="35" spans="1:8" x14ac:dyDescent="0.3">
      <c r="A35" s="4">
        <v>44834</v>
      </c>
      <c r="B35" s="2">
        <v>36</v>
      </c>
      <c r="C35" s="2" t="str">
        <f t="shared" si="4"/>
        <v>1054</v>
      </c>
      <c r="D35" s="2" t="str">
        <f t="shared" si="5"/>
        <v>Резервы (провизии) по корреспондентским счетам в других банках и текущим счетам ипотечных организаций</v>
      </c>
      <c r="E35" s="2" t="str">
        <f t="shared" si="6"/>
        <v>2</v>
      </c>
      <c r="F35" s="2" t="str">
        <f>"4"</f>
        <v>4</v>
      </c>
      <c r="G35" s="2" t="str">
        <f>"3"</f>
        <v>3</v>
      </c>
      <c r="H35" s="3">
        <v>-12586978.16</v>
      </c>
    </row>
    <row r="36" spans="1:8" x14ac:dyDescent="0.3">
      <c r="A36" s="4">
        <v>44834</v>
      </c>
      <c r="B36" s="2">
        <v>36</v>
      </c>
      <c r="C36" s="2" t="str">
        <f t="shared" si="4"/>
        <v>1054</v>
      </c>
      <c r="D36" s="2" t="str">
        <f t="shared" si="5"/>
        <v>Резервы (провизии) по корреспондентским счетам в других банках и текущим счетам ипотечных организаций</v>
      </c>
      <c r="E36" s="2" t="str">
        <f t="shared" si="6"/>
        <v>2</v>
      </c>
      <c r="F36" s="2" t="str">
        <f>"5"</f>
        <v>5</v>
      </c>
      <c r="G36" s="2" t="str">
        <f>"2"</f>
        <v>2</v>
      </c>
      <c r="H36" s="3">
        <v>-663645594.63999999</v>
      </c>
    </row>
    <row r="37" spans="1:8" x14ac:dyDescent="0.3">
      <c r="A37" s="4">
        <v>44834</v>
      </c>
      <c r="B37" s="2">
        <v>36</v>
      </c>
      <c r="C37" s="2" t="str">
        <f t="shared" si="4"/>
        <v>1054</v>
      </c>
      <c r="D37" s="2" t="str">
        <f t="shared" si="5"/>
        <v>Резервы (провизии) по корреспондентским счетам в других банках и текущим счетам ипотечных организаций</v>
      </c>
      <c r="E37" s="2" t="str">
        <f t="shared" si="6"/>
        <v>2</v>
      </c>
      <c r="F37" s="2" t="str">
        <f>"4"</f>
        <v>4</v>
      </c>
      <c r="G37" s="2" t="str">
        <f>"1"</f>
        <v>1</v>
      </c>
      <c r="H37" s="3">
        <v>-55423.68</v>
      </c>
    </row>
    <row r="38" spans="1:8" x14ac:dyDescent="0.3">
      <c r="A38" s="4">
        <v>44834</v>
      </c>
      <c r="B38" s="2">
        <v>36</v>
      </c>
      <c r="C38" s="2" t="str">
        <f t="shared" si="4"/>
        <v>1054</v>
      </c>
      <c r="D38" s="2" t="str">
        <f t="shared" si="5"/>
        <v>Резервы (провизии) по корреспондентским счетам в других банках и текущим счетам ипотечных организаций</v>
      </c>
      <c r="E38" s="2" t="str">
        <f t="shared" si="6"/>
        <v>2</v>
      </c>
      <c r="F38" s="2" t="str">
        <f>"5"</f>
        <v>5</v>
      </c>
      <c r="G38" s="2" t="str">
        <f>"1"</f>
        <v>1</v>
      </c>
      <c r="H38" s="3">
        <v>-150187079.41999999</v>
      </c>
    </row>
    <row r="39" spans="1:8" x14ac:dyDescent="0.3">
      <c r="A39" s="4">
        <v>44834</v>
      </c>
      <c r="B39" s="2">
        <v>36</v>
      </c>
      <c r="C39" s="2" t="str">
        <f t="shared" si="4"/>
        <v>1054</v>
      </c>
      <c r="D39" s="2" t="str">
        <f t="shared" si="5"/>
        <v>Резервы (провизии) по корреспондентским счетам в других банках и текущим счетам ипотечных организаций</v>
      </c>
      <c r="E39" s="2" t="str">
        <f t="shared" si="6"/>
        <v>2</v>
      </c>
      <c r="F39" s="2" t="str">
        <f>"3"</f>
        <v>3</v>
      </c>
      <c r="G39" s="2" t="str">
        <f>"3"</f>
        <v>3</v>
      </c>
      <c r="H39" s="3">
        <v>-296.91000000000003</v>
      </c>
    </row>
    <row r="40" spans="1:8" x14ac:dyDescent="0.3">
      <c r="A40" s="4">
        <v>44834</v>
      </c>
      <c r="B40" s="2">
        <v>36</v>
      </c>
      <c r="C40" s="2" t="str">
        <f t="shared" si="4"/>
        <v>1054</v>
      </c>
      <c r="D40" s="2" t="str">
        <f t="shared" si="5"/>
        <v>Резервы (провизии) по корреспондентским счетам в других банках и текущим счетам ипотечных организаций</v>
      </c>
      <c r="E40" s="2" t="str">
        <f>"1"</f>
        <v>1</v>
      </c>
      <c r="F40" s="2" t="str">
        <f>"4"</f>
        <v>4</v>
      </c>
      <c r="G40" s="2" t="str">
        <f>"1"</f>
        <v>1</v>
      </c>
      <c r="H40" s="3">
        <v>-135.68</v>
      </c>
    </row>
    <row r="41" spans="1:8" x14ac:dyDescent="0.3">
      <c r="A41" s="4">
        <v>44834</v>
      </c>
      <c r="B41" s="2">
        <v>36</v>
      </c>
      <c r="C41" s="2" t="str">
        <f t="shared" si="4"/>
        <v>1054</v>
      </c>
      <c r="D41" s="2" t="str">
        <f t="shared" si="5"/>
        <v>Резервы (провизии) по корреспондентским счетам в других банках и текущим счетам ипотечных организаций</v>
      </c>
      <c r="E41" s="2" t="str">
        <f>"2"</f>
        <v>2</v>
      </c>
      <c r="F41" s="2" t="str">
        <f>"4"</f>
        <v>4</v>
      </c>
      <c r="G41" s="2" t="str">
        <f>"2"</f>
        <v>2</v>
      </c>
      <c r="H41" s="3">
        <v>-598313.87</v>
      </c>
    </row>
    <row r="42" spans="1:8" x14ac:dyDescent="0.3">
      <c r="A42" s="4">
        <v>44834</v>
      </c>
      <c r="B42" s="2">
        <v>36</v>
      </c>
      <c r="C42" s="2" t="str">
        <f>"1055"</f>
        <v>1055</v>
      </c>
      <c r="D42" s="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2" s="2" t="str">
        <f t="shared" ref="E42:E51" si="7">"1"</f>
        <v>1</v>
      </c>
      <c r="F42" s="2" t="str">
        <f>"3"</f>
        <v>3</v>
      </c>
      <c r="G42" s="2" t="str">
        <f>"1"</f>
        <v>1</v>
      </c>
      <c r="H42" s="3">
        <v>1450632194.8399999</v>
      </c>
    </row>
    <row r="43" spans="1:8" x14ac:dyDescent="0.3">
      <c r="A43" s="4">
        <v>44834</v>
      </c>
      <c r="B43" s="2">
        <v>36</v>
      </c>
      <c r="C43" s="2" t="str">
        <f>"1101"</f>
        <v>1101</v>
      </c>
      <c r="D43" s="2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3" s="2" t="str">
        <f t="shared" si="7"/>
        <v>1</v>
      </c>
      <c r="F43" s="2" t="str">
        <f>"3"</f>
        <v>3</v>
      </c>
      <c r="G43" s="2" t="str">
        <f>"1"</f>
        <v>1</v>
      </c>
      <c r="H43" s="3">
        <v>80000000000</v>
      </c>
    </row>
    <row r="44" spans="1:8" x14ac:dyDescent="0.3">
      <c r="A44" s="4">
        <v>44834</v>
      </c>
      <c r="B44" s="2">
        <v>36</v>
      </c>
      <c r="C44" s="2" t="str">
        <f>"1103"</f>
        <v>1103</v>
      </c>
      <c r="D44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4" s="2" t="str">
        <f t="shared" si="7"/>
        <v>1</v>
      </c>
      <c r="F44" s="2" t="str">
        <f>"3"</f>
        <v>3</v>
      </c>
      <c r="G44" s="2" t="str">
        <f>"1"</f>
        <v>1</v>
      </c>
      <c r="H44" s="3">
        <v>240000000000</v>
      </c>
    </row>
    <row r="45" spans="1:8" x14ac:dyDescent="0.3">
      <c r="A45" s="4">
        <v>44834</v>
      </c>
      <c r="B45" s="2">
        <v>36</v>
      </c>
      <c r="C45" s="2" t="str">
        <f>"1103"</f>
        <v>1103</v>
      </c>
      <c r="D45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5" s="2" t="str">
        <f t="shared" si="7"/>
        <v>1</v>
      </c>
      <c r="F45" s="2" t="str">
        <f>"3"</f>
        <v>3</v>
      </c>
      <c r="G45" s="2" t="str">
        <f>"2"</f>
        <v>2</v>
      </c>
      <c r="H45" s="3">
        <v>214519500000</v>
      </c>
    </row>
    <row r="46" spans="1:8" x14ac:dyDescent="0.3">
      <c r="A46" s="4">
        <v>44834</v>
      </c>
      <c r="B46" s="2">
        <v>36</v>
      </c>
      <c r="C46" s="2" t="str">
        <f>"1201"</f>
        <v>1201</v>
      </c>
      <c r="D46" s="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6" s="2" t="str">
        <f t="shared" si="7"/>
        <v>1</v>
      </c>
      <c r="F46" s="2" t="str">
        <f>"4"</f>
        <v>4</v>
      </c>
      <c r="G46" s="2" t="str">
        <f t="shared" ref="G46:G51" si="8">"1"</f>
        <v>1</v>
      </c>
      <c r="H46" s="3">
        <v>200000000</v>
      </c>
    </row>
    <row r="47" spans="1:8" x14ac:dyDescent="0.3">
      <c r="A47" s="4">
        <v>44834</v>
      </c>
      <c r="B47" s="2">
        <v>36</v>
      </c>
      <c r="C47" s="2" t="str">
        <f>"1201"</f>
        <v>1201</v>
      </c>
      <c r="D47" s="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7" s="2" t="str">
        <f t="shared" si="7"/>
        <v>1</v>
      </c>
      <c r="F47" s="2" t="str">
        <f>"1"</f>
        <v>1</v>
      </c>
      <c r="G47" s="2" t="str">
        <f t="shared" si="8"/>
        <v>1</v>
      </c>
      <c r="H47" s="3">
        <v>1000</v>
      </c>
    </row>
    <row r="48" spans="1:8" x14ac:dyDescent="0.3">
      <c r="A48" s="4">
        <v>44834</v>
      </c>
      <c r="B48" s="2">
        <v>36</v>
      </c>
      <c r="C48" s="2" t="str">
        <f>"1205"</f>
        <v>1205</v>
      </c>
      <c r="D48" s="2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8" s="2" t="str">
        <f t="shared" si="7"/>
        <v>1</v>
      </c>
      <c r="F48" s="2" t="str">
        <f>"1"</f>
        <v>1</v>
      </c>
      <c r="G48" s="2" t="str">
        <f t="shared" si="8"/>
        <v>1</v>
      </c>
      <c r="H48" s="3">
        <v>-349.34</v>
      </c>
    </row>
    <row r="49" spans="1:8" x14ac:dyDescent="0.3">
      <c r="A49" s="4">
        <v>44834</v>
      </c>
      <c r="B49" s="2">
        <v>36</v>
      </c>
      <c r="C49" s="2" t="str">
        <f>"1205"</f>
        <v>1205</v>
      </c>
      <c r="D49" s="2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9" s="2" t="str">
        <f t="shared" si="7"/>
        <v>1</v>
      </c>
      <c r="F49" s="2" t="str">
        <f>"4"</f>
        <v>4</v>
      </c>
      <c r="G49" s="2" t="str">
        <f t="shared" si="8"/>
        <v>1</v>
      </c>
      <c r="H49" s="3">
        <v>-6579056.4299999997</v>
      </c>
    </row>
    <row r="50" spans="1:8" x14ac:dyDescent="0.3">
      <c r="A50" s="4">
        <v>44834</v>
      </c>
      <c r="B50" s="2">
        <v>36</v>
      </c>
      <c r="C50" s="2" t="str">
        <f>"1208"</f>
        <v>1208</v>
      </c>
      <c r="D50" s="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E50" s="2" t="str">
        <f t="shared" si="7"/>
        <v>1</v>
      </c>
      <c r="F50" s="2" t="str">
        <f>"1"</f>
        <v>1</v>
      </c>
      <c r="G50" s="2" t="str">
        <f t="shared" si="8"/>
        <v>1</v>
      </c>
      <c r="H50" s="3">
        <v>289.92</v>
      </c>
    </row>
    <row r="51" spans="1:8" x14ac:dyDescent="0.3">
      <c r="A51" s="4">
        <v>44834</v>
      </c>
      <c r="B51" s="2">
        <v>36</v>
      </c>
      <c r="C51" s="2" t="str">
        <f>"1209"</f>
        <v>1209</v>
      </c>
      <c r="D51" s="2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E51" s="2" t="str">
        <f t="shared" si="7"/>
        <v>1</v>
      </c>
      <c r="F51" s="2" t="str">
        <f>"4"</f>
        <v>4</v>
      </c>
      <c r="G51" s="2" t="str">
        <f t="shared" si="8"/>
        <v>1</v>
      </c>
      <c r="H51" s="3">
        <v>-5050348.87</v>
      </c>
    </row>
    <row r="52" spans="1:8" x14ac:dyDescent="0.3">
      <c r="A52" s="4">
        <v>44834</v>
      </c>
      <c r="B52" s="2">
        <v>36</v>
      </c>
      <c r="C52" s="2" t="str">
        <f>"1253"</f>
        <v>1253</v>
      </c>
      <c r="D52" s="2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52" s="2" t="str">
        <f>"2"</f>
        <v>2</v>
      </c>
      <c r="F52" s="2" t="str">
        <f>"3"</f>
        <v>3</v>
      </c>
      <c r="G52" s="2" t="str">
        <f>"2"</f>
        <v>2</v>
      </c>
      <c r="H52" s="3">
        <v>3736240000</v>
      </c>
    </row>
    <row r="53" spans="1:8" x14ac:dyDescent="0.3">
      <c r="A53" s="4">
        <v>44834</v>
      </c>
      <c r="B53" s="2">
        <v>36</v>
      </c>
      <c r="C53" s="2" t="str">
        <f>"1254"</f>
        <v>1254</v>
      </c>
      <c r="D53" s="2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53" s="2" t="str">
        <f>"1"</f>
        <v>1</v>
      </c>
      <c r="F53" s="2" t="str">
        <f>"4"</f>
        <v>4</v>
      </c>
      <c r="G53" s="2" t="str">
        <f>"1"</f>
        <v>1</v>
      </c>
      <c r="H53" s="3">
        <v>9900000000</v>
      </c>
    </row>
    <row r="54" spans="1:8" x14ac:dyDescent="0.3">
      <c r="A54" s="4">
        <v>44834</v>
      </c>
      <c r="B54" s="2">
        <v>36</v>
      </c>
      <c r="C54" s="2" t="str">
        <f>"1254"</f>
        <v>1254</v>
      </c>
      <c r="D54" s="2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54" s="2" t="str">
        <f>"2"</f>
        <v>2</v>
      </c>
      <c r="F54" s="2" t="str">
        <f>"4"</f>
        <v>4</v>
      </c>
      <c r="G54" s="2" t="str">
        <f>"2"</f>
        <v>2</v>
      </c>
      <c r="H54" s="3">
        <v>14301300000</v>
      </c>
    </row>
    <row r="55" spans="1:8" x14ac:dyDescent="0.3">
      <c r="A55" s="4">
        <v>44834</v>
      </c>
      <c r="B55" s="2">
        <v>36</v>
      </c>
      <c r="C55" s="2" t="str">
        <f>"1259"</f>
        <v>1259</v>
      </c>
      <c r="D55" s="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5" s="2" t="str">
        <f>"2"</f>
        <v>2</v>
      </c>
      <c r="F55" s="2" t="str">
        <f>"3"</f>
        <v>3</v>
      </c>
      <c r="G55" s="2" t="str">
        <f>"2"</f>
        <v>2</v>
      </c>
      <c r="H55" s="3">
        <v>-421569.3</v>
      </c>
    </row>
    <row r="56" spans="1:8" x14ac:dyDescent="0.3">
      <c r="A56" s="4">
        <v>44834</v>
      </c>
      <c r="B56" s="2">
        <v>36</v>
      </c>
      <c r="C56" s="2" t="str">
        <f>"1259"</f>
        <v>1259</v>
      </c>
      <c r="D56" s="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6" s="2" t="str">
        <f>"1"</f>
        <v>1</v>
      </c>
      <c r="F56" s="2" t="str">
        <f>"5"</f>
        <v>5</v>
      </c>
      <c r="G56" s="2" t="str">
        <f>"2"</f>
        <v>2</v>
      </c>
      <c r="H56" s="3">
        <v>-14963926.9</v>
      </c>
    </row>
    <row r="57" spans="1:8" x14ac:dyDescent="0.3">
      <c r="A57" s="4">
        <v>44834</v>
      </c>
      <c r="B57" s="2">
        <v>36</v>
      </c>
      <c r="C57" s="2" t="str">
        <f>"1259"</f>
        <v>1259</v>
      </c>
      <c r="D57" s="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7" s="2" t="str">
        <f>"2"</f>
        <v>2</v>
      </c>
      <c r="F57" s="2" t="str">
        <f>"5"</f>
        <v>5</v>
      </c>
      <c r="G57" s="2" t="str">
        <f>"2"</f>
        <v>2</v>
      </c>
      <c r="H57" s="3">
        <v>-3515059.32</v>
      </c>
    </row>
    <row r="58" spans="1:8" x14ac:dyDescent="0.3">
      <c r="A58" s="4">
        <v>44834</v>
      </c>
      <c r="B58" s="2">
        <v>36</v>
      </c>
      <c r="C58" s="2" t="str">
        <f>"1259"</f>
        <v>1259</v>
      </c>
      <c r="D58" s="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8" s="2" t="str">
        <f>"2"</f>
        <v>2</v>
      </c>
      <c r="F58" s="2" t="str">
        <f>"4"</f>
        <v>4</v>
      </c>
      <c r="G58" s="2" t="str">
        <f>"2"</f>
        <v>2</v>
      </c>
      <c r="H58" s="3">
        <v>-1882484.6</v>
      </c>
    </row>
    <row r="59" spans="1:8" x14ac:dyDescent="0.3">
      <c r="A59" s="4">
        <v>44834</v>
      </c>
      <c r="B59" s="2">
        <v>36</v>
      </c>
      <c r="C59" s="2" t="str">
        <f>"1259"</f>
        <v>1259</v>
      </c>
      <c r="D59" s="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9" s="2" t="str">
        <f>"1"</f>
        <v>1</v>
      </c>
      <c r="F59" s="2" t="str">
        <f>"5"</f>
        <v>5</v>
      </c>
      <c r="G59" s="2" t="str">
        <f>"1"</f>
        <v>1</v>
      </c>
      <c r="H59" s="3">
        <v>-43946</v>
      </c>
    </row>
    <row r="60" spans="1:8" x14ac:dyDescent="0.3">
      <c r="A60" s="4">
        <v>44834</v>
      </c>
      <c r="B60" s="2">
        <v>36</v>
      </c>
      <c r="C60" s="2" t="str">
        <f>"1264"</f>
        <v>1264</v>
      </c>
      <c r="D60" s="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60" s="2" t="str">
        <f>"2"</f>
        <v>2</v>
      </c>
      <c r="F60" s="2" t="str">
        <f>"5"</f>
        <v>5</v>
      </c>
      <c r="G60" s="2" t="str">
        <f>"2"</f>
        <v>2</v>
      </c>
      <c r="H60" s="3">
        <v>13298665494.059999</v>
      </c>
    </row>
    <row r="61" spans="1:8" x14ac:dyDescent="0.3">
      <c r="A61" s="4">
        <v>44834</v>
      </c>
      <c r="B61" s="2">
        <v>36</v>
      </c>
      <c r="C61" s="2" t="str">
        <f>"1267"</f>
        <v>1267</v>
      </c>
      <c r="D61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61" s="2" t="str">
        <f>"1"</f>
        <v>1</v>
      </c>
      <c r="F61" s="2" t="str">
        <f>"5"</f>
        <v>5</v>
      </c>
      <c r="G61" s="2" t="str">
        <f>"1"</f>
        <v>1</v>
      </c>
      <c r="H61" s="3">
        <v>56000000</v>
      </c>
    </row>
    <row r="62" spans="1:8" x14ac:dyDescent="0.3">
      <c r="A62" s="4">
        <v>44834</v>
      </c>
      <c r="B62" s="2">
        <v>36</v>
      </c>
      <c r="C62" s="2" t="str">
        <f>"1267"</f>
        <v>1267</v>
      </c>
      <c r="D62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62" s="2" t="str">
        <f>"2"</f>
        <v>2</v>
      </c>
      <c r="F62" s="2" t="str">
        <f>"4"</f>
        <v>4</v>
      </c>
      <c r="G62" s="2" t="str">
        <f t="shared" ref="G62:G67" si="9">"2"</f>
        <v>2</v>
      </c>
      <c r="H62" s="3">
        <v>1302079640</v>
      </c>
    </row>
    <row r="63" spans="1:8" x14ac:dyDescent="0.3">
      <c r="A63" s="4">
        <v>44834</v>
      </c>
      <c r="B63" s="2">
        <v>36</v>
      </c>
      <c r="C63" s="2" t="str">
        <f>"1267"</f>
        <v>1267</v>
      </c>
      <c r="D63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63" s="2" t="str">
        <f>"1"</f>
        <v>1</v>
      </c>
      <c r="F63" s="2" t="str">
        <f>"5"</f>
        <v>5</v>
      </c>
      <c r="G63" s="2" t="str">
        <f t="shared" si="9"/>
        <v>2</v>
      </c>
      <c r="H63" s="3">
        <v>19068400000</v>
      </c>
    </row>
    <row r="64" spans="1:8" x14ac:dyDescent="0.3">
      <c r="A64" s="4">
        <v>44834</v>
      </c>
      <c r="B64" s="2">
        <v>36</v>
      </c>
      <c r="C64" s="2" t="str">
        <f>"1302"</f>
        <v>1302</v>
      </c>
      <c r="D64" s="2" t="str">
        <f>"Краткосрочные займы, предоставленные другим банкам"</f>
        <v>Краткосрочные займы, предоставленные другим банкам</v>
      </c>
      <c r="E64" s="2" t="str">
        <f>"2"</f>
        <v>2</v>
      </c>
      <c r="F64" s="2" t="str">
        <f>"4"</f>
        <v>4</v>
      </c>
      <c r="G64" s="2" t="str">
        <f t="shared" si="9"/>
        <v>2</v>
      </c>
      <c r="H64" s="3">
        <v>1763827000</v>
      </c>
    </row>
    <row r="65" spans="1:8" x14ac:dyDescent="0.3">
      <c r="A65" s="4">
        <v>44834</v>
      </c>
      <c r="B65" s="2">
        <v>36</v>
      </c>
      <c r="C65" s="2" t="str">
        <f>"1304"</f>
        <v>1304</v>
      </c>
      <c r="D65" s="2" t="str">
        <f>"Долгосрочные займы, предоставленные другим банкам"</f>
        <v>Долгосрочные займы, предоставленные другим банкам</v>
      </c>
      <c r="E65" s="2" t="str">
        <f>"2"</f>
        <v>2</v>
      </c>
      <c r="F65" s="2" t="str">
        <f>"4"</f>
        <v>4</v>
      </c>
      <c r="G65" s="2" t="str">
        <f t="shared" si="9"/>
        <v>2</v>
      </c>
      <c r="H65" s="3">
        <v>38344330.579999998</v>
      </c>
    </row>
    <row r="66" spans="1:8" x14ac:dyDescent="0.3">
      <c r="A66" s="4">
        <v>44834</v>
      </c>
      <c r="B66" s="2">
        <v>36</v>
      </c>
      <c r="C66" s="2" t="str">
        <f>"1319"</f>
        <v>1319</v>
      </c>
      <c r="D66" s="2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6" s="2" t="str">
        <f>"2"</f>
        <v>2</v>
      </c>
      <c r="F66" s="2" t="str">
        <f>"4"</f>
        <v>4</v>
      </c>
      <c r="G66" s="2" t="str">
        <f t="shared" si="9"/>
        <v>2</v>
      </c>
      <c r="H66" s="3">
        <v>-14608980.85</v>
      </c>
    </row>
    <row r="67" spans="1:8" x14ac:dyDescent="0.3">
      <c r="A67" s="4">
        <v>44834</v>
      </c>
      <c r="B67" s="2">
        <v>36</v>
      </c>
      <c r="C67" s="2" t="str">
        <f>"1333"</f>
        <v>1333</v>
      </c>
      <c r="D67" s="2" t="str">
        <f>"Счет отрицательной корректировки справедливой стоимости займов, учитываемых по справедливой стоимости через прочий совокупный доход"</f>
        <v>Счет отрицательной корректировки справедливой стоимости займов, учитываемых по справедливой стоимости через прочий совокупный доход</v>
      </c>
      <c r="E67" s="2" t="str">
        <f>"1"</f>
        <v>1</v>
      </c>
      <c r="F67" s="2" t="str">
        <f>"1"</f>
        <v>1</v>
      </c>
      <c r="G67" s="2" t="str">
        <f t="shared" si="9"/>
        <v>2</v>
      </c>
      <c r="H67" s="3">
        <v>-1611947194</v>
      </c>
    </row>
    <row r="68" spans="1:8" x14ac:dyDescent="0.3">
      <c r="A68" s="4">
        <v>44834</v>
      </c>
      <c r="B68" s="2">
        <v>36</v>
      </c>
      <c r="C68" s="2" t="str">
        <f>"1333"</f>
        <v>1333</v>
      </c>
      <c r="D68" s="2" t="str">
        <f>"Счет отрицательной корректировки справедливой стоимости займов, учитываемых по справедливой стоимости через прочий совокупный доход"</f>
        <v>Счет отрицательной корректировки справедливой стоимости займов, учитываемых по справедливой стоимости через прочий совокупный доход</v>
      </c>
      <c r="E68" s="2" t="str">
        <f>"1"</f>
        <v>1</v>
      </c>
      <c r="F68" s="2" t="str">
        <f>"1"</f>
        <v>1</v>
      </c>
      <c r="G68" s="2" t="str">
        <f>"1"</f>
        <v>1</v>
      </c>
      <c r="H68" s="3">
        <v>-5111570646</v>
      </c>
    </row>
    <row r="69" spans="1:8" x14ac:dyDescent="0.3">
      <c r="A69" s="4">
        <v>44834</v>
      </c>
      <c r="B69" s="2">
        <v>36</v>
      </c>
      <c r="C69" s="2" t="str">
        <f>"1401"</f>
        <v>1401</v>
      </c>
      <c r="D69" s="2" t="str">
        <f>"Займы овердрафт, предоставленные клиентам"</f>
        <v>Займы овердрафт, предоставленные клиентам</v>
      </c>
      <c r="E69" s="2" t="str">
        <f t="shared" ref="E69:E78" si="10">"1"</f>
        <v>1</v>
      </c>
      <c r="F69" s="2" t="str">
        <f>"6"</f>
        <v>6</v>
      </c>
      <c r="G69" s="2" t="str">
        <f>"1"</f>
        <v>1</v>
      </c>
      <c r="H69" s="3">
        <v>20000000</v>
      </c>
    </row>
    <row r="70" spans="1:8" x14ac:dyDescent="0.3">
      <c r="A70" s="4">
        <v>44834</v>
      </c>
      <c r="B70" s="2">
        <v>36</v>
      </c>
      <c r="C70" s="2" t="str">
        <f>"1401"</f>
        <v>1401</v>
      </c>
      <c r="D70" s="2" t="str">
        <f>"Займы овердрафт, предоставленные клиентам"</f>
        <v>Займы овердрафт, предоставленные клиентам</v>
      </c>
      <c r="E70" s="2" t="str">
        <f t="shared" si="10"/>
        <v>1</v>
      </c>
      <c r="F70" s="2" t="str">
        <f>"9"</f>
        <v>9</v>
      </c>
      <c r="G70" s="2" t="str">
        <f>"1"</f>
        <v>1</v>
      </c>
      <c r="H70" s="3">
        <v>88500000</v>
      </c>
    </row>
    <row r="71" spans="1:8" x14ac:dyDescent="0.3">
      <c r="A71" s="4">
        <v>44834</v>
      </c>
      <c r="B71" s="2">
        <v>36</v>
      </c>
      <c r="C71" s="2" t="str">
        <f>"1401"</f>
        <v>1401</v>
      </c>
      <c r="D71" s="2" t="str">
        <f>"Займы овердрафт, предоставленные клиентам"</f>
        <v>Займы овердрафт, предоставленные клиентам</v>
      </c>
      <c r="E71" s="2" t="str">
        <f t="shared" si="10"/>
        <v>1</v>
      </c>
      <c r="F71" s="2" t="str">
        <f>"7"</f>
        <v>7</v>
      </c>
      <c r="G71" s="2" t="str">
        <f>"1"</f>
        <v>1</v>
      </c>
      <c r="H71" s="3">
        <v>2443264211</v>
      </c>
    </row>
    <row r="72" spans="1:8" x14ac:dyDescent="0.3">
      <c r="A72" s="4">
        <v>44834</v>
      </c>
      <c r="B72" s="2">
        <v>36</v>
      </c>
      <c r="C72" s="2" t="str">
        <f>"1403"</f>
        <v>1403</v>
      </c>
      <c r="D72" s="2" t="str">
        <f>"Счета по кредитным карточкам клиентов"</f>
        <v>Счета по кредитным карточкам клиентов</v>
      </c>
      <c r="E72" s="2" t="str">
        <f t="shared" si="10"/>
        <v>1</v>
      </c>
      <c r="F72" s="2" t="str">
        <f>"9"</f>
        <v>9</v>
      </c>
      <c r="G72" s="2" t="str">
        <f>"1"</f>
        <v>1</v>
      </c>
      <c r="H72" s="3">
        <v>1314146798.0599999</v>
      </c>
    </row>
    <row r="73" spans="1:8" x14ac:dyDescent="0.3">
      <c r="A73" s="4">
        <v>44834</v>
      </c>
      <c r="B73" s="2">
        <v>36</v>
      </c>
      <c r="C73" s="2" t="str">
        <f>"1403"</f>
        <v>1403</v>
      </c>
      <c r="D73" s="2" t="str">
        <f>"Счета по кредитным карточкам клиентов"</f>
        <v>Счета по кредитным карточкам клиентов</v>
      </c>
      <c r="E73" s="2" t="str">
        <f t="shared" si="10"/>
        <v>1</v>
      </c>
      <c r="F73" s="2" t="str">
        <f>"9"</f>
        <v>9</v>
      </c>
      <c r="G73" s="2" t="str">
        <f>"2"</f>
        <v>2</v>
      </c>
      <c r="H73" s="3">
        <v>517664.16</v>
      </c>
    </row>
    <row r="74" spans="1:8" x14ac:dyDescent="0.3">
      <c r="A74" s="4">
        <v>44834</v>
      </c>
      <c r="B74" s="2">
        <v>36</v>
      </c>
      <c r="C74" s="2" t="str">
        <f>"1403"</f>
        <v>1403</v>
      </c>
      <c r="D74" s="2" t="str">
        <f>"Счета по кредитным карточкам клиентов"</f>
        <v>Счета по кредитным карточкам клиентов</v>
      </c>
      <c r="E74" s="2" t="str">
        <f t="shared" si="10"/>
        <v>1</v>
      </c>
      <c r="F74" s="2" t="str">
        <f>"7"</f>
        <v>7</v>
      </c>
      <c r="G74" s="2" t="str">
        <f>"1"</f>
        <v>1</v>
      </c>
      <c r="H74" s="3">
        <v>172.22</v>
      </c>
    </row>
    <row r="75" spans="1:8" x14ac:dyDescent="0.3">
      <c r="A75" s="4">
        <v>44834</v>
      </c>
      <c r="B75" s="2">
        <v>36</v>
      </c>
      <c r="C75" s="2" t="str">
        <f t="shared" ref="C75:C80" si="11">"1411"</f>
        <v>1411</v>
      </c>
      <c r="D75" s="2" t="str">
        <f t="shared" ref="D75:D80" si="12">"Краткосрочные займы, предоставленные клиентам"</f>
        <v>Краткосрочные займы, предоставленные клиентам</v>
      </c>
      <c r="E75" s="2" t="str">
        <f t="shared" si="10"/>
        <v>1</v>
      </c>
      <c r="F75" s="2" t="str">
        <f>"7"</f>
        <v>7</v>
      </c>
      <c r="G75" s="2" t="str">
        <f>"2"</f>
        <v>2</v>
      </c>
      <c r="H75" s="3">
        <v>15297325956.25</v>
      </c>
    </row>
    <row r="76" spans="1:8" x14ac:dyDescent="0.3">
      <c r="A76" s="4">
        <v>44834</v>
      </c>
      <c r="B76" s="2">
        <v>36</v>
      </c>
      <c r="C76" s="2" t="str">
        <f t="shared" si="11"/>
        <v>1411</v>
      </c>
      <c r="D76" s="2" t="str">
        <f t="shared" si="12"/>
        <v>Краткосрочные займы, предоставленные клиентам</v>
      </c>
      <c r="E76" s="2" t="str">
        <f t="shared" si="10"/>
        <v>1</v>
      </c>
      <c r="F76" s="2" t="str">
        <f>"5"</f>
        <v>5</v>
      </c>
      <c r="G76" s="2" t="str">
        <f>"1"</f>
        <v>1</v>
      </c>
      <c r="H76" s="3">
        <v>8221597619.6499996</v>
      </c>
    </row>
    <row r="77" spans="1:8" x14ac:dyDescent="0.3">
      <c r="A77" s="4">
        <v>44834</v>
      </c>
      <c r="B77" s="2">
        <v>36</v>
      </c>
      <c r="C77" s="2" t="str">
        <f t="shared" si="11"/>
        <v>1411</v>
      </c>
      <c r="D77" s="2" t="str">
        <f t="shared" si="12"/>
        <v>Краткосрочные займы, предоставленные клиентам</v>
      </c>
      <c r="E77" s="2" t="str">
        <f t="shared" si="10"/>
        <v>1</v>
      </c>
      <c r="F77" s="2" t="str">
        <f>"9"</f>
        <v>9</v>
      </c>
      <c r="G77" s="2" t="str">
        <f>"1"</f>
        <v>1</v>
      </c>
      <c r="H77" s="3">
        <v>30582587174.990002</v>
      </c>
    </row>
    <row r="78" spans="1:8" x14ac:dyDescent="0.3">
      <c r="A78" s="4">
        <v>44834</v>
      </c>
      <c r="B78" s="2">
        <v>36</v>
      </c>
      <c r="C78" s="2" t="str">
        <f t="shared" si="11"/>
        <v>1411</v>
      </c>
      <c r="D78" s="2" t="str">
        <f t="shared" si="12"/>
        <v>Краткосрочные займы, предоставленные клиентам</v>
      </c>
      <c r="E78" s="2" t="str">
        <f t="shared" si="10"/>
        <v>1</v>
      </c>
      <c r="F78" s="2" t="str">
        <f>"7"</f>
        <v>7</v>
      </c>
      <c r="G78" s="2" t="str">
        <f>"1"</f>
        <v>1</v>
      </c>
      <c r="H78" s="3">
        <v>58229928695.5</v>
      </c>
    </row>
    <row r="79" spans="1:8" x14ac:dyDescent="0.3">
      <c r="A79" s="4">
        <v>44834</v>
      </c>
      <c r="B79" s="2">
        <v>36</v>
      </c>
      <c r="C79" s="2" t="str">
        <f t="shared" si="11"/>
        <v>1411</v>
      </c>
      <c r="D79" s="2" t="str">
        <f t="shared" si="12"/>
        <v>Краткосрочные займы, предоставленные клиентам</v>
      </c>
      <c r="E79" s="2" t="str">
        <f>"2"</f>
        <v>2</v>
      </c>
      <c r="F79" s="2" t="str">
        <f>"9"</f>
        <v>9</v>
      </c>
      <c r="G79" s="2" t="str">
        <f>"1"</f>
        <v>1</v>
      </c>
      <c r="H79" s="3">
        <v>532197.35</v>
      </c>
    </row>
    <row r="80" spans="1:8" x14ac:dyDescent="0.3">
      <c r="A80" s="4">
        <v>44834</v>
      </c>
      <c r="B80" s="2">
        <v>36</v>
      </c>
      <c r="C80" s="2" t="str">
        <f t="shared" si="11"/>
        <v>1411</v>
      </c>
      <c r="D80" s="2" t="str">
        <f t="shared" si="12"/>
        <v>Краткосрочные займы, предоставленные клиентам</v>
      </c>
      <c r="E80" s="2" t="str">
        <f t="shared" ref="E80:E85" si="13">"1"</f>
        <v>1</v>
      </c>
      <c r="F80" s="2" t="str">
        <f>"6"</f>
        <v>6</v>
      </c>
      <c r="G80" s="2" t="str">
        <f>"1"</f>
        <v>1</v>
      </c>
      <c r="H80" s="3">
        <v>31791666.649999999</v>
      </c>
    </row>
    <row r="81" spans="1:8" x14ac:dyDescent="0.3">
      <c r="A81" s="4">
        <v>44834</v>
      </c>
      <c r="B81" s="2">
        <v>36</v>
      </c>
      <c r="C81" s="2" t="str">
        <f t="shared" ref="C81:C88" si="14">"1417"</f>
        <v>1417</v>
      </c>
      <c r="D81" s="2" t="str">
        <f t="shared" ref="D81:D88" si="15">"Долгосрочные займы, предоставленные клиентам"</f>
        <v>Долгосрочные займы, предоставленные клиентам</v>
      </c>
      <c r="E81" s="2" t="str">
        <f t="shared" si="13"/>
        <v>1</v>
      </c>
      <c r="F81" s="2" t="str">
        <f>"7"</f>
        <v>7</v>
      </c>
      <c r="G81" s="2" t="str">
        <f>"2"</f>
        <v>2</v>
      </c>
      <c r="H81" s="3">
        <v>63824763349.25</v>
      </c>
    </row>
    <row r="82" spans="1:8" x14ac:dyDescent="0.3">
      <c r="A82" s="4">
        <v>44834</v>
      </c>
      <c r="B82" s="2">
        <v>36</v>
      </c>
      <c r="C82" s="2" t="str">
        <f t="shared" si="14"/>
        <v>1417</v>
      </c>
      <c r="D82" s="2" t="str">
        <f t="shared" si="15"/>
        <v>Долгосрочные займы, предоставленные клиентам</v>
      </c>
      <c r="E82" s="2" t="str">
        <f t="shared" si="13"/>
        <v>1</v>
      </c>
      <c r="F82" s="2" t="str">
        <f>"6"</f>
        <v>6</v>
      </c>
      <c r="G82" s="2" t="str">
        <f>"1"</f>
        <v>1</v>
      </c>
      <c r="H82" s="3">
        <v>14998481070.389999</v>
      </c>
    </row>
    <row r="83" spans="1:8" x14ac:dyDescent="0.3">
      <c r="A83" s="4">
        <v>44834</v>
      </c>
      <c r="B83" s="2">
        <v>36</v>
      </c>
      <c r="C83" s="2" t="str">
        <f t="shared" si="14"/>
        <v>1417</v>
      </c>
      <c r="D83" s="2" t="str">
        <f t="shared" si="15"/>
        <v>Долгосрочные займы, предоставленные клиентам</v>
      </c>
      <c r="E83" s="2" t="str">
        <f t="shared" si="13"/>
        <v>1</v>
      </c>
      <c r="F83" s="2" t="str">
        <f>"8"</f>
        <v>8</v>
      </c>
      <c r="G83" s="2" t="str">
        <f>"1"</f>
        <v>1</v>
      </c>
      <c r="H83" s="3">
        <v>575241716.99000001</v>
      </c>
    </row>
    <row r="84" spans="1:8" x14ac:dyDescent="0.3">
      <c r="A84" s="4">
        <v>44834</v>
      </c>
      <c r="B84" s="2">
        <v>36</v>
      </c>
      <c r="C84" s="2" t="str">
        <f t="shared" si="14"/>
        <v>1417</v>
      </c>
      <c r="D84" s="2" t="str">
        <f t="shared" si="15"/>
        <v>Долгосрочные займы, предоставленные клиентам</v>
      </c>
      <c r="E84" s="2" t="str">
        <f t="shared" si="13"/>
        <v>1</v>
      </c>
      <c r="F84" s="2" t="str">
        <f>"7"</f>
        <v>7</v>
      </c>
      <c r="G84" s="2" t="str">
        <f>"1"</f>
        <v>1</v>
      </c>
      <c r="H84" s="3">
        <v>319592604926.21002</v>
      </c>
    </row>
    <row r="85" spans="1:8" x14ac:dyDescent="0.3">
      <c r="A85" s="4">
        <v>44834</v>
      </c>
      <c r="B85" s="2">
        <v>36</v>
      </c>
      <c r="C85" s="2" t="str">
        <f t="shared" si="14"/>
        <v>1417</v>
      </c>
      <c r="D85" s="2" t="str">
        <f t="shared" si="15"/>
        <v>Долгосрочные займы, предоставленные клиентам</v>
      </c>
      <c r="E85" s="2" t="str">
        <f t="shared" si="13"/>
        <v>1</v>
      </c>
      <c r="F85" s="2" t="str">
        <f>"9"</f>
        <v>9</v>
      </c>
      <c r="G85" s="2" t="str">
        <f>"2"</f>
        <v>2</v>
      </c>
      <c r="H85" s="3">
        <v>1423300352.21</v>
      </c>
    </row>
    <row r="86" spans="1:8" x14ac:dyDescent="0.3">
      <c r="A86" s="4">
        <v>44834</v>
      </c>
      <c r="B86" s="2">
        <v>36</v>
      </c>
      <c r="C86" s="2" t="str">
        <f t="shared" si="14"/>
        <v>1417</v>
      </c>
      <c r="D86" s="2" t="str">
        <f t="shared" si="15"/>
        <v>Долгосрочные займы, предоставленные клиентам</v>
      </c>
      <c r="E86" s="2" t="str">
        <f>"2"</f>
        <v>2</v>
      </c>
      <c r="F86" s="2" t="str">
        <f>"9"</f>
        <v>9</v>
      </c>
      <c r="G86" s="2" t="str">
        <f t="shared" ref="G86:G91" si="16">"1"</f>
        <v>1</v>
      </c>
      <c r="H86" s="3">
        <v>89754530.890000001</v>
      </c>
    </row>
    <row r="87" spans="1:8" x14ac:dyDescent="0.3">
      <c r="A87" s="4">
        <v>44834</v>
      </c>
      <c r="B87" s="2">
        <v>36</v>
      </c>
      <c r="C87" s="2" t="str">
        <f t="shared" si="14"/>
        <v>1417</v>
      </c>
      <c r="D87" s="2" t="str">
        <f t="shared" si="15"/>
        <v>Долгосрочные займы, предоставленные клиентам</v>
      </c>
      <c r="E87" s="2" t="str">
        <f t="shared" ref="E87:E93" si="17">"1"</f>
        <v>1</v>
      </c>
      <c r="F87" s="2" t="str">
        <f>"5"</f>
        <v>5</v>
      </c>
      <c r="G87" s="2" t="str">
        <f t="shared" si="16"/>
        <v>1</v>
      </c>
      <c r="H87" s="3">
        <v>30606115267.080002</v>
      </c>
    </row>
    <row r="88" spans="1:8" x14ac:dyDescent="0.3">
      <c r="A88" s="4">
        <v>44834</v>
      </c>
      <c r="B88" s="2">
        <v>36</v>
      </c>
      <c r="C88" s="2" t="str">
        <f t="shared" si="14"/>
        <v>1417</v>
      </c>
      <c r="D88" s="2" t="str">
        <f t="shared" si="15"/>
        <v>Долгосрочные займы, предоставленные клиентам</v>
      </c>
      <c r="E88" s="2" t="str">
        <f t="shared" si="17"/>
        <v>1</v>
      </c>
      <c r="F88" s="2" t="str">
        <f>"9"</f>
        <v>9</v>
      </c>
      <c r="G88" s="2" t="str">
        <f t="shared" si="16"/>
        <v>1</v>
      </c>
      <c r="H88" s="3">
        <v>325980091228.40002</v>
      </c>
    </row>
    <row r="89" spans="1:8" x14ac:dyDescent="0.3">
      <c r="A89" s="4">
        <v>44834</v>
      </c>
      <c r="B89" s="2">
        <v>36</v>
      </c>
      <c r="C89" s="2" t="str">
        <f>"1421"</f>
        <v>1421</v>
      </c>
      <c r="D89" s="2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9" s="2" t="str">
        <f t="shared" si="17"/>
        <v>1</v>
      </c>
      <c r="F89" s="2" t="str">
        <f>"9"</f>
        <v>9</v>
      </c>
      <c r="G89" s="2" t="str">
        <f t="shared" si="16"/>
        <v>1</v>
      </c>
      <c r="H89" s="3">
        <v>11787019.189999999</v>
      </c>
    </row>
    <row r="90" spans="1:8" x14ac:dyDescent="0.3">
      <c r="A90" s="4">
        <v>44834</v>
      </c>
      <c r="B90" s="2">
        <v>36</v>
      </c>
      <c r="C90" s="2" t="str">
        <f>"1421"</f>
        <v>1421</v>
      </c>
      <c r="D90" s="2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90" s="2" t="str">
        <f t="shared" si="17"/>
        <v>1</v>
      </c>
      <c r="F90" s="2" t="str">
        <f>"7"</f>
        <v>7</v>
      </c>
      <c r="G90" s="2" t="str">
        <f t="shared" si="16"/>
        <v>1</v>
      </c>
      <c r="H90" s="3">
        <v>20472721.510000002</v>
      </c>
    </row>
    <row r="91" spans="1:8" x14ac:dyDescent="0.3">
      <c r="A91" s="4">
        <v>44834</v>
      </c>
      <c r="B91" s="2">
        <v>36</v>
      </c>
      <c r="C91" s="2" t="str">
        <f>"1422"</f>
        <v>1422</v>
      </c>
      <c r="D91" s="2" t="str">
        <f>"Форфейтинг клиентам"</f>
        <v>Форфейтинг клиентам</v>
      </c>
      <c r="E91" s="2" t="str">
        <f t="shared" si="17"/>
        <v>1</v>
      </c>
      <c r="F91" s="2" t="str">
        <f>"1"</f>
        <v>1</v>
      </c>
      <c r="G91" s="2" t="str">
        <f t="shared" si="16"/>
        <v>1</v>
      </c>
      <c r="H91" s="3">
        <v>87564600000</v>
      </c>
    </row>
    <row r="92" spans="1:8" x14ac:dyDescent="0.3">
      <c r="A92" s="4">
        <v>44834</v>
      </c>
      <c r="B92" s="2">
        <v>36</v>
      </c>
      <c r="C92" s="2" t="str">
        <f>"1422"</f>
        <v>1422</v>
      </c>
      <c r="D92" s="2" t="str">
        <f>"Форфейтинг клиентам"</f>
        <v>Форфейтинг клиентам</v>
      </c>
      <c r="E92" s="2" t="str">
        <f t="shared" si="17"/>
        <v>1</v>
      </c>
      <c r="F92" s="2" t="str">
        <f>"1"</f>
        <v>1</v>
      </c>
      <c r="G92" s="2" t="str">
        <f>"2"</f>
        <v>2</v>
      </c>
      <c r="H92" s="3">
        <v>26219050000</v>
      </c>
    </row>
    <row r="93" spans="1:8" x14ac:dyDescent="0.3">
      <c r="A93" s="4">
        <v>44834</v>
      </c>
      <c r="B93" s="2">
        <v>36</v>
      </c>
      <c r="C93" s="2" t="str">
        <f t="shared" ref="C93:C99" si="18">"1424"</f>
        <v>1424</v>
      </c>
      <c r="D93" s="2" t="str">
        <f t="shared" ref="D93:D99" si="19">"Просроченная задолженность клиентов по займам"</f>
        <v>Просроченная задолженность клиентов по займам</v>
      </c>
      <c r="E93" s="2" t="str">
        <f t="shared" si="17"/>
        <v>1</v>
      </c>
      <c r="F93" s="2" t="str">
        <f>"9"</f>
        <v>9</v>
      </c>
      <c r="G93" s="2" t="str">
        <f>"1"</f>
        <v>1</v>
      </c>
      <c r="H93" s="3">
        <v>29953277991.709999</v>
      </c>
    </row>
    <row r="94" spans="1:8" x14ac:dyDescent="0.3">
      <c r="A94" s="4">
        <v>44834</v>
      </c>
      <c r="B94" s="2">
        <v>36</v>
      </c>
      <c r="C94" s="2" t="str">
        <f t="shared" si="18"/>
        <v>1424</v>
      </c>
      <c r="D94" s="2" t="str">
        <f t="shared" si="19"/>
        <v>Просроченная задолженность клиентов по займам</v>
      </c>
      <c r="E94" s="2" t="str">
        <f>"2"</f>
        <v>2</v>
      </c>
      <c r="F94" s="2" t="str">
        <f>"9"</f>
        <v>9</v>
      </c>
      <c r="G94" s="2" t="str">
        <f>"1"</f>
        <v>1</v>
      </c>
      <c r="H94" s="3">
        <v>23125795.52</v>
      </c>
    </row>
    <row r="95" spans="1:8" x14ac:dyDescent="0.3">
      <c r="A95" s="4">
        <v>44834</v>
      </c>
      <c r="B95" s="2">
        <v>36</v>
      </c>
      <c r="C95" s="2" t="str">
        <f t="shared" si="18"/>
        <v>1424</v>
      </c>
      <c r="D95" s="2" t="str">
        <f t="shared" si="19"/>
        <v>Просроченная задолженность клиентов по займам</v>
      </c>
      <c r="E95" s="2" t="str">
        <f>"2"</f>
        <v>2</v>
      </c>
      <c r="F95" s="2" t="str">
        <f>"9"</f>
        <v>9</v>
      </c>
      <c r="G95" s="2" t="str">
        <f>"2"</f>
        <v>2</v>
      </c>
      <c r="H95" s="3">
        <v>651635.93999999994</v>
      </c>
    </row>
    <row r="96" spans="1:8" x14ac:dyDescent="0.3">
      <c r="A96" s="4">
        <v>44834</v>
      </c>
      <c r="B96" s="2">
        <v>36</v>
      </c>
      <c r="C96" s="2" t="str">
        <f t="shared" si="18"/>
        <v>1424</v>
      </c>
      <c r="D96" s="2" t="str">
        <f t="shared" si="19"/>
        <v>Просроченная задолженность клиентов по займам</v>
      </c>
      <c r="E96" s="2" t="str">
        <f>"1"</f>
        <v>1</v>
      </c>
      <c r="F96" s="2" t="str">
        <f>"7"</f>
        <v>7</v>
      </c>
      <c r="G96" s="2" t="str">
        <f>"1"</f>
        <v>1</v>
      </c>
      <c r="H96" s="3">
        <v>77123634901.929993</v>
      </c>
    </row>
    <row r="97" spans="1:8" x14ac:dyDescent="0.3">
      <c r="A97" s="4">
        <v>44834</v>
      </c>
      <c r="B97" s="2">
        <v>36</v>
      </c>
      <c r="C97" s="2" t="str">
        <f t="shared" si="18"/>
        <v>1424</v>
      </c>
      <c r="D97" s="2" t="str">
        <f t="shared" si="19"/>
        <v>Просроченная задолженность клиентов по займам</v>
      </c>
      <c r="E97" s="2" t="str">
        <f>"1"</f>
        <v>1</v>
      </c>
      <c r="F97" s="2" t="str">
        <f>"5"</f>
        <v>5</v>
      </c>
      <c r="G97" s="2" t="str">
        <f>"1"</f>
        <v>1</v>
      </c>
      <c r="H97" s="3">
        <v>694443752.08000004</v>
      </c>
    </row>
    <row r="98" spans="1:8" x14ac:dyDescent="0.3">
      <c r="A98" s="4">
        <v>44834</v>
      </c>
      <c r="B98" s="2">
        <v>36</v>
      </c>
      <c r="C98" s="2" t="str">
        <f t="shared" si="18"/>
        <v>1424</v>
      </c>
      <c r="D98" s="2" t="str">
        <f t="shared" si="19"/>
        <v>Просроченная задолженность клиентов по займам</v>
      </c>
      <c r="E98" s="2" t="str">
        <f>"1"</f>
        <v>1</v>
      </c>
      <c r="F98" s="2" t="str">
        <f>"9"</f>
        <v>9</v>
      </c>
      <c r="G98" s="2" t="str">
        <f>"2"</f>
        <v>2</v>
      </c>
      <c r="H98" s="3">
        <v>204079466.38</v>
      </c>
    </row>
    <row r="99" spans="1:8" x14ac:dyDescent="0.3">
      <c r="A99" s="4">
        <v>44834</v>
      </c>
      <c r="B99" s="2">
        <v>36</v>
      </c>
      <c r="C99" s="2" t="str">
        <f t="shared" si="18"/>
        <v>1424</v>
      </c>
      <c r="D99" s="2" t="str">
        <f t="shared" si="19"/>
        <v>Просроченная задолженность клиентов по займам</v>
      </c>
      <c r="E99" s="2" t="str">
        <f>"1"</f>
        <v>1</v>
      </c>
      <c r="F99" s="2" t="str">
        <f>"7"</f>
        <v>7</v>
      </c>
      <c r="G99" s="2" t="str">
        <f>"2"</f>
        <v>2</v>
      </c>
      <c r="H99" s="3">
        <v>28750721745.200001</v>
      </c>
    </row>
    <row r="100" spans="1:8" x14ac:dyDescent="0.3">
      <c r="A100" s="4">
        <v>44834</v>
      </c>
      <c r="B100" s="2">
        <v>36</v>
      </c>
      <c r="C100" s="2" t="str">
        <f t="shared" ref="C100:C107" si="20">"1428"</f>
        <v>1428</v>
      </c>
      <c r="D100" s="2" t="str">
        <f t="shared" ref="D100:D107" si="21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100" s="2" t="str">
        <f>"2"</f>
        <v>2</v>
      </c>
      <c r="F100" s="2" t="str">
        <f>"9"</f>
        <v>9</v>
      </c>
      <c r="G100" s="2" t="str">
        <f>"2"</f>
        <v>2</v>
      </c>
      <c r="H100" s="3">
        <v>-408941.9</v>
      </c>
    </row>
    <row r="101" spans="1:8" x14ac:dyDescent="0.3">
      <c r="A101" s="4">
        <v>44834</v>
      </c>
      <c r="B101" s="2">
        <v>36</v>
      </c>
      <c r="C101" s="2" t="str">
        <f t="shared" si="20"/>
        <v>1428</v>
      </c>
      <c r="D101" s="2" t="str">
        <f t="shared" si="21"/>
        <v>Резервы (провизии) по займам и финансовому лизингу, предоставленным клиентам</v>
      </c>
      <c r="E101" s="2" t="str">
        <f>"1"</f>
        <v>1</v>
      </c>
      <c r="F101" s="2" t="str">
        <f>"7"</f>
        <v>7</v>
      </c>
      <c r="G101" s="2" t="str">
        <f>"1"</f>
        <v>1</v>
      </c>
      <c r="H101" s="3">
        <v>-191737385041.95001</v>
      </c>
    </row>
    <row r="102" spans="1:8" x14ac:dyDescent="0.3">
      <c r="A102" s="4">
        <v>44834</v>
      </c>
      <c r="B102" s="2">
        <v>36</v>
      </c>
      <c r="C102" s="2" t="str">
        <f t="shared" si="20"/>
        <v>1428</v>
      </c>
      <c r="D102" s="2" t="str">
        <f t="shared" si="21"/>
        <v>Резервы (провизии) по займам и финансовому лизингу, предоставленным клиентам</v>
      </c>
      <c r="E102" s="2" t="str">
        <f>"1"</f>
        <v>1</v>
      </c>
      <c r="F102" s="2" t="str">
        <f>"5"</f>
        <v>5</v>
      </c>
      <c r="G102" s="2" t="str">
        <f>"1"</f>
        <v>1</v>
      </c>
      <c r="H102" s="3">
        <v>-341172954.32999998</v>
      </c>
    </row>
    <row r="103" spans="1:8" x14ac:dyDescent="0.3">
      <c r="A103" s="4">
        <v>44834</v>
      </c>
      <c r="B103" s="2">
        <v>36</v>
      </c>
      <c r="C103" s="2" t="str">
        <f t="shared" si="20"/>
        <v>1428</v>
      </c>
      <c r="D103" s="2" t="str">
        <f t="shared" si="21"/>
        <v>Резервы (провизии) по займам и финансовому лизингу, предоставленным клиентам</v>
      </c>
      <c r="E103" s="2" t="str">
        <f>"1"</f>
        <v>1</v>
      </c>
      <c r="F103" s="2" t="str">
        <f>"9"</f>
        <v>9</v>
      </c>
      <c r="G103" s="2" t="str">
        <f>"1"</f>
        <v>1</v>
      </c>
      <c r="H103" s="3">
        <v>-41921444224.230003</v>
      </c>
    </row>
    <row r="104" spans="1:8" x14ac:dyDescent="0.3">
      <c r="A104" s="4">
        <v>44834</v>
      </c>
      <c r="B104" s="2">
        <v>36</v>
      </c>
      <c r="C104" s="2" t="str">
        <f t="shared" si="20"/>
        <v>1428</v>
      </c>
      <c r="D104" s="2" t="str">
        <f t="shared" si="21"/>
        <v>Резервы (провизии) по займам и финансовому лизингу, предоставленным клиентам</v>
      </c>
      <c r="E104" s="2" t="str">
        <f>"1"</f>
        <v>1</v>
      </c>
      <c r="F104" s="2" t="str">
        <f>"6"</f>
        <v>6</v>
      </c>
      <c r="G104" s="2" t="str">
        <f>"1"</f>
        <v>1</v>
      </c>
      <c r="H104" s="3">
        <v>-40724488.969999999</v>
      </c>
    </row>
    <row r="105" spans="1:8" x14ac:dyDescent="0.3">
      <c r="A105" s="4">
        <v>44834</v>
      </c>
      <c r="B105" s="2">
        <v>36</v>
      </c>
      <c r="C105" s="2" t="str">
        <f t="shared" si="20"/>
        <v>1428</v>
      </c>
      <c r="D105" s="2" t="str">
        <f t="shared" si="21"/>
        <v>Резервы (провизии) по займам и финансовому лизингу, предоставленным клиентам</v>
      </c>
      <c r="E105" s="2" t="str">
        <f>"1"</f>
        <v>1</v>
      </c>
      <c r="F105" s="2" t="str">
        <f>"9"</f>
        <v>9</v>
      </c>
      <c r="G105" s="2" t="str">
        <f>"2"</f>
        <v>2</v>
      </c>
      <c r="H105" s="3">
        <v>-305682670</v>
      </c>
    </row>
    <row r="106" spans="1:8" x14ac:dyDescent="0.3">
      <c r="A106" s="4">
        <v>44834</v>
      </c>
      <c r="B106" s="2">
        <v>36</v>
      </c>
      <c r="C106" s="2" t="str">
        <f t="shared" si="20"/>
        <v>1428</v>
      </c>
      <c r="D106" s="2" t="str">
        <f t="shared" si="21"/>
        <v>Резервы (провизии) по займам и финансовому лизингу, предоставленным клиентам</v>
      </c>
      <c r="E106" s="2" t="str">
        <f>"2"</f>
        <v>2</v>
      </c>
      <c r="F106" s="2" t="str">
        <f>"9"</f>
        <v>9</v>
      </c>
      <c r="G106" s="2" t="str">
        <f>"1"</f>
        <v>1</v>
      </c>
      <c r="H106" s="3">
        <v>-57746283.93</v>
      </c>
    </row>
    <row r="107" spans="1:8" x14ac:dyDescent="0.3">
      <c r="A107" s="4">
        <v>44834</v>
      </c>
      <c r="B107" s="2">
        <v>36</v>
      </c>
      <c r="C107" s="2" t="str">
        <f t="shared" si="20"/>
        <v>1428</v>
      </c>
      <c r="D107" s="2" t="str">
        <f t="shared" si="21"/>
        <v>Резервы (провизии) по займам и финансовому лизингу, предоставленным клиентам</v>
      </c>
      <c r="E107" s="2" t="str">
        <f t="shared" ref="E107:E113" si="22">"1"</f>
        <v>1</v>
      </c>
      <c r="F107" s="2" t="str">
        <f>"7"</f>
        <v>7</v>
      </c>
      <c r="G107" s="2" t="str">
        <f>"2"</f>
        <v>2</v>
      </c>
      <c r="H107" s="3">
        <v>-78246147116.649994</v>
      </c>
    </row>
    <row r="108" spans="1:8" x14ac:dyDescent="0.3">
      <c r="A108" s="4">
        <v>44834</v>
      </c>
      <c r="B108" s="2">
        <v>36</v>
      </c>
      <c r="C108" s="2" t="str">
        <f>"1430"</f>
        <v>1430</v>
      </c>
      <c r="D108" s="2" t="str">
        <f>"Счет положительной корректировки стоимости займа, предоставленного клиентам"</f>
        <v>Счет положительной корректировки стоимости займа, предоставленного клиентам</v>
      </c>
      <c r="E108" s="2" t="str">
        <f t="shared" si="22"/>
        <v>1</v>
      </c>
      <c r="F108" s="2" t="str">
        <f>"7"</f>
        <v>7</v>
      </c>
      <c r="G108" s="2" t="str">
        <f t="shared" ref="G108:G114" si="23">"1"</f>
        <v>1</v>
      </c>
      <c r="H108" s="3">
        <v>360472786.05000001</v>
      </c>
    </row>
    <row r="109" spans="1:8" x14ac:dyDescent="0.3">
      <c r="A109" s="4">
        <v>44834</v>
      </c>
      <c r="B109" s="2">
        <v>36</v>
      </c>
      <c r="C109" s="2" t="str">
        <f>"1430"</f>
        <v>1430</v>
      </c>
      <c r="D109" s="2" t="str">
        <f>"Счет положительной корректировки стоимости займа, предоставленного клиентам"</f>
        <v>Счет положительной корректировки стоимости займа, предоставленного клиентам</v>
      </c>
      <c r="E109" s="2" t="str">
        <f t="shared" si="22"/>
        <v>1</v>
      </c>
      <c r="F109" s="2" t="str">
        <f>"9"</f>
        <v>9</v>
      </c>
      <c r="G109" s="2" t="str">
        <f t="shared" si="23"/>
        <v>1</v>
      </c>
      <c r="H109" s="3">
        <v>286764876.67000002</v>
      </c>
    </row>
    <row r="110" spans="1:8" x14ac:dyDescent="0.3">
      <c r="A110" s="4">
        <v>44834</v>
      </c>
      <c r="B110" s="2">
        <v>36</v>
      </c>
      <c r="C110" s="2" t="str">
        <f>"1431"</f>
        <v>1431</v>
      </c>
      <c r="D110" s="2" t="str">
        <f>"Счет отрицательной корректировки стоимости займа, предоставленного клиентам"</f>
        <v>Счет отрицательной корректировки стоимости займа, предоставленного клиентам</v>
      </c>
      <c r="E110" s="2" t="str">
        <f t="shared" si="22"/>
        <v>1</v>
      </c>
      <c r="F110" s="2" t="str">
        <f>"7"</f>
        <v>7</v>
      </c>
      <c r="G110" s="2" t="str">
        <f t="shared" si="23"/>
        <v>1</v>
      </c>
      <c r="H110" s="3">
        <v>-42576738491.339996</v>
      </c>
    </row>
    <row r="111" spans="1:8" x14ac:dyDescent="0.3">
      <c r="A111" s="4">
        <v>44834</v>
      </c>
      <c r="B111" s="2">
        <v>36</v>
      </c>
      <c r="C111" s="2" t="str">
        <f t="shared" ref="C111:C119" si="24">"1434"</f>
        <v>1434</v>
      </c>
      <c r="D111" s="2" t="str">
        <f t="shared" ref="D111:D119" si="25">"Дисконт по займам, предоставленным клиентам"</f>
        <v>Дисконт по займам, предоставленным клиентам</v>
      </c>
      <c r="E111" s="2" t="str">
        <f t="shared" si="22"/>
        <v>1</v>
      </c>
      <c r="F111" s="2" t="str">
        <f>"8"</f>
        <v>8</v>
      </c>
      <c r="G111" s="2" t="str">
        <f t="shared" si="23"/>
        <v>1</v>
      </c>
      <c r="H111" s="3">
        <v>-907871.98</v>
      </c>
    </row>
    <row r="112" spans="1:8" x14ac:dyDescent="0.3">
      <c r="A112" s="4">
        <v>44834</v>
      </c>
      <c r="B112" s="2">
        <v>36</v>
      </c>
      <c r="C112" s="2" t="str">
        <f t="shared" si="24"/>
        <v>1434</v>
      </c>
      <c r="D112" s="2" t="str">
        <f t="shared" si="25"/>
        <v>Дисконт по займам, предоставленным клиентам</v>
      </c>
      <c r="E112" s="2" t="str">
        <f t="shared" si="22"/>
        <v>1</v>
      </c>
      <c r="F112" s="2" t="str">
        <f>"6"</f>
        <v>6</v>
      </c>
      <c r="G112" s="2" t="str">
        <f t="shared" si="23"/>
        <v>1</v>
      </c>
      <c r="H112" s="3">
        <v>-26507222.359999999</v>
      </c>
    </row>
    <row r="113" spans="1:8" x14ac:dyDescent="0.3">
      <c r="A113" s="4">
        <v>44834</v>
      </c>
      <c r="B113" s="2">
        <v>36</v>
      </c>
      <c r="C113" s="2" t="str">
        <f t="shared" si="24"/>
        <v>1434</v>
      </c>
      <c r="D113" s="2" t="str">
        <f t="shared" si="25"/>
        <v>Дисконт по займам, предоставленным клиентам</v>
      </c>
      <c r="E113" s="2" t="str">
        <f t="shared" si="22"/>
        <v>1</v>
      </c>
      <c r="F113" s="2" t="str">
        <f>"7"</f>
        <v>7</v>
      </c>
      <c r="G113" s="2" t="str">
        <f t="shared" si="23"/>
        <v>1</v>
      </c>
      <c r="H113" s="3">
        <v>-21591852454.700001</v>
      </c>
    </row>
    <row r="114" spans="1:8" x14ac:dyDescent="0.3">
      <c r="A114" s="4">
        <v>44834</v>
      </c>
      <c r="B114" s="2">
        <v>36</v>
      </c>
      <c r="C114" s="2" t="str">
        <f t="shared" si="24"/>
        <v>1434</v>
      </c>
      <c r="D114" s="2" t="str">
        <f t="shared" si="25"/>
        <v>Дисконт по займам, предоставленным клиентам</v>
      </c>
      <c r="E114" s="2" t="str">
        <f>"2"</f>
        <v>2</v>
      </c>
      <c r="F114" s="2" t="str">
        <f>"7"</f>
        <v>7</v>
      </c>
      <c r="G114" s="2" t="str">
        <f t="shared" si="23"/>
        <v>1</v>
      </c>
      <c r="H114" s="3">
        <v>-1870443877.25</v>
      </c>
    </row>
    <row r="115" spans="1:8" x14ac:dyDescent="0.3">
      <c r="A115" s="4">
        <v>44834</v>
      </c>
      <c r="B115" s="2">
        <v>36</v>
      </c>
      <c r="C115" s="2" t="str">
        <f t="shared" si="24"/>
        <v>1434</v>
      </c>
      <c r="D115" s="2" t="str">
        <f t="shared" si="25"/>
        <v>Дисконт по займам, предоставленным клиентам</v>
      </c>
      <c r="E115" s="2" t="str">
        <f>"1"</f>
        <v>1</v>
      </c>
      <c r="F115" s="2" t="str">
        <f>"9"</f>
        <v>9</v>
      </c>
      <c r="G115" s="2" t="str">
        <f>"2"</f>
        <v>2</v>
      </c>
      <c r="H115" s="3">
        <v>-3364061.43</v>
      </c>
    </row>
    <row r="116" spans="1:8" x14ac:dyDescent="0.3">
      <c r="A116" s="4">
        <v>44834</v>
      </c>
      <c r="B116" s="2">
        <v>36</v>
      </c>
      <c r="C116" s="2" t="str">
        <f t="shared" si="24"/>
        <v>1434</v>
      </c>
      <c r="D116" s="2" t="str">
        <f t="shared" si="25"/>
        <v>Дисконт по займам, предоставленным клиентам</v>
      </c>
      <c r="E116" s="2" t="str">
        <f>"2"</f>
        <v>2</v>
      </c>
      <c r="F116" s="2" t="str">
        <f>"9"</f>
        <v>9</v>
      </c>
      <c r="G116" s="2" t="str">
        <f>"1"</f>
        <v>1</v>
      </c>
      <c r="H116" s="3">
        <v>-2895712.76</v>
      </c>
    </row>
    <row r="117" spans="1:8" x14ac:dyDescent="0.3">
      <c r="A117" s="4">
        <v>44834</v>
      </c>
      <c r="B117" s="2">
        <v>36</v>
      </c>
      <c r="C117" s="2" t="str">
        <f t="shared" si="24"/>
        <v>1434</v>
      </c>
      <c r="D117" s="2" t="str">
        <f t="shared" si="25"/>
        <v>Дисконт по займам, предоставленным клиентам</v>
      </c>
      <c r="E117" s="2" t="str">
        <f t="shared" ref="E117:E125" si="26">"1"</f>
        <v>1</v>
      </c>
      <c r="F117" s="2" t="str">
        <f>"7"</f>
        <v>7</v>
      </c>
      <c r="G117" s="2" t="str">
        <f>"2"</f>
        <v>2</v>
      </c>
      <c r="H117" s="3">
        <v>-368079694.47000003</v>
      </c>
    </row>
    <row r="118" spans="1:8" x14ac:dyDescent="0.3">
      <c r="A118" s="4">
        <v>44834</v>
      </c>
      <c r="B118" s="2">
        <v>36</v>
      </c>
      <c r="C118" s="2" t="str">
        <f t="shared" si="24"/>
        <v>1434</v>
      </c>
      <c r="D118" s="2" t="str">
        <f t="shared" si="25"/>
        <v>Дисконт по займам, предоставленным клиентам</v>
      </c>
      <c r="E118" s="2" t="str">
        <f t="shared" si="26"/>
        <v>1</v>
      </c>
      <c r="F118" s="2" t="str">
        <f>"9"</f>
        <v>9</v>
      </c>
      <c r="G118" s="2" t="str">
        <f>"1"</f>
        <v>1</v>
      </c>
      <c r="H118" s="3">
        <v>-12332364473.34</v>
      </c>
    </row>
    <row r="119" spans="1:8" x14ac:dyDescent="0.3">
      <c r="A119" s="4">
        <v>44834</v>
      </c>
      <c r="B119" s="2">
        <v>36</v>
      </c>
      <c r="C119" s="2" t="str">
        <f t="shared" si="24"/>
        <v>1434</v>
      </c>
      <c r="D119" s="2" t="str">
        <f t="shared" si="25"/>
        <v>Дисконт по займам, предоставленным клиентам</v>
      </c>
      <c r="E119" s="2" t="str">
        <f t="shared" si="26"/>
        <v>1</v>
      </c>
      <c r="F119" s="2" t="str">
        <f>"5"</f>
        <v>5</v>
      </c>
      <c r="G119" s="2" t="str">
        <f>"1"</f>
        <v>1</v>
      </c>
      <c r="H119" s="3">
        <v>-2334993379.9000001</v>
      </c>
    </row>
    <row r="120" spans="1:8" x14ac:dyDescent="0.3">
      <c r="A120" s="4">
        <v>44834</v>
      </c>
      <c r="B120" s="2">
        <v>36</v>
      </c>
      <c r="C120" s="2" t="str">
        <f t="shared" ref="C120:C126" si="27">"1435"</f>
        <v>1435</v>
      </c>
      <c r="D120" s="2" t="str">
        <f t="shared" ref="D120:D126" si="28">"Премия по займам, предоставленным клиентам"</f>
        <v>Премия по займам, предоставленным клиентам</v>
      </c>
      <c r="E120" s="2" t="str">
        <f t="shared" si="26"/>
        <v>1</v>
      </c>
      <c r="F120" s="2" t="str">
        <f>"7"</f>
        <v>7</v>
      </c>
      <c r="G120" s="2" t="str">
        <f>"2"</f>
        <v>2</v>
      </c>
      <c r="H120" s="3">
        <v>2539805176.4699998</v>
      </c>
    </row>
    <row r="121" spans="1:8" x14ac:dyDescent="0.3">
      <c r="A121" s="4">
        <v>44834</v>
      </c>
      <c r="B121" s="2">
        <v>36</v>
      </c>
      <c r="C121" s="2" t="str">
        <f t="shared" si="27"/>
        <v>1435</v>
      </c>
      <c r="D121" s="2" t="str">
        <f t="shared" si="28"/>
        <v>Премия по займам, предоставленным клиентам</v>
      </c>
      <c r="E121" s="2" t="str">
        <f t="shared" si="26"/>
        <v>1</v>
      </c>
      <c r="F121" s="2" t="str">
        <f>"9"</f>
        <v>9</v>
      </c>
      <c r="G121" s="2" t="str">
        <f>"1"</f>
        <v>1</v>
      </c>
      <c r="H121" s="3">
        <v>14775632517.25</v>
      </c>
    </row>
    <row r="122" spans="1:8" x14ac:dyDescent="0.3">
      <c r="A122" s="4">
        <v>44834</v>
      </c>
      <c r="B122" s="2">
        <v>36</v>
      </c>
      <c r="C122" s="2" t="str">
        <f t="shared" si="27"/>
        <v>1435</v>
      </c>
      <c r="D122" s="2" t="str">
        <f t="shared" si="28"/>
        <v>Премия по займам, предоставленным клиентам</v>
      </c>
      <c r="E122" s="2" t="str">
        <f t="shared" si="26"/>
        <v>1</v>
      </c>
      <c r="F122" s="2" t="str">
        <f>"7"</f>
        <v>7</v>
      </c>
      <c r="G122" s="2" t="str">
        <f>"1"</f>
        <v>1</v>
      </c>
      <c r="H122" s="3">
        <v>24720087703.580002</v>
      </c>
    </row>
    <row r="123" spans="1:8" x14ac:dyDescent="0.3">
      <c r="A123" s="4">
        <v>44834</v>
      </c>
      <c r="B123" s="2">
        <v>36</v>
      </c>
      <c r="C123" s="2" t="str">
        <f t="shared" si="27"/>
        <v>1435</v>
      </c>
      <c r="D123" s="2" t="str">
        <f t="shared" si="28"/>
        <v>Премия по займам, предоставленным клиентам</v>
      </c>
      <c r="E123" s="2" t="str">
        <f t="shared" si="26"/>
        <v>1</v>
      </c>
      <c r="F123" s="2" t="str">
        <f>"9"</f>
        <v>9</v>
      </c>
      <c r="G123" s="2" t="str">
        <f>"2"</f>
        <v>2</v>
      </c>
      <c r="H123" s="3">
        <v>9791.6200000000008</v>
      </c>
    </row>
    <row r="124" spans="1:8" x14ac:dyDescent="0.3">
      <c r="A124" s="4">
        <v>44834</v>
      </c>
      <c r="B124" s="2">
        <v>36</v>
      </c>
      <c r="C124" s="2" t="str">
        <f t="shared" si="27"/>
        <v>1435</v>
      </c>
      <c r="D124" s="2" t="str">
        <f t="shared" si="28"/>
        <v>Премия по займам, предоставленным клиентам</v>
      </c>
      <c r="E124" s="2" t="str">
        <f t="shared" si="26"/>
        <v>1</v>
      </c>
      <c r="F124" s="2" t="str">
        <f>"5"</f>
        <v>5</v>
      </c>
      <c r="G124" s="2" t="str">
        <f t="shared" ref="G124:G129" si="29">"1"</f>
        <v>1</v>
      </c>
      <c r="H124" s="3">
        <v>85475633.340000004</v>
      </c>
    </row>
    <row r="125" spans="1:8" x14ac:dyDescent="0.3">
      <c r="A125" s="4">
        <v>44834</v>
      </c>
      <c r="B125" s="2">
        <v>36</v>
      </c>
      <c r="C125" s="2" t="str">
        <f t="shared" si="27"/>
        <v>1435</v>
      </c>
      <c r="D125" s="2" t="str">
        <f t="shared" si="28"/>
        <v>Премия по займам, предоставленным клиентам</v>
      </c>
      <c r="E125" s="2" t="str">
        <f t="shared" si="26"/>
        <v>1</v>
      </c>
      <c r="F125" s="2" t="str">
        <f>"8"</f>
        <v>8</v>
      </c>
      <c r="G125" s="2" t="str">
        <f t="shared" si="29"/>
        <v>1</v>
      </c>
      <c r="H125" s="3">
        <v>799768.75</v>
      </c>
    </row>
    <row r="126" spans="1:8" x14ac:dyDescent="0.3">
      <c r="A126" s="4">
        <v>44834</v>
      </c>
      <c r="B126" s="2">
        <v>36</v>
      </c>
      <c r="C126" s="2" t="str">
        <f t="shared" si="27"/>
        <v>1435</v>
      </c>
      <c r="D126" s="2" t="str">
        <f t="shared" si="28"/>
        <v>Премия по займам, предоставленным клиентам</v>
      </c>
      <c r="E126" s="2" t="str">
        <f>"2"</f>
        <v>2</v>
      </c>
      <c r="F126" s="2" t="str">
        <f>"9"</f>
        <v>9</v>
      </c>
      <c r="G126" s="2" t="str">
        <f t="shared" si="29"/>
        <v>1</v>
      </c>
      <c r="H126" s="3">
        <v>50932.49</v>
      </c>
    </row>
    <row r="127" spans="1:8" x14ac:dyDescent="0.3">
      <c r="A127" s="4">
        <v>44834</v>
      </c>
      <c r="B127" s="2">
        <v>36</v>
      </c>
      <c r="C127" s="2" t="str">
        <f t="shared" ref="C127:C132" si="30">"1452"</f>
        <v>1452</v>
      </c>
      <c r="D127" s="2" t="str">
        <f t="shared" ref="D127:D132" si="31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27" s="2" t="str">
        <f>"1"</f>
        <v>1</v>
      </c>
      <c r="F127" s="2" t="str">
        <f>"1"</f>
        <v>1</v>
      </c>
      <c r="G127" s="2" t="str">
        <f t="shared" si="29"/>
        <v>1</v>
      </c>
      <c r="H127" s="3">
        <v>182212007000</v>
      </c>
    </row>
    <row r="128" spans="1:8" x14ac:dyDescent="0.3">
      <c r="A128" s="4">
        <v>44834</v>
      </c>
      <c r="B128" s="2">
        <v>36</v>
      </c>
      <c r="C128" s="2" t="str">
        <f t="shared" si="30"/>
        <v>1452</v>
      </c>
      <c r="D128" s="2" t="str">
        <f t="shared" si="31"/>
        <v>Ценные бумаги, учитываемые по справедливой стоимости через прочий совокупный доход</v>
      </c>
      <c r="E128" s="2" t="str">
        <f t="shared" ref="E128:E148" si="32">"1"</f>
        <v>1</v>
      </c>
      <c r="F128" s="2" t="str">
        <f>"7"</f>
        <v>7</v>
      </c>
      <c r="G128" s="2" t="str">
        <f t="shared" si="29"/>
        <v>1</v>
      </c>
      <c r="H128" s="3">
        <v>21280939069.330002</v>
      </c>
    </row>
    <row r="129" spans="1:8" x14ac:dyDescent="0.3">
      <c r="A129" s="4">
        <v>44834</v>
      </c>
      <c r="B129" s="2">
        <v>36</v>
      </c>
      <c r="C129" s="2" t="str">
        <f t="shared" si="30"/>
        <v>1452</v>
      </c>
      <c r="D129" s="2" t="str">
        <f t="shared" si="31"/>
        <v>Ценные бумаги, учитываемые по справедливой стоимости через прочий совокупный доход</v>
      </c>
      <c r="E129" s="2" t="str">
        <f t="shared" si="32"/>
        <v>1</v>
      </c>
      <c r="F129" s="2" t="str">
        <f>"3"</f>
        <v>3</v>
      </c>
      <c r="G129" s="2" t="str">
        <f t="shared" si="29"/>
        <v>1</v>
      </c>
      <c r="H129" s="3">
        <v>197387446000</v>
      </c>
    </row>
    <row r="130" spans="1:8" x14ac:dyDescent="0.3">
      <c r="A130" s="4">
        <v>44834</v>
      </c>
      <c r="B130" s="2">
        <v>36</v>
      </c>
      <c r="C130" s="2" t="str">
        <f t="shared" si="30"/>
        <v>1452</v>
      </c>
      <c r="D130" s="2" t="str">
        <f t="shared" si="31"/>
        <v>Ценные бумаги, учитываемые по справедливой стоимости через прочий совокупный доход</v>
      </c>
      <c r="E130" s="2" t="str">
        <f t="shared" si="32"/>
        <v>1</v>
      </c>
      <c r="F130" s="2" t="str">
        <f>"1"</f>
        <v>1</v>
      </c>
      <c r="G130" s="2" t="str">
        <f>"2"</f>
        <v>2</v>
      </c>
      <c r="H130" s="3">
        <v>4659840250</v>
      </c>
    </row>
    <row r="131" spans="1:8" x14ac:dyDescent="0.3">
      <c r="A131" s="4">
        <v>44834</v>
      </c>
      <c r="B131" s="2">
        <v>36</v>
      </c>
      <c r="C131" s="2" t="str">
        <f t="shared" si="30"/>
        <v>1452</v>
      </c>
      <c r="D131" s="2" t="str">
        <f t="shared" si="31"/>
        <v>Ценные бумаги, учитываемые по справедливой стоимости через прочий совокупный доход</v>
      </c>
      <c r="E131" s="2" t="str">
        <f t="shared" si="32"/>
        <v>1</v>
      </c>
      <c r="F131" s="2" t="str">
        <f>"5"</f>
        <v>5</v>
      </c>
      <c r="G131" s="2" t="str">
        <f>"1"</f>
        <v>1</v>
      </c>
      <c r="H131" s="3">
        <v>106640247000</v>
      </c>
    </row>
    <row r="132" spans="1:8" x14ac:dyDescent="0.3">
      <c r="A132" s="4">
        <v>44834</v>
      </c>
      <c r="B132" s="2">
        <v>36</v>
      </c>
      <c r="C132" s="2" t="str">
        <f t="shared" si="30"/>
        <v>1452</v>
      </c>
      <c r="D132" s="2" t="str">
        <f t="shared" si="31"/>
        <v>Ценные бумаги, учитываемые по справедливой стоимости через прочий совокупный доход</v>
      </c>
      <c r="E132" s="2" t="str">
        <f t="shared" si="32"/>
        <v>1</v>
      </c>
      <c r="F132" s="2" t="str">
        <f>"6"</f>
        <v>6</v>
      </c>
      <c r="G132" s="2" t="str">
        <f>"2"</f>
        <v>2</v>
      </c>
      <c r="H132" s="3">
        <v>23835500000</v>
      </c>
    </row>
    <row r="133" spans="1:8" x14ac:dyDescent="0.3">
      <c r="A133" s="4">
        <v>44834</v>
      </c>
      <c r="B133" s="2">
        <v>36</v>
      </c>
      <c r="C133" s="2" t="str">
        <f>"1453"</f>
        <v>1453</v>
      </c>
      <c r="D133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3" s="2" t="str">
        <f t="shared" si="32"/>
        <v>1</v>
      </c>
      <c r="F133" s="2" t="str">
        <f>"3"</f>
        <v>3</v>
      </c>
      <c r="G133" s="2" t="str">
        <f>"1"</f>
        <v>1</v>
      </c>
      <c r="H133" s="3">
        <v>-1148472599.1300001</v>
      </c>
    </row>
    <row r="134" spans="1:8" x14ac:dyDescent="0.3">
      <c r="A134" s="4">
        <v>44834</v>
      </c>
      <c r="B134" s="2">
        <v>36</v>
      </c>
      <c r="C134" s="2" t="str">
        <f>"1453"</f>
        <v>1453</v>
      </c>
      <c r="D134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4" s="2" t="str">
        <f t="shared" si="32"/>
        <v>1</v>
      </c>
      <c r="F134" s="2" t="str">
        <f>"5"</f>
        <v>5</v>
      </c>
      <c r="G134" s="2" t="str">
        <f>"1"</f>
        <v>1</v>
      </c>
      <c r="H134" s="3">
        <v>-3693255817.48</v>
      </c>
    </row>
    <row r="135" spans="1:8" x14ac:dyDescent="0.3">
      <c r="A135" s="4">
        <v>44834</v>
      </c>
      <c r="B135" s="2">
        <v>36</v>
      </c>
      <c r="C135" s="2" t="str">
        <f>"1453"</f>
        <v>1453</v>
      </c>
      <c r="D135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5" s="2" t="str">
        <f t="shared" si="32"/>
        <v>1</v>
      </c>
      <c r="F135" s="2" t="str">
        <f>"1"</f>
        <v>1</v>
      </c>
      <c r="G135" s="2" t="str">
        <f>"1"</f>
        <v>1</v>
      </c>
      <c r="H135" s="3">
        <v>-19457446598.029999</v>
      </c>
    </row>
    <row r="136" spans="1:8" x14ac:dyDescent="0.3">
      <c r="A136" s="4">
        <v>44834</v>
      </c>
      <c r="B136" s="2">
        <v>36</v>
      </c>
      <c r="C136" s="2" t="str">
        <f>"1453"</f>
        <v>1453</v>
      </c>
      <c r="D136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6" s="2" t="str">
        <f t="shared" si="32"/>
        <v>1</v>
      </c>
      <c r="F136" s="2" t="str">
        <f>"6"</f>
        <v>6</v>
      </c>
      <c r="G136" s="2" t="str">
        <f>"2"</f>
        <v>2</v>
      </c>
      <c r="H136" s="3">
        <v>-213366858.12</v>
      </c>
    </row>
    <row r="137" spans="1:8" x14ac:dyDescent="0.3">
      <c r="A137" s="4">
        <v>44834</v>
      </c>
      <c r="B137" s="2">
        <v>36</v>
      </c>
      <c r="C137" s="2" t="str">
        <f>"1454"</f>
        <v>1454</v>
      </c>
      <c r="D137" s="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2" t="str">
        <f t="shared" si="32"/>
        <v>1</v>
      </c>
      <c r="F137" s="2" t="str">
        <f>"1"</f>
        <v>1</v>
      </c>
      <c r="G137" s="2" t="str">
        <f>"2"</f>
        <v>2</v>
      </c>
      <c r="H137" s="3">
        <v>156406443.94</v>
      </c>
    </row>
    <row r="138" spans="1:8" x14ac:dyDescent="0.3">
      <c r="A138" s="4">
        <v>44834</v>
      </c>
      <c r="B138" s="2">
        <v>36</v>
      </c>
      <c r="C138" s="2" t="str">
        <f>"1456"</f>
        <v>1456</v>
      </c>
      <c r="D138" s="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8" s="2" t="str">
        <f t="shared" si="32"/>
        <v>1</v>
      </c>
      <c r="F138" s="2" t="str">
        <f>"3"</f>
        <v>3</v>
      </c>
      <c r="G138" s="2" t="str">
        <f>"1"</f>
        <v>1</v>
      </c>
      <c r="H138" s="3">
        <v>20188519.98</v>
      </c>
    </row>
    <row r="139" spans="1:8" x14ac:dyDescent="0.3">
      <c r="A139" s="4">
        <v>44834</v>
      </c>
      <c r="B139" s="2">
        <v>36</v>
      </c>
      <c r="C139" s="2" t="str">
        <f>"1456"</f>
        <v>1456</v>
      </c>
      <c r="D139" s="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9" s="2" t="str">
        <f t="shared" si="32"/>
        <v>1</v>
      </c>
      <c r="F139" s="2" t="str">
        <f>"1"</f>
        <v>1</v>
      </c>
      <c r="G139" s="2" t="str">
        <f>"1"</f>
        <v>1</v>
      </c>
      <c r="H139" s="3">
        <v>2169115349.9000001</v>
      </c>
    </row>
    <row r="140" spans="1:8" x14ac:dyDescent="0.3">
      <c r="A140" s="4">
        <v>44834</v>
      </c>
      <c r="B140" s="2">
        <v>36</v>
      </c>
      <c r="C140" s="2" t="str">
        <f>"1456"</f>
        <v>1456</v>
      </c>
      <c r="D140" s="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2" t="str">
        <f t="shared" si="32"/>
        <v>1</v>
      </c>
      <c r="F140" s="2" t="str">
        <f>"7"</f>
        <v>7</v>
      </c>
      <c r="G140" s="2" t="str">
        <f>"1"</f>
        <v>1</v>
      </c>
      <c r="H140" s="3">
        <v>6926540254.6499996</v>
      </c>
    </row>
    <row r="141" spans="1:8" x14ac:dyDescent="0.3">
      <c r="A141" s="4">
        <v>44834</v>
      </c>
      <c r="B141" s="2">
        <v>36</v>
      </c>
      <c r="C141" s="2" t="str">
        <f>"1456"</f>
        <v>1456</v>
      </c>
      <c r="D141" s="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2" t="str">
        <f t="shared" si="32"/>
        <v>1</v>
      </c>
      <c r="F141" s="2" t="str">
        <f>"5"</f>
        <v>5</v>
      </c>
      <c r="G141" s="2" t="str">
        <f>"1"</f>
        <v>1</v>
      </c>
      <c r="H141" s="3">
        <v>99475582.950000003</v>
      </c>
    </row>
    <row r="142" spans="1:8" x14ac:dyDescent="0.3">
      <c r="A142" s="4">
        <v>44834</v>
      </c>
      <c r="B142" s="2">
        <v>36</v>
      </c>
      <c r="C142" s="2" t="str">
        <f>"1457"</f>
        <v>1457</v>
      </c>
      <c r="D142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2" s="2" t="str">
        <f t="shared" si="32"/>
        <v>1</v>
      </c>
      <c r="F142" s="2" t="str">
        <f>"5"</f>
        <v>5</v>
      </c>
      <c r="G142" s="2" t="str">
        <f>"1"</f>
        <v>1</v>
      </c>
      <c r="H142" s="3">
        <v>-344727978.87</v>
      </c>
    </row>
    <row r="143" spans="1:8" x14ac:dyDescent="0.3">
      <c r="A143" s="4">
        <v>44834</v>
      </c>
      <c r="B143" s="2">
        <v>36</v>
      </c>
      <c r="C143" s="2" t="str">
        <f>"1457"</f>
        <v>1457</v>
      </c>
      <c r="D143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2" t="str">
        <f t="shared" si="32"/>
        <v>1</v>
      </c>
      <c r="F143" s="2" t="str">
        <f>"1"</f>
        <v>1</v>
      </c>
      <c r="G143" s="2" t="str">
        <f>"2"</f>
        <v>2</v>
      </c>
      <c r="H143" s="3">
        <v>-124636501.66</v>
      </c>
    </row>
    <row r="144" spans="1:8" x14ac:dyDescent="0.3">
      <c r="A144" s="4">
        <v>44834</v>
      </c>
      <c r="B144" s="2">
        <v>36</v>
      </c>
      <c r="C144" s="2" t="str">
        <f>"1457"</f>
        <v>1457</v>
      </c>
      <c r="D144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4" s="2" t="str">
        <f t="shared" si="32"/>
        <v>1</v>
      </c>
      <c r="F144" s="2" t="str">
        <f>"3"</f>
        <v>3</v>
      </c>
      <c r="G144" s="2" t="str">
        <f>"1"</f>
        <v>1</v>
      </c>
      <c r="H144" s="3">
        <v>-12653746.33</v>
      </c>
    </row>
    <row r="145" spans="1:8" x14ac:dyDescent="0.3">
      <c r="A145" s="4">
        <v>44834</v>
      </c>
      <c r="B145" s="2">
        <v>36</v>
      </c>
      <c r="C145" s="2" t="str">
        <f>"1457"</f>
        <v>1457</v>
      </c>
      <c r="D145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2" t="str">
        <f t="shared" si="32"/>
        <v>1</v>
      </c>
      <c r="F145" s="2" t="str">
        <f>"1"</f>
        <v>1</v>
      </c>
      <c r="G145" s="2" t="str">
        <f>"1"</f>
        <v>1</v>
      </c>
      <c r="H145" s="3">
        <v>-162972330.56</v>
      </c>
    </row>
    <row r="146" spans="1:8" x14ac:dyDescent="0.3">
      <c r="A146" s="4">
        <v>44834</v>
      </c>
      <c r="B146" s="2">
        <v>36</v>
      </c>
      <c r="C146" s="2" t="str">
        <f>"1457"</f>
        <v>1457</v>
      </c>
      <c r="D146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2" t="str">
        <f t="shared" si="32"/>
        <v>1</v>
      </c>
      <c r="F146" s="2" t="str">
        <f>"6"</f>
        <v>6</v>
      </c>
      <c r="G146" s="2" t="str">
        <f>"2"</f>
        <v>2</v>
      </c>
      <c r="H146" s="3">
        <v>-3185575441.8800001</v>
      </c>
    </row>
    <row r="147" spans="1:8" x14ac:dyDescent="0.3">
      <c r="A147" s="4">
        <v>44834</v>
      </c>
      <c r="B147" s="2">
        <v>36</v>
      </c>
      <c r="C147" s="2" t="str">
        <f>"1461"</f>
        <v>1461</v>
      </c>
      <c r="D147" s="2" t="str">
        <f>"Операции «обратное РЕПО» с ценными бумагами"</f>
        <v>Операции «обратное РЕПО» с ценными бумагами</v>
      </c>
      <c r="E147" s="2" t="str">
        <f t="shared" si="32"/>
        <v>1</v>
      </c>
      <c r="F147" s="2" t="str">
        <f>"5"</f>
        <v>5</v>
      </c>
      <c r="G147" s="2" t="str">
        <f t="shared" ref="G147:G155" si="33">"1"</f>
        <v>1</v>
      </c>
      <c r="H147" s="3">
        <v>16278486855.360001</v>
      </c>
    </row>
    <row r="148" spans="1:8" x14ac:dyDescent="0.3">
      <c r="A148" s="4">
        <v>44834</v>
      </c>
      <c r="B148" s="2">
        <v>36</v>
      </c>
      <c r="C148" s="2" t="str">
        <f>"1471"</f>
        <v>1471</v>
      </c>
      <c r="D148" s="2" t="str">
        <f>"Инвестиции в дочерние организации"</f>
        <v>Инвестиции в дочерние организации</v>
      </c>
      <c r="E148" s="2" t="str">
        <f t="shared" si="32"/>
        <v>1</v>
      </c>
      <c r="F148" s="2" t="str">
        <f>"5"</f>
        <v>5</v>
      </c>
      <c r="G148" s="2" t="str">
        <f t="shared" si="33"/>
        <v>1</v>
      </c>
      <c r="H148" s="3">
        <v>77720644453.979996</v>
      </c>
    </row>
    <row r="149" spans="1:8" x14ac:dyDescent="0.3">
      <c r="A149" s="4">
        <v>44834</v>
      </c>
      <c r="B149" s="2">
        <v>36</v>
      </c>
      <c r="C149" s="2" t="str">
        <f>"1471"</f>
        <v>1471</v>
      </c>
      <c r="D149" s="2" t="str">
        <f>"Инвестиции в дочерние организации"</f>
        <v>Инвестиции в дочерние организации</v>
      </c>
      <c r="E149" s="2" t="str">
        <f>"2"</f>
        <v>2</v>
      </c>
      <c r="F149" s="2" t="str">
        <f>"4"</f>
        <v>4</v>
      </c>
      <c r="G149" s="2" t="str">
        <f t="shared" si="33"/>
        <v>1</v>
      </c>
      <c r="H149" s="3">
        <v>23790062413.25</v>
      </c>
    </row>
    <row r="150" spans="1:8" x14ac:dyDescent="0.3">
      <c r="A150" s="4">
        <v>44834</v>
      </c>
      <c r="B150" s="2">
        <v>36</v>
      </c>
      <c r="C150" s="2" t="str">
        <f>"1471"</f>
        <v>1471</v>
      </c>
      <c r="D150" s="2" t="str">
        <f>"Инвестиции в дочерние организации"</f>
        <v>Инвестиции в дочерние организации</v>
      </c>
      <c r="E150" s="2" t="str">
        <f>"1"</f>
        <v>1</v>
      </c>
      <c r="F150" s="2" t="str">
        <f>"7"</f>
        <v>7</v>
      </c>
      <c r="G150" s="2" t="str">
        <f t="shared" si="33"/>
        <v>1</v>
      </c>
      <c r="H150" s="3">
        <v>51124356154.75</v>
      </c>
    </row>
    <row r="151" spans="1:8" x14ac:dyDescent="0.3">
      <c r="A151" s="4">
        <v>44834</v>
      </c>
      <c r="B151" s="2">
        <v>36</v>
      </c>
      <c r="C151" s="2" t="str">
        <f>"1476"</f>
        <v>1476</v>
      </c>
      <c r="D151" s="2" t="str">
        <f>"Прочие инвестиции"</f>
        <v>Прочие инвестиции</v>
      </c>
      <c r="E151" s="2" t="str">
        <f>"1"</f>
        <v>1</v>
      </c>
      <c r="F151" s="2" t="str">
        <f>"7"</f>
        <v>7</v>
      </c>
      <c r="G151" s="2" t="str">
        <f t="shared" si="33"/>
        <v>1</v>
      </c>
      <c r="H151" s="3">
        <v>8000</v>
      </c>
    </row>
    <row r="152" spans="1:8" x14ac:dyDescent="0.3">
      <c r="A152" s="4">
        <v>44834</v>
      </c>
      <c r="B152" s="2">
        <v>36</v>
      </c>
      <c r="C152" s="2" t="str">
        <f>"1476"</f>
        <v>1476</v>
      </c>
      <c r="D152" s="2" t="str">
        <f>"Прочие инвестиции"</f>
        <v>Прочие инвестиции</v>
      </c>
      <c r="E152" s="2" t="str">
        <f>"2"</f>
        <v>2</v>
      </c>
      <c r="F152" s="2" t="str">
        <f>"5"</f>
        <v>5</v>
      </c>
      <c r="G152" s="2" t="str">
        <f t="shared" si="33"/>
        <v>1</v>
      </c>
      <c r="H152" s="3">
        <v>88616997.739999995</v>
      </c>
    </row>
    <row r="153" spans="1:8" x14ac:dyDescent="0.3">
      <c r="A153" s="4">
        <v>44834</v>
      </c>
      <c r="B153" s="2">
        <v>36</v>
      </c>
      <c r="C153" s="2" t="str">
        <f>"1476"</f>
        <v>1476</v>
      </c>
      <c r="D153" s="2" t="str">
        <f>"Прочие инвестиции"</f>
        <v>Прочие инвестиции</v>
      </c>
      <c r="E153" s="2" t="str">
        <f>"2"</f>
        <v>2</v>
      </c>
      <c r="F153" s="2" t="str">
        <f>"4"</f>
        <v>4</v>
      </c>
      <c r="G153" s="2" t="str">
        <f t="shared" si="33"/>
        <v>1</v>
      </c>
      <c r="H153" s="3">
        <v>1177092799.9000001</v>
      </c>
    </row>
    <row r="154" spans="1:8" x14ac:dyDescent="0.3">
      <c r="A154" s="4">
        <v>44834</v>
      </c>
      <c r="B154" s="2">
        <v>36</v>
      </c>
      <c r="C154" s="2" t="str">
        <f>"1476"</f>
        <v>1476</v>
      </c>
      <c r="D154" s="2" t="str">
        <f>"Прочие инвестиции"</f>
        <v>Прочие инвестиции</v>
      </c>
      <c r="E154" s="2" t="str">
        <f>"1"</f>
        <v>1</v>
      </c>
      <c r="F154" s="2" t="str">
        <f>"5"</f>
        <v>5</v>
      </c>
      <c r="G154" s="2" t="str">
        <f t="shared" si="33"/>
        <v>1</v>
      </c>
      <c r="H154" s="3">
        <v>9489631.6600000001</v>
      </c>
    </row>
    <row r="155" spans="1:8" x14ac:dyDescent="0.3">
      <c r="A155" s="4">
        <v>44834</v>
      </c>
      <c r="B155" s="2">
        <v>36</v>
      </c>
      <c r="C155" s="2" t="str">
        <f>"1476"</f>
        <v>1476</v>
      </c>
      <c r="D155" s="2" t="str">
        <f>"Прочие инвестиции"</f>
        <v>Прочие инвестиции</v>
      </c>
      <c r="E155" s="2" t="str">
        <f>"2"</f>
        <v>2</v>
      </c>
      <c r="F155" s="2" t="str">
        <f>"7"</f>
        <v>7</v>
      </c>
      <c r="G155" s="2" t="str">
        <f t="shared" si="33"/>
        <v>1</v>
      </c>
      <c r="H155" s="3">
        <v>10458155.619999999</v>
      </c>
    </row>
    <row r="156" spans="1:8" x14ac:dyDescent="0.3">
      <c r="A156" s="4">
        <v>44834</v>
      </c>
      <c r="B156" s="2">
        <v>36</v>
      </c>
      <c r="C156" s="2" t="str">
        <f>"1481"</f>
        <v>1481</v>
      </c>
      <c r="D156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6" s="2" t="str">
        <f>"1"</f>
        <v>1</v>
      </c>
      <c r="F156" s="2" t="str">
        <f>"1"</f>
        <v>1</v>
      </c>
      <c r="G156" s="2" t="str">
        <f>"2"</f>
        <v>2</v>
      </c>
      <c r="H156" s="3">
        <v>20641543000</v>
      </c>
    </row>
    <row r="157" spans="1:8" x14ac:dyDescent="0.3">
      <c r="A157" s="4">
        <v>44834</v>
      </c>
      <c r="B157" s="2">
        <v>36</v>
      </c>
      <c r="C157" s="2" t="str">
        <f>"1481"</f>
        <v>1481</v>
      </c>
      <c r="D157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7" s="2" t="str">
        <f>"2"</f>
        <v>2</v>
      </c>
      <c r="F157" s="2" t="str">
        <f>"3"</f>
        <v>3</v>
      </c>
      <c r="G157" s="2" t="str">
        <f>"1"</f>
        <v>1</v>
      </c>
      <c r="H157" s="3">
        <v>5000000000</v>
      </c>
    </row>
    <row r="158" spans="1:8" x14ac:dyDescent="0.3">
      <c r="A158" s="4">
        <v>44834</v>
      </c>
      <c r="B158" s="2">
        <v>36</v>
      </c>
      <c r="C158" s="2" t="str">
        <f>"1481"</f>
        <v>1481</v>
      </c>
      <c r="D158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8" s="2" t="str">
        <f>"1"</f>
        <v>1</v>
      </c>
      <c r="F158" s="2" t="str">
        <f>"1"</f>
        <v>1</v>
      </c>
      <c r="G158" s="2" t="str">
        <f>"1"</f>
        <v>1</v>
      </c>
      <c r="H158" s="3">
        <v>19800000</v>
      </c>
    </row>
    <row r="159" spans="1:8" x14ac:dyDescent="0.3">
      <c r="A159" s="4">
        <v>44834</v>
      </c>
      <c r="B159" s="2">
        <v>36</v>
      </c>
      <c r="C159" s="2" t="str">
        <f>"1481"</f>
        <v>1481</v>
      </c>
      <c r="D159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9" s="2" t="str">
        <f t="shared" ref="E159:E176" si="34">"1"</f>
        <v>1</v>
      </c>
      <c r="F159" s="2" t="str">
        <f>"4"</f>
        <v>4</v>
      </c>
      <c r="G159" s="2" t="str">
        <f>"2"</f>
        <v>2</v>
      </c>
      <c r="H159" s="3">
        <v>23835500000</v>
      </c>
    </row>
    <row r="160" spans="1:8" x14ac:dyDescent="0.3">
      <c r="A160" s="4">
        <v>44834</v>
      </c>
      <c r="B160" s="2">
        <v>36</v>
      </c>
      <c r="C160" s="2" t="str">
        <f>"1482"</f>
        <v>1482</v>
      </c>
      <c r="D160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0" s="2" t="str">
        <f t="shared" si="34"/>
        <v>1</v>
      </c>
      <c r="F160" s="2" t="str">
        <f>"1"</f>
        <v>1</v>
      </c>
      <c r="G160" s="2" t="str">
        <f>"1"</f>
        <v>1</v>
      </c>
      <c r="H160" s="3">
        <v>-1147965.33</v>
      </c>
    </row>
    <row r="161" spans="1:8" x14ac:dyDescent="0.3">
      <c r="A161" s="4">
        <v>44834</v>
      </c>
      <c r="B161" s="2">
        <v>36</v>
      </c>
      <c r="C161" s="2" t="str">
        <f>"1482"</f>
        <v>1482</v>
      </c>
      <c r="D161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1" s="2" t="str">
        <f t="shared" si="34"/>
        <v>1</v>
      </c>
      <c r="F161" s="2" t="str">
        <f>"4"</f>
        <v>4</v>
      </c>
      <c r="G161" s="2" t="str">
        <f>"2"</f>
        <v>2</v>
      </c>
      <c r="H161" s="3">
        <v>-92590982.859999999</v>
      </c>
    </row>
    <row r="162" spans="1:8" x14ac:dyDescent="0.3">
      <c r="A162" s="4">
        <v>44834</v>
      </c>
      <c r="B162" s="2">
        <v>36</v>
      </c>
      <c r="C162" s="2" t="str">
        <f>"1483"</f>
        <v>1483</v>
      </c>
      <c r="D162" s="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2" s="2" t="str">
        <f t="shared" si="34"/>
        <v>1</v>
      </c>
      <c r="F162" s="2" t="str">
        <f>"1"</f>
        <v>1</v>
      </c>
      <c r="G162" s="2" t="str">
        <f>"2"</f>
        <v>2</v>
      </c>
      <c r="H162" s="3">
        <v>191573135.66</v>
      </c>
    </row>
    <row r="163" spans="1:8" x14ac:dyDescent="0.3">
      <c r="A163" s="4">
        <v>44834</v>
      </c>
      <c r="B163" s="2">
        <v>36</v>
      </c>
      <c r="C163" s="2" t="str">
        <f>"1486"</f>
        <v>1486</v>
      </c>
      <c r="D163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63" s="2" t="str">
        <f t="shared" si="34"/>
        <v>1</v>
      </c>
      <c r="F163" s="2" t="str">
        <f>"4"</f>
        <v>4</v>
      </c>
      <c r="G163" s="2" t="str">
        <f>"2"</f>
        <v>2</v>
      </c>
      <c r="H163" s="3">
        <v>-33039101.620000001</v>
      </c>
    </row>
    <row r="164" spans="1:8" x14ac:dyDescent="0.3">
      <c r="A164" s="4">
        <v>44834</v>
      </c>
      <c r="B164" s="2">
        <v>36</v>
      </c>
      <c r="C164" s="2" t="str">
        <f>"1491"</f>
        <v>1491</v>
      </c>
      <c r="D164" s="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4" s="2" t="str">
        <f t="shared" si="34"/>
        <v>1</v>
      </c>
      <c r="F164" s="2" t="str">
        <f>"9"</f>
        <v>9</v>
      </c>
      <c r="G164" s="2" t="str">
        <f t="shared" ref="G164:G171" si="35">"1"</f>
        <v>1</v>
      </c>
      <c r="H164" s="3">
        <v>53413000</v>
      </c>
    </row>
    <row r="165" spans="1:8" x14ac:dyDescent="0.3">
      <c r="A165" s="4">
        <v>44834</v>
      </c>
      <c r="B165" s="2">
        <v>36</v>
      </c>
      <c r="C165" s="2" t="str">
        <f>"1491"</f>
        <v>1491</v>
      </c>
      <c r="D165" s="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5" s="2" t="str">
        <f t="shared" si="34"/>
        <v>1</v>
      </c>
      <c r="F165" s="2" t="str">
        <f>"7"</f>
        <v>7</v>
      </c>
      <c r="G165" s="2" t="str">
        <f t="shared" si="35"/>
        <v>1</v>
      </c>
      <c r="H165" s="3">
        <v>8603853926.6900005</v>
      </c>
    </row>
    <row r="166" spans="1:8" x14ac:dyDescent="0.3">
      <c r="A166" s="4">
        <v>44834</v>
      </c>
      <c r="B166" s="2">
        <v>36</v>
      </c>
      <c r="C166" s="2" t="str">
        <f>"1491"</f>
        <v>1491</v>
      </c>
      <c r="D166" s="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6" s="2" t="str">
        <f t="shared" si="34"/>
        <v>1</v>
      </c>
      <c r="F166" s="2" t="str">
        <f>"5"</f>
        <v>5</v>
      </c>
      <c r="G166" s="2" t="str">
        <f t="shared" si="35"/>
        <v>1</v>
      </c>
      <c r="H166" s="3">
        <v>128488586.88</v>
      </c>
    </row>
    <row r="167" spans="1:8" x14ac:dyDescent="0.3">
      <c r="A167" s="4">
        <v>44834</v>
      </c>
      <c r="B167" s="2">
        <v>36</v>
      </c>
      <c r="C167" s="2" t="str">
        <f>"1492"</f>
        <v>1492</v>
      </c>
      <c r="D167" s="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7" s="2" t="str">
        <f t="shared" si="34"/>
        <v>1</v>
      </c>
      <c r="F167" s="2" t="str">
        <f>"9"</f>
        <v>9</v>
      </c>
      <c r="G167" s="2" t="str">
        <f t="shared" si="35"/>
        <v>1</v>
      </c>
      <c r="H167" s="3">
        <v>-12019867</v>
      </c>
    </row>
    <row r="168" spans="1:8" x14ac:dyDescent="0.3">
      <c r="A168" s="4">
        <v>44834</v>
      </c>
      <c r="B168" s="2">
        <v>36</v>
      </c>
      <c r="C168" s="2" t="str">
        <f>"1492"</f>
        <v>1492</v>
      </c>
      <c r="D168" s="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8" s="2" t="str">
        <f t="shared" si="34"/>
        <v>1</v>
      </c>
      <c r="F168" s="2" t="str">
        <f>"5"</f>
        <v>5</v>
      </c>
      <c r="G168" s="2" t="str">
        <f t="shared" si="35"/>
        <v>1</v>
      </c>
      <c r="H168" s="3">
        <v>-21881345.219999999</v>
      </c>
    </row>
    <row r="169" spans="1:8" x14ac:dyDescent="0.3">
      <c r="A169" s="4">
        <v>44834</v>
      </c>
      <c r="B169" s="2">
        <v>36</v>
      </c>
      <c r="C169" s="2" t="str">
        <f>"1492"</f>
        <v>1492</v>
      </c>
      <c r="D169" s="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9" s="2" t="str">
        <f t="shared" si="34"/>
        <v>1</v>
      </c>
      <c r="F169" s="2" t="str">
        <f>"7"</f>
        <v>7</v>
      </c>
      <c r="G169" s="2" t="str">
        <f t="shared" si="35"/>
        <v>1</v>
      </c>
      <c r="H169" s="3">
        <v>-1183693090.3099999</v>
      </c>
    </row>
    <row r="170" spans="1:8" x14ac:dyDescent="0.3">
      <c r="A170" s="4">
        <v>44834</v>
      </c>
      <c r="B170" s="2">
        <v>36</v>
      </c>
      <c r="C170" s="2" t="str">
        <f>"1494"</f>
        <v>1494</v>
      </c>
      <c r="D170" s="2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E170" s="2" t="str">
        <f t="shared" si="34"/>
        <v>1</v>
      </c>
      <c r="F170" s="2" t="str">
        <f>"7"</f>
        <v>7</v>
      </c>
      <c r="G170" s="2" t="str">
        <f t="shared" si="35"/>
        <v>1</v>
      </c>
      <c r="H170" s="3">
        <v>0.02</v>
      </c>
    </row>
    <row r="171" spans="1:8" x14ac:dyDescent="0.3">
      <c r="A171" s="4">
        <v>44834</v>
      </c>
      <c r="B171" s="2">
        <v>36</v>
      </c>
      <c r="C171" s="2" t="str">
        <f>"1495"</f>
        <v>1495</v>
      </c>
      <c r="D171" s="2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71" s="2" t="str">
        <f t="shared" si="34"/>
        <v>1</v>
      </c>
      <c r="F171" s="2" t="str">
        <f>"7"</f>
        <v>7</v>
      </c>
      <c r="G171" s="2" t="str">
        <f t="shared" si="35"/>
        <v>1</v>
      </c>
      <c r="H171" s="3">
        <v>-418503451.95999998</v>
      </c>
    </row>
    <row r="172" spans="1:8" x14ac:dyDescent="0.3">
      <c r="A172" s="4">
        <v>44834</v>
      </c>
      <c r="B172" s="2">
        <v>36</v>
      </c>
      <c r="C172" s="2" t="str">
        <f>"1551"</f>
        <v>1551</v>
      </c>
      <c r="D172" s="2" t="str">
        <f>"Расчеты с другими банками"</f>
        <v>Расчеты с другими банками</v>
      </c>
      <c r="E172" s="2" t="str">
        <f t="shared" si="34"/>
        <v>1</v>
      </c>
      <c r="F172" s="2" t="str">
        <f>"4"</f>
        <v>4</v>
      </c>
      <c r="G172" s="2" t="str">
        <f>"2"</f>
        <v>2</v>
      </c>
      <c r="H172" s="3">
        <v>244531232.05000001</v>
      </c>
    </row>
    <row r="173" spans="1:8" x14ac:dyDescent="0.3">
      <c r="A173" s="4">
        <v>44834</v>
      </c>
      <c r="B173" s="2">
        <v>36</v>
      </c>
      <c r="C173" s="2" t="str">
        <f>"1551"</f>
        <v>1551</v>
      </c>
      <c r="D173" s="2" t="str">
        <f>"Расчеты с другими банками"</f>
        <v>Расчеты с другими банками</v>
      </c>
      <c r="E173" s="2" t="str">
        <f t="shared" si="34"/>
        <v>1</v>
      </c>
      <c r="F173" s="2" t="str">
        <f>"4"</f>
        <v>4</v>
      </c>
      <c r="G173" s="2" t="str">
        <f>"1"</f>
        <v>1</v>
      </c>
      <c r="H173" s="3">
        <v>536113.74</v>
      </c>
    </row>
    <row r="174" spans="1:8" x14ac:dyDescent="0.3">
      <c r="A174" s="4">
        <v>44834</v>
      </c>
      <c r="B174" s="2">
        <v>36</v>
      </c>
      <c r="C174" s="2" t="str">
        <f>"1551"</f>
        <v>1551</v>
      </c>
      <c r="D174" s="2" t="str">
        <f>"Расчеты с другими банками"</f>
        <v>Расчеты с другими банками</v>
      </c>
      <c r="E174" s="2" t="str">
        <f t="shared" si="34"/>
        <v>1</v>
      </c>
      <c r="F174" s="2" t="str">
        <f>"4"</f>
        <v>4</v>
      </c>
      <c r="G174" s="2" t="str">
        <f>"3"</f>
        <v>3</v>
      </c>
      <c r="H174" s="3">
        <v>680923375.63999999</v>
      </c>
    </row>
    <row r="175" spans="1:8" x14ac:dyDescent="0.3">
      <c r="A175" s="4">
        <v>44834</v>
      </c>
      <c r="B175" s="2">
        <v>36</v>
      </c>
      <c r="C175" s="2" t="str">
        <f>"1551"</f>
        <v>1551</v>
      </c>
      <c r="D175" s="2" t="str">
        <f>"Расчеты с другими банками"</f>
        <v>Расчеты с другими банками</v>
      </c>
      <c r="E175" s="2" t="str">
        <f t="shared" si="34"/>
        <v>1</v>
      </c>
      <c r="F175" s="2" t="str">
        <f>"3"</f>
        <v>3</v>
      </c>
      <c r="G175" s="2" t="str">
        <f>"1"</f>
        <v>1</v>
      </c>
      <c r="H175" s="3">
        <v>53714719.299999997</v>
      </c>
    </row>
    <row r="176" spans="1:8" x14ac:dyDescent="0.3">
      <c r="A176" s="4">
        <v>44834</v>
      </c>
      <c r="B176" s="2">
        <v>36</v>
      </c>
      <c r="C176" s="2" t="str">
        <f>"1552"</f>
        <v>1552</v>
      </c>
      <c r="D176" s="2" t="str">
        <f>"Расчеты с клиентами"</f>
        <v>Расчеты с клиентами</v>
      </c>
      <c r="E176" s="2" t="str">
        <f t="shared" si="34"/>
        <v>1</v>
      </c>
      <c r="F176" s="2" t="str">
        <f>"5"</f>
        <v>5</v>
      </c>
      <c r="G176" s="2" t="str">
        <f>"1"</f>
        <v>1</v>
      </c>
      <c r="H176" s="3">
        <v>1086768.5</v>
      </c>
    </row>
    <row r="177" spans="1:8" x14ac:dyDescent="0.3">
      <c r="A177" s="4">
        <v>44834</v>
      </c>
      <c r="B177" s="2">
        <v>36</v>
      </c>
      <c r="C177" s="2" t="str">
        <f>"1552"</f>
        <v>1552</v>
      </c>
      <c r="D177" s="2" t="str">
        <f>"Расчеты с клиентами"</f>
        <v>Расчеты с клиентами</v>
      </c>
      <c r="E177" s="2" t="str">
        <f>"2"</f>
        <v>2</v>
      </c>
      <c r="F177" s="2" t="str">
        <f>"5"</f>
        <v>5</v>
      </c>
      <c r="G177" s="2" t="str">
        <f>"1"</f>
        <v>1</v>
      </c>
      <c r="H177" s="3">
        <v>173637117.36000001</v>
      </c>
    </row>
    <row r="178" spans="1:8" x14ac:dyDescent="0.3">
      <c r="A178" s="4">
        <v>44834</v>
      </c>
      <c r="B178" s="2">
        <v>36</v>
      </c>
      <c r="C178" s="2" t="str">
        <f>"1552"</f>
        <v>1552</v>
      </c>
      <c r="D178" s="2" t="str">
        <f>"Расчеты с клиентами"</f>
        <v>Расчеты с клиентами</v>
      </c>
      <c r="E178" s="2" t="str">
        <f>"2"</f>
        <v>2</v>
      </c>
      <c r="F178" s="2" t="str">
        <f>"5"</f>
        <v>5</v>
      </c>
      <c r="G178" s="2" t="str">
        <f>"3"</f>
        <v>3</v>
      </c>
      <c r="H178" s="3">
        <v>27766692.66</v>
      </c>
    </row>
    <row r="179" spans="1:8" x14ac:dyDescent="0.3">
      <c r="A179" s="4">
        <v>44834</v>
      </c>
      <c r="B179" s="2">
        <v>36</v>
      </c>
      <c r="C179" s="2" t="str">
        <f>"1552"</f>
        <v>1552</v>
      </c>
      <c r="D179" s="2" t="str">
        <f>"Расчеты с клиентами"</f>
        <v>Расчеты с клиентами</v>
      </c>
      <c r="E179" s="2" t="str">
        <f>"1"</f>
        <v>1</v>
      </c>
      <c r="F179" s="2" t="str">
        <f>"7"</f>
        <v>7</v>
      </c>
      <c r="G179" s="2" t="str">
        <f>"1"</f>
        <v>1</v>
      </c>
      <c r="H179" s="3">
        <v>141056964.59999999</v>
      </c>
    </row>
    <row r="180" spans="1:8" x14ac:dyDescent="0.3">
      <c r="A180" s="4">
        <v>44834</v>
      </c>
      <c r="B180" s="2">
        <v>36</v>
      </c>
      <c r="C180" s="2" t="str">
        <f>"1552"</f>
        <v>1552</v>
      </c>
      <c r="D180" s="2" t="str">
        <f>"Расчеты с клиентами"</f>
        <v>Расчеты с клиентами</v>
      </c>
      <c r="E180" s="2" t="str">
        <f>"2"</f>
        <v>2</v>
      </c>
      <c r="F180" s="2" t="str">
        <f>"5"</f>
        <v>5</v>
      </c>
      <c r="G180" s="2" t="str">
        <f>"2"</f>
        <v>2</v>
      </c>
      <c r="H180" s="3">
        <v>301292222.50999999</v>
      </c>
    </row>
    <row r="181" spans="1:8" x14ac:dyDescent="0.3">
      <c r="A181" s="4">
        <v>44834</v>
      </c>
      <c r="B181" s="2">
        <v>36</v>
      </c>
      <c r="C181" s="2" t="str">
        <f>"1602"</f>
        <v>1602</v>
      </c>
      <c r="D181" s="2" t="str">
        <f>"Прочие запасы"</f>
        <v>Прочие запасы</v>
      </c>
      <c r="E181" s="2" t="str">
        <f>""</f>
        <v/>
      </c>
      <c r="F181" s="2" t="str">
        <f>""</f>
        <v/>
      </c>
      <c r="G181" s="2" t="str">
        <f>""</f>
        <v/>
      </c>
      <c r="H181" s="3">
        <v>29412798390.169998</v>
      </c>
    </row>
    <row r="182" spans="1:8" x14ac:dyDescent="0.3">
      <c r="A182" s="4">
        <v>44834</v>
      </c>
      <c r="B182" s="2">
        <v>36</v>
      </c>
      <c r="C182" s="2" t="str">
        <f>"1610"</f>
        <v>1610</v>
      </c>
      <c r="D182" s="2" t="str">
        <f>"Долгосрочные активы, предназначенные для продажи"</f>
        <v>Долгосрочные активы, предназначенные для продажи</v>
      </c>
      <c r="E182" s="2" t="str">
        <f>""</f>
        <v/>
      </c>
      <c r="F182" s="2" t="str">
        <f>""</f>
        <v/>
      </c>
      <c r="G182" s="2" t="str">
        <f>""</f>
        <v/>
      </c>
      <c r="H182" s="3">
        <v>5344905553.3199997</v>
      </c>
    </row>
    <row r="183" spans="1:8" x14ac:dyDescent="0.3">
      <c r="A183" s="4">
        <v>44834</v>
      </c>
      <c r="B183" s="2">
        <v>36</v>
      </c>
      <c r="C183" s="2" t="str">
        <f>"1651"</f>
        <v>1651</v>
      </c>
      <c r="D183" s="2" t="str">
        <f>"Строящиеся (устанавливаемые) основные средства"</f>
        <v>Строящиеся (устанавливаемые) основные средства</v>
      </c>
      <c r="E183" s="2" t="str">
        <f>""</f>
        <v/>
      </c>
      <c r="F183" s="2" t="str">
        <f>""</f>
        <v/>
      </c>
      <c r="G183" s="2" t="str">
        <f>""</f>
        <v/>
      </c>
      <c r="H183" s="3">
        <v>540937678</v>
      </c>
    </row>
    <row r="184" spans="1:8" x14ac:dyDescent="0.3">
      <c r="A184" s="4">
        <v>44834</v>
      </c>
      <c r="B184" s="2">
        <v>36</v>
      </c>
      <c r="C184" s="2" t="str">
        <f>"1652"</f>
        <v>1652</v>
      </c>
      <c r="D184" s="2" t="str">
        <f>"Земля, здания и сооружения"</f>
        <v>Земля, здания и сооружения</v>
      </c>
      <c r="E184" s="2" t="str">
        <f>""</f>
        <v/>
      </c>
      <c r="F184" s="2" t="str">
        <f>""</f>
        <v/>
      </c>
      <c r="G184" s="2" t="str">
        <f>""</f>
        <v/>
      </c>
      <c r="H184" s="3">
        <v>46698002765.269997</v>
      </c>
    </row>
    <row r="185" spans="1:8" x14ac:dyDescent="0.3">
      <c r="A185" s="4">
        <v>44834</v>
      </c>
      <c r="B185" s="2">
        <v>36</v>
      </c>
      <c r="C185" s="2" t="str">
        <f>"1653"</f>
        <v>1653</v>
      </c>
      <c r="D185" s="2" t="str">
        <f>"Компьютерное оборудование"</f>
        <v>Компьютерное оборудование</v>
      </c>
      <c r="E185" s="2" t="str">
        <f>""</f>
        <v/>
      </c>
      <c r="F185" s="2" t="str">
        <f>""</f>
        <v/>
      </c>
      <c r="G185" s="2" t="str">
        <f>""</f>
        <v/>
      </c>
      <c r="H185" s="3">
        <v>11281190699.74</v>
      </c>
    </row>
    <row r="186" spans="1:8" x14ac:dyDescent="0.3">
      <c r="A186" s="4">
        <v>44834</v>
      </c>
      <c r="B186" s="2">
        <v>36</v>
      </c>
      <c r="C186" s="2" t="str">
        <f>"1654"</f>
        <v>1654</v>
      </c>
      <c r="D186" s="2" t="str">
        <f>"Прочие основные средства"</f>
        <v>Прочие основные средства</v>
      </c>
      <c r="E186" s="2" t="str">
        <f>""</f>
        <v/>
      </c>
      <c r="F186" s="2" t="str">
        <f>""</f>
        <v/>
      </c>
      <c r="G186" s="2" t="str">
        <f>""</f>
        <v/>
      </c>
      <c r="H186" s="3">
        <v>19611915889.490002</v>
      </c>
    </row>
    <row r="187" spans="1:8" x14ac:dyDescent="0.3">
      <c r="A187" s="4">
        <v>44834</v>
      </c>
      <c r="B187" s="2">
        <v>36</v>
      </c>
      <c r="C187" s="2" t="str">
        <f>"1655"</f>
        <v>1655</v>
      </c>
      <c r="D187" s="2" t="str">
        <f>"Активы в форме права пользования"</f>
        <v>Активы в форме права пользования</v>
      </c>
      <c r="E187" s="2" t="str">
        <f>""</f>
        <v/>
      </c>
      <c r="F187" s="2" t="str">
        <f>""</f>
        <v/>
      </c>
      <c r="G187" s="2" t="str">
        <f>""</f>
        <v/>
      </c>
      <c r="H187" s="3">
        <v>4047730655.48</v>
      </c>
    </row>
    <row r="188" spans="1:8" x14ac:dyDescent="0.3">
      <c r="A188" s="4">
        <v>44834</v>
      </c>
      <c r="B188" s="2">
        <v>36</v>
      </c>
      <c r="C188" s="2" t="str">
        <f>"1657"</f>
        <v>1657</v>
      </c>
      <c r="D188" s="2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88" s="2" t="str">
        <f>""</f>
        <v/>
      </c>
      <c r="F188" s="2" t="str">
        <f>""</f>
        <v/>
      </c>
      <c r="G188" s="2" t="str">
        <f>""</f>
        <v/>
      </c>
      <c r="H188" s="3">
        <v>755021477.98000002</v>
      </c>
    </row>
    <row r="189" spans="1:8" x14ac:dyDescent="0.3">
      <c r="A189" s="4">
        <v>44834</v>
      </c>
      <c r="B189" s="2">
        <v>36</v>
      </c>
      <c r="C189" s="2" t="str">
        <f>"1658"</f>
        <v>1658</v>
      </c>
      <c r="D189" s="2" t="str">
        <f>"Транспортные средства"</f>
        <v>Транспортные средства</v>
      </c>
      <c r="E189" s="2" t="str">
        <f>""</f>
        <v/>
      </c>
      <c r="F189" s="2" t="str">
        <f>""</f>
        <v/>
      </c>
      <c r="G189" s="2" t="str">
        <f>""</f>
        <v/>
      </c>
      <c r="H189" s="3">
        <v>619950847.60000002</v>
      </c>
    </row>
    <row r="190" spans="1:8" x14ac:dyDescent="0.3">
      <c r="A190" s="4">
        <v>44834</v>
      </c>
      <c r="B190" s="2">
        <v>36</v>
      </c>
      <c r="C190" s="2" t="str">
        <f>"1659"</f>
        <v>1659</v>
      </c>
      <c r="D190" s="2" t="str">
        <f>"Нематериальные активы"</f>
        <v>Нематериальные активы</v>
      </c>
      <c r="E190" s="2" t="str">
        <f>""</f>
        <v/>
      </c>
      <c r="F190" s="2" t="str">
        <f>""</f>
        <v/>
      </c>
      <c r="G190" s="2" t="str">
        <f>""</f>
        <v/>
      </c>
      <c r="H190" s="3">
        <v>11622237996.16</v>
      </c>
    </row>
    <row r="191" spans="1:8" x14ac:dyDescent="0.3">
      <c r="A191" s="4">
        <v>44834</v>
      </c>
      <c r="B191" s="2">
        <v>36</v>
      </c>
      <c r="C191" s="2" t="str">
        <f>"1660"</f>
        <v>1660</v>
      </c>
      <c r="D191" s="2" t="str">
        <f>"Создаваемые (разрабатываемые) нематериальные активы"</f>
        <v>Создаваемые (разрабатываемые) нематериальные активы</v>
      </c>
      <c r="E191" s="2" t="str">
        <f>""</f>
        <v/>
      </c>
      <c r="F191" s="2" t="str">
        <f>""</f>
        <v/>
      </c>
      <c r="G191" s="2" t="str">
        <f>""</f>
        <v/>
      </c>
      <c r="H191" s="3">
        <v>220410530.96000001</v>
      </c>
    </row>
    <row r="192" spans="1:8" x14ac:dyDescent="0.3">
      <c r="A192" s="4">
        <v>44834</v>
      </c>
      <c r="B192" s="2">
        <v>36</v>
      </c>
      <c r="C192" s="2" t="str">
        <f>"1692"</f>
        <v>1692</v>
      </c>
      <c r="D192" s="2" t="str">
        <f>"Начисленная амортизация по зданиям и сооружениям"</f>
        <v>Начисленная амортизация по зданиям и сооружениям</v>
      </c>
      <c r="E192" s="2" t="str">
        <f>""</f>
        <v/>
      </c>
      <c r="F192" s="2" t="str">
        <f>""</f>
        <v/>
      </c>
      <c r="G192" s="2" t="str">
        <f>""</f>
        <v/>
      </c>
      <c r="H192" s="3">
        <v>-3188807010.8000002</v>
      </c>
    </row>
    <row r="193" spans="1:8" x14ac:dyDescent="0.3">
      <c r="A193" s="4">
        <v>44834</v>
      </c>
      <c r="B193" s="2">
        <v>36</v>
      </c>
      <c r="C193" s="2" t="str">
        <f>"1693"</f>
        <v>1693</v>
      </c>
      <c r="D193" s="2" t="str">
        <f>"Начисленная амортизация по компьютерному оборудованию"</f>
        <v>Начисленная амортизация по компьютерному оборудованию</v>
      </c>
      <c r="E193" s="2" t="str">
        <f>""</f>
        <v/>
      </c>
      <c r="F193" s="2" t="str">
        <f>""</f>
        <v/>
      </c>
      <c r="G193" s="2" t="str">
        <f>""</f>
        <v/>
      </c>
      <c r="H193" s="3">
        <v>-6862569467.4099998</v>
      </c>
    </row>
    <row r="194" spans="1:8" x14ac:dyDescent="0.3">
      <c r="A194" s="4">
        <v>44834</v>
      </c>
      <c r="B194" s="2">
        <v>36</v>
      </c>
      <c r="C194" s="2" t="str">
        <f>"1694"</f>
        <v>1694</v>
      </c>
      <c r="D194" s="2" t="str">
        <f>"Начисленная амортизация по прочим основным средствам"</f>
        <v>Начисленная амортизация по прочим основным средствам</v>
      </c>
      <c r="E194" s="2" t="str">
        <f>""</f>
        <v/>
      </c>
      <c r="F194" s="2" t="str">
        <f>""</f>
        <v/>
      </c>
      <c r="G194" s="2" t="str">
        <f>""</f>
        <v/>
      </c>
      <c r="H194" s="3">
        <v>-11007688130.25</v>
      </c>
    </row>
    <row r="195" spans="1:8" x14ac:dyDescent="0.3">
      <c r="A195" s="4">
        <v>44834</v>
      </c>
      <c r="B195" s="2">
        <v>36</v>
      </c>
      <c r="C195" s="2" t="str">
        <f>"1695"</f>
        <v>1695</v>
      </c>
      <c r="D195" s="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95" s="2" t="str">
        <f>""</f>
        <v/>
      </c>
      <c r="F195" s="2" t="str">
        <f>""</f>
        <v/>
      </c>
      <c r="G195" s="2" t="str">
        <f>""</f>
        <v/>
      </c>
      <c r="H195" s="3">
        <v>-1901272450.8299999</v>
      </c>
    </row>
    <row r="196" spans="1:8" x14ac:dyDescent="0.3">
      <c r="A196" s="4">
        <v>44834</v>
      </c>
      <c r="B196" s="2">
        <v>36</v>
      </c>
      <c r="C196" s="2" t="str">
        <f>"1697"</f>
        <v>1697</v>
      </c>
      <c r="D196" s="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96" s="2" t="str">
        <f>""</f>
        <v/>
      </c>
      <c r="F196" s="2" t="str">
        <f>""</f>
        <v/>
      </c>
      <c r="G196" s="2" t="str">
        <f>""</f>
        <v/>
      </c>
      <c r="H196" s="3">
        <v>-455050209.44999999</v>
      </c>
    </row>
    <row r="197" spans="1:8" x14ac:dyDescent="0.3">
      <c r="A197" s="4">
        <v>44834</v>
      </c>
      <c r="B197" s="2">
        <v>36</v>
      </c>
      <c r="C197" s="2" t="str">
        <f>"1698"</f>
        <v>1698</v>
      </c>
      <c r="D197" s="2" t="str">
        <f>"Начисленная амортизация по транспортным средствам"</f>
        <v>Начисленная амортизация по транспортным средствам</v>
      </c>
      <c r="E197" s="2" t="str">
        <f>""</f>
        <v/>
      </c>
      <c r="F197" s="2" t="str">
        <f>""</f>
        <v/>
      </c>
      <c r="G197" s="2" t="str">
        <f>""</f>
        <v/>
      </c>
      <c r="H197" s="3">
        <v>-460277956.86000001</v>
      </c>
    </row>
    <row r="198" spans="1:8" x14ac:dyDescent="0.3">
      <c r="A198" s="4">
        <v>44834</v>
      </c>
      <c r="B198" s="2">
        <v>36</v>
      </c>
      <c r="C198" s="2" t="str">
        <f>"1699"</f>
        <v>1699</v>
      </c>
      <c r="D198" s="2" t="str">
        <f>"Начисленная амортизация по нематериальным активам"</f>
        <v>Начисленная амортизация по нематериальным активам</v>
      </c>
      <c r="E198" s="2" t="str">
        <f>""</f>
        <v/>
      </c>
      <c r="F198" s="2" t="str">
        <f>""</f>
        <v/>
      </c>
      <c r="G198" s="2" t="str">
        <f>""</f>
        <v/>
      </c>
      <c r="H198" s="3">
        <v>-8040919389.96</v>
      </c>
    </row>
    <row r="199" spans="1:8" x14ac:dyDescent="0.3">
      <c r="A199" s="4">
        <v>44834</v>
      </c>
      <c r="B199" s="2">
        <v>36</v>
      </c>
      <c r="C199" s="2" t="str">
        <f>"1710"</f>
        <v>1710</v>
      </c>
      <c r="D199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9" s="2" t="str">
        <f>"1"</f>
        <v>1</v>
      </c>
      <c r="F199" s="2" t="str">
        <f>"3"</f>
        <v>3</v>
      </c>
      <c r="G199" s="2" t="str">
        <f>"2"</f>
        <v>2</v>
      </c>
      <c r="H199" s="3">
        <v>236166104.99000001</v>
      </c>
    </row>
    <row r="200" spans="1:8" x14ac:dyDescent="0.3">
      <c r="A200" s="4">
        <v>44834</v>
      </c>
      <c r="B200" s="2">
        <v>36</v>
      </c>
      <c r="C200" s="2" t="str">
        <f>"1710"</f>
        <v>1710</v>
      </c>
      <c r="D200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0" s="2" t="str">
        <f>"1"</f>
        <v>1</v>
      </c>
      <c r="F200" s="2" t="str">
        <f>"3"</f>
        <v>3</v>
      </c>
      <c r="G200" s="2" t="str">
        <f>"1"</f>
        <v>1</v>
      </c>
      <c r="H200" s="3">
        <v>328055555.56</v>
      </c>
    </row>
    <row r="201" spans="1:8" x14ac:dyDescent="0.3">
      <c r="A201" s="4">
        <v>44834</v>
      </c>
      <c r="B201" s="2">
        <v>36</v>
      </c>
      <c r="C201" s="2" t="str">
        <f>"1725"</f>
        <v>1725</v>
      </c>
      <c r="D201" s="2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1" s="2" t="str">
        <f>"2"</f>
        <v>2</v>
      </c>
      <c r="F201" s="2" t="str">
        <f>"4"</f>
        <v>4</v>
      </c>
      <c r="G201" s="2" t="str">
        <f>"2"</f>
        <v>2</v>
      </c>
      <c r="H201" s="3">
        <v>27083086.879999999</v>
      </c>
    </row>
    <row r="202" spans="1:8" x14ac:dyDescent="0.3">
      <c r="A202" s="4">
        <v>44834</v>
      </c>
      <c r="B202" s="2">
        <v>36</v>
      </c>
      <c r="C202" s="2" t="str">
        <f>"1725"</f>
        <v>1725</v>
      </c>
      <c r="D202" s="2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2" s="2" t="str">
        <f>"2"</f>
        <v>2</v>
      </c>
      <c r="F202" s="2" t="str">
        <f>"3"</f>
        <v>3</v>
      </c>
      <c r="G202" s="2" t="str">
        <f>"2"</f>
        <v>2</v>
      </c>
      <c r="H202" s="3">
        <v>871790.89</v>
      </c>
    </row>
    <row r="203" spans="1:8" x14ac:dyDescent="0.3">
      <c r="A203" s="4">
        <v>44834</v>
      </c>
      <c r="B203" s="2">
        <v>36</v>
      </c>
      <c r="C203" s="2" t="str">
        <f>"1725"</f>
        <v>1725</v>
      </c>
      <c r="D203" s="2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3" s="2" t="str">
        <f>"1"</f>
        <v>1</v>
      </c>
      <c r="F203" s="2" t="str">
        <f>"4"</f>
        <v>4</v>
      </c>
      <c r="G203" s="2" t="str">
        <f>"1"</f>
        <v>1</v>
      </c>
      <c r="H203" s="3">
        <v>3850000</v>
      </c>
    </row>
    <row r="204" spans="1:8" x14ac:dyDescent="0.3">
      <c r="A204" s="4">
        <v>44834</v>
      </c>
      <c r="B204" s="2">
        <v>36</v>
      </c>
      <c r="C204" s="2" t="str">
        <f>"1730"</f>
        <v>1730</v>
      </c>
      <c r="D204" s="2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04" s="2" t="str">
        <f>"2"</f>
        <v>2</v>
      </c>
      <c r="F204" s="2" t="str">
        <f>"4"</f>
        <v>4</v>
      </c>
      <c r="G204" s="2" t="str">
        <f>"2"</f>
        <v>2</v>
      </c>
      <c r="H204" s="3">
        <v>38718483.630000003</v>
      </c>
    </row>
    <row r="205" spans="1:8" x14ac:dyDescent="0.3">
      <c r="A205" s="4">
        <v>44834</v>
      </c>
      <c r="B205" s="2">
        <v>36</v>
      </c>
      <c r="C205" s="2" t="str">
        <f t="shared" ref="C205:C213" si="36">"1740"</f>
        <v>1740</v>
      </c>
      <c r="D205" s="2" t="str">
        <f t="shared" ref="D205:D213" si="37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05" s="2" t="str">
        <f t="shared" ref="E205:E211" si="38">"1"</f>
        <v>1</v>
      </c>
      <c r="F205" s="2" t="str">
        <f>"7"</f>
        <v>7</v>
      </c>
      <c r="G205" s="2" t="str">
        <f>"2"</f>
        <v>2</v>
      </c>
      <c r="H205" s="3">
        <v>17784567493.75</v>
      </c>
    </row>
    <row r="206" spans="1:8" x14ac:dyDescent="0.3">
      <c r="A206" s="4">
        <v>44834</v>
      </c>
      <c r="B206" s="2">
        <v>36</v>
      </c>
      <c r="C206" s="2" t="str">
        <f t="shared" si="36"/>
        <v>1740</v>
      </c>
      <c r="D206" s="2" t="str">
        <f t="shared" si="37"/>
        <v>Начисленные доходы по займам и финансовому лизингу, предоставленным клиентам</v>
      </c>
      <c r="E206" s="2" t="str">
        <f t="shared" si="38"/>
        <v>1</v>
      </c>
      <c r="F206" s="2" t="str">
        <f>"9"</f>
        <v>9</v>
      </c>
      <c r="G206" s="2" t="str">
        <f>"1"</f>
        <v>1</v>
      </c>
      <c r="H206" s="3">
        <v>4009810362.9899998</v>
      </c>
    </row>
    <row r="207" spans="1:8" x14ac:dyDescent="0.3">
      <c r="A207" s="4">
        <v>44834</v>
      </c>
      <c r="B207" s="2">
        <v>36</v>
      </c>
      <c r="C207" s="2" t="str">
        <f t="shared" si="36"/>
        <v>1740</v>
      </c>
      <c r="D207" s="2" t="str">
        <f t="shared" si="37"/>
        <v>Начисленные доходы по займам и финансовому лизингу, предоставленным клиентам</v>
      </c>
      <c r="E207" s="2" t="str">
        <f t="shared" si="38"/>
        <v>1</v>
      </c>
      <c r="F207" s="2" t="str">
        <f>"5"</f>
        <v>5</v>
      </c>
      <c r="G207" s="2" t="str">
        <f>"1"</f>
        <v>1</v>
      </c>
      <c r="H207" s="3">
        <v>135760018.47</v>
      </c>
    </row>
    <row r="208" spans="1:8" x14ac:dyDescent="0.3">
      <c r="A208" s="4">
        <v>44834</v>
      </c>
      <c r="B208" s="2">
        <v>36</v>
      </c>
      <c r="C208" s="2" t="str">
        <f t="shared" si="36"/>
        <v>1740</v>
      </c>
      <c r="D208" s="2" t="str">
        <f t="shared" si="37"/>
        <v>Начисленные доходы по займам и финансовому лизингу, предоставленным клиентам</v>
      </c>
      <c r="E208" s="2" t="str">
        <f t="shared" si="38"/>
        <v>1</v>
      </c>
      <c r="F208" s="2" t="str">
        <f>"9"</f>
        <v>9</v>
      </c>
      <c r="G208" s="2" t="str">
        <f>"2"</f>
        <v>2</v>
      </c>
      <c r="H208" s="3">
        <v>5207986.84</v>
      </c>
    </row>
    <row r="209" spans="1:8" x14ac:dyDescent="0.3">
      <c r="A209" s="4">
        <v>44834</v>
      </c>
      <c r="B209" s="2">
        <v>36</v>
      </c>
      <c r="C209" s="2" t="str">
        <f t="shared" si="36"/>
        <v>1740</v>
      </c>
      <c r="D209" s="2" t="str">
        <f t="shared" si="37"/>
        <v>Начисленные доходы по займам и финансовому лизингу, предоставленным клиентам</v>
      </c>
      <c r="E209" s="2" t="str">
        <f t="shared" si="38"/>
        <v>1</v>
      </c>
      <c r="F209" s="2" t="str">
        <f>"6"</f>
        <v>6</v>
      </c>
      <c r="G209" s="2" t="str">
        <f>"1"</f>
        <v>1</v>
      </c>
      <c r="H209" s="3">
        <v>98459325.599999994</v>
      </c>
    </row>
    <row r="210" spans="1:8" x14ac:dyDescent="0.3">
      <c r="A210" s="4">
        <v>44834</v>
      </c>
      <c r="B210" s="2">
        <v>36</v>
      </c>
      <c r="C210" s="2" t="str">
        <f t="shared" si="36"/>
        <v>1740</v>
      </c>
      <c r="D210" s="2" t="str">
        <f t="shared" si="37"/>
        <v>Начисленные доходы по займам и финансовому лизингу, предоставленным клиентам</v>
      </c>
      <c r="E210" s="2" t="str">
        <f t="shared" si="38"/>
        <v>1</v>
      </c>
      <c r="F210" s="2" t="str">
        <f>"8"</f>
        <v>8</v>
      </c>
      <c r="G210" s="2" t="str">
        <f>"1"</f>
        <v>1</v>
      </c>
      <c r="H210" s="3">
        <v>4888986.76</v>
      </c>
    </row>
    <row r="211" spans="1:8" x14ac:dyDescent="0.3">
      <c r="A211" s="4">
        <v>44834</v>
      </c>
      <c r="B211" s="2">
        <v>36</v>
      </c>
      <c r="C211" s="2" t="str">
        <f t="shared" si="36"/>
        <v>1740</v>
      </c>
      <c r="D211" s="2" t="str">
        <f t="shared" si="37"/>
        <v>Начисленные доходы по займам и финансовому лизингу, предоставленным клиентам</v>
      </c>
      <c r="E211" s="2" t="str">
        <f t="shared" si="38"/>
        <v>1</v>
      </c>
      <c r="F211" s="2" t="str">
        <f>"7"</f>
        <v>7</v>
      </c>
      <c r="G211" s="2" t="str">
        <f>"1"</f>
        <v>1</v>
      </c>
      <c r="H211" s="3">
        <v>22307746024.57</v>
      </c>
    </row>
    <row r="212" spans="1:8" x14ac:dyDescent="0.3">
      <c r="A212" s="4">
        <v>44834</v>
      </c>
      <c r="B212" s="2">
        <v>36</v>
      </c>
      <c r="C212" s="2" t="str">
        <f t="shared" si="36"/>
        <v>1740</v>
      </c>
      <c r="D212" s="2" t="str">
        <f t="shared" si="37"/>
        <v>Начисленные доходы по займам и финансовому лизингу, предоставленным клиентам</v>
      </c>
      <c r="E212" s="2" t="str">
        <f>"2"</f>
        <v>2</v>
      </c>
      <c r="F212" s="2" t="str">
        <f>"9"</f>
        <v>9</v>
      </c>
      <c r="G212" s="2" t="str">
        <f>"2"</f>
        <v>2</v>
      </c>
      <c r="H212" s="3">
        <v>623150.54</v>
      </c>
    </row>
    <row r="213" spans="1:8" x14ac:dyDescent="0.3">
      <c r="A213" s="4">
        <v>44834</v>
      </c>
      <c r="B213" s="2">
        <v>36</v>
      </c>
      <c r="C213" s="2" t="str">
        <f t="shared" si="36"/>
        <v>1740</v>
      </c>
      <c r="D213" s="2" t="str">
        <f t="shared" si="37"/>
        <v>Начисленные доходы по займам и финансовому лизингу, предоставленным клиентам</v>
      </c>
      <c r="E213" s="2" t="str">
        <f>"2"</f>
        <v>2</v>
      </c>
      <c r="F213" s="2" t="str">
        <f>"9"</f>
        <v>9</v>
      </c>
      <c r="G213" s="2" t="str">
        <f>"1"</f>
        <v>1</v>
      </c>
      <c r="H213" s="3">
        <v>484643.38</v>
      </c>
    </row>
    <row r="214" spans="1:8" x14ac:dyDescent="0.3">
      <c r="A214" s="4">
        <v>44834</v>
      </c>
      <c r="B214" s="2">
        <v>36</v>
      </c>
      <c r="C214" s="2" t="str">
        <f t="shared" ref="C214:C221" si="39">"1741"</f>
        <v>1741</v>
      </c>
      <c r="D214" s="2" t="str">
        <f t="shared" ref="D214:D221" si="40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4" s="2" t="str">
        <f>"1"</f>
        <v>1</v>
      </c>
      <c r="F214" s="2" t="str">
        <f>"7"</f>
        <v>7</v>
      </c>
      <c r="G214" s="2" t="str">
        <f>"1"</f>
        <v>1</v>
      </c>
      <c r="H214" s="3">
        <v>57862730667.239998</v>
      </c>
    </row>
    <row r="215" spans="1:8" x14ac:dyDescent="0.3">
      <c r="A215" s="4">
        <v>44834</v>
      </c>
      <c r="B215" s="2">
        <v>36</v>
      </c>
      <c r="C215" s="2" t="str">
        <f t="shared" si="39"/>
        <v>1741</v>
      </c>
      <c r="D215" s="2" t="str">
        <f t="shared" si="40"/>
        <v>Просроченное вознаграждение по займам и финансовому лизингу, предоставленным клиентам</v>
      </c>
      <c r="E215" s="2" t="str">
        <f>"2"</f>
        <v>2</v>
      </c>
      <c r="F215" s="2" t="str">
        <f>"9"</f>
        <v>9</v>
      </c>
      <c r="G215" s="2" t="str">
        <f>"2"</f>
        <v>2</v>
      </c>
      <c r="H215" s="3">
        <v>89837</v>
      </c>
    </row>
    <row r="216" spans="1:8" x14ac:dyDescent="0.3">
      <c r="A216" s="4">
        <v>44834</v>
      </c>
      <c r="B216" s="2">
        <v>36</v>
      </c>
      <c r="C216" s="2" t="str">
        <f t="shared" si="39"/>
        <v>1741</v>
      </c>
      <c r="D216" s="2" t="str">
        <f t="shared" si="40"/>
        <v>Просроченное вознаграждение по займам и финансовому лизингу, предоставленным клиентам</v>
      </c>
      <c r="E216" s="2" t="str">
        <f>"1"</f>
        <v>1</v>
      </c>
      <c r="F216" s="2" t="str">
        <f>"9"</f>
        <v>9</v>
      </c>
      <c r="G216" s="2" t="str">
        <f>"2"</f>
        <v>2</v>
      </c>
      <c r="H216" s="3">
        <v>143713661.44</v>
      </c>
    </row>
    <row r="217" spans="1:8" x14ac:dyDescent="0.3">
      <c r="A217" s="4">
        <v>44834</v>
      </c>
      <c r="B217" s="2">
        <v>36</v>
      </c>
      <c r="C217" s="2" t="str">
        <f t="shared" si="39"/>
        <v>1741</v>
      </c>
      <c r="D217" s="2" t="str">
        <f t="shared" si="40"/>
        <v>Просроченное вознаграждение по займам и финансовому лизингу, предоставленным клиентам</v>
      </c>
      <c r="E217" s="2" t="str">
        <f>"2"</f>
        <v>2</v>
      </c>
      <c r="F217" s="2" t="str">
        <f>"7"</f>
        <v>7</v>
      </c>
      <c r="G217" s="2" t="str">
        <f>"1"</f>
        <v>1</v>
      </c>
      <c r="H217" s="3">
        <v>1870443877.25</v>
      </c>
    </row>
    <row r="218" spans="1:8" x14ac:dyDescent="0.3">
      <c r="A218" s="4">
        <v>44834</v>
      </c>
      <c r="B218" s="2">
        <v>36</v>
      </c>
      <c r="C218" s="2" t="str">
        <f t="shared" si="39"/>
        <v>1741</v>
      </c>
      <c r="D218" s="2" t="str">
        <f t="shared" si="40"/>
        <v>Просроченное вознаграждение по займам и финансовому лизингу, предоставленным клиентам</v>
      </c>
      <c r="E218" s="2" t="str">
        <f>"1"</f>
        <v>1</v>
      </c>
      <c r="F218" s="2" t="str">
        <f>"9"</f>
        <v>9</v>
      </c>
      <c r="G218" s="2" t="str">
        <f>"1"</f>
        <v>1</v>
      </c>
      <c r="H218" s="3">
        <v>5108988301.1999998</v>
      </c>
    </row>
    <row r="219" spans="1:8" x14ac:dyDescent="0.3">
      <c r="A219" s="4">
        <v>44834</v>
      </c>
      <c r="B219" s="2">
        <v>36</v>
      </c>
      <c r="C219" s="2" t="str">
        <f t="shared" si="39"/>
        <v>1741</v>
      </c>
      <c r="D219" s="2" t="str">
        <f t="shared" si="40"/>
        <v>Просроченное вознаграждение по займам и финансовому лизингу, предоставленным клиентам</v>
      </c>
      <c r="E219" s="2" t="str">
        <f>"2"</f>
        <v>2</v>
      </c>
      <c r="F219" s="2" t="str">
        <f>"9"</f>
        <v>9</v>
      </c>
      <c r="G219" s="2" t="str">
        <f>"1"</f>
        <v>1</v>
      </c>
      <c r="H219" s="3">
        <v>1577277.82</v>
      </c>
    </row>
    <row r="220" spans="1:8" x14ac:dyDescent="0.3">
      <c r="A220" s="4">
        <v>44834</v>
      </c>
      <c r="B220" s="2">
        <v>36</v>
      </c>
      <c r="C220" s="2" t="str">
        <f t="shared" si="39"/>
        <v>1741</v>
      </c>
      <c r="D220" s="2" t="str">
        <f t="shared" si="40"/>
        <v>Просроченное вознаграждение по займам и финансовому лизингу, предоставленным клиентам</v>
      </c>
      <c r="E220" s="2" t="str">
        <f t="shared" ref="E220:E226" si="41">"1"</f>
        <v>1</v>
      </c>
      <c r="F220" s="2" t="str">
        <f>"7"</f>
        <v>7</v>
      </c>
      <c r="G220" s="2" t="str">
        <f>"2"</f>
        <v>2</v>
      </c>
      <c r="H220" s="3">
        <v>4794571505.4399996</v>
      </c>
    </row>
    <row r="221" spans="1:8" x14ac:dyDescent="0.3">
      <c r="A221" s="4">
        <v>44834</v>
      </c>
      <c r="B221" s="2">
        <v>36</v>
      </c>
      <c r="C221" s="2" t="str">
        <f t="shared" si="39"/>
        <v>1741</v>
      </c>
      <c r="D221" s="2" t="str">
        <f t="shared" si="40"/>
        <v>Просроченное вознаграждение по займам и финансовому лизингу, предоставленным клиентам</v>
      </c>
      <c r="E221" s="2" t="str">
        <f t="shared" si="41"/>
        <v>1</v>
      </c>
      <c r="F221" s="2" t="str">
        <f>"5"</f>
        <v>5</v>
      </c>
      <c r="G221" s="2" t="str">
        <f>"1"</f>
        <v>1</v>
      </c>
      <c r="H221" s="3">
        <v>2174694271</v>
      </c>
    </row>
    <row r="222" spans="1:8" x14ac:dyDescent="0.3">
      <c r="A222" s="4">
        <v>44834</v>
      </c>
      <c r="B222" s="2">
        <v>36</v>
      </c>
      <c r="C222" s="2" t="str">
        <f>"1744"</f>
        <v>1744</v>
      </c>
      <c r="D222" s="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22" s="2" t="str">
        <f t="shared" si="41"/>
        <v>1</v>
      </c>
      <c r="F222" s="2" t="str">
        <f>"1"</f>
        <v>1</v>
      </c>
      <c r="G222" s="2" t="str">
        <f>"1"</f>
        <v>1</v>
      </c>
      <c r="H222" s="3">
        <v>12.82</v>
      </c>
    </row>
    <row r="223" spans="1:8" x14ac:dyDescent="0.3">
      <c r="A223" s="4">
        <v>44834</v>
      </c>
      <c r="B223" s="2">
        <v>36</v>
      </c>
      <c r="C223" s="2" t="str">
        <f>"1744"</f>
        <v>1744</v>
      </c>
      <c r="D223" s="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23" s="2" t="str">
        <f t="shared" si="41"/>
        <v>1</v>
      </c>
      <c r="F223" s="2" t="str">
        <f>"4"</f>
        <v>4</v>
      </c>
      <c r="G223" s="2" t="str">
        <f>"1"</f>
        <v>1</v>
      </c>
      <c r="H223" s="3">
        <v>4511111.1100000003</v>
      </c>
    </row>
    <row r="224" spans="1:8" x14ac:dyDescent="0.3">
      <c r="A224" s="4">
        <v>44834</v>
      </c>
      <c r="B224" s="2">
        <v>36</v>
      </c>
      <c r="C224" s="2" t="str">
        <f>"1745"</f>
        <v>1745</v>
      </c>
      <c r="D224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4" s="2" t="str">
        <f t="shared" si="41"/>
        <v>1</v>
      </c>
      <c r="F224" s="2" t="str">
        <f>"4"</f>
        <v>4</v>
      </c>
      <c r="G224" s="2" t="str">
        <f>"2"</f>
        <v>2</v>
      </c>
      <c r="H224" s="3">
        <v>529181202.74000001</v>
      </c>
    </row>
    <row r="225" spans="1:8" x14ac:dyDescent="0.3">
      <c r="A225" s="4">
        <v>44834</v>
      </c>
      <c r="B225" s="2">
        <v>36</v>
      </c>
      <c r="C225" s="2" t="str">
        <f>"1745"</f>
        <v>1745</v>
      </c>
      <c r="D225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5" s="2" t="str">
        <f t="shared" si="41"/>
        <v>1</v>
      </c>
      <c r="F225" s="2" t="str">
        <f>"1"</f>
        <v>1</v>
      </c>
      <c r="G225" s="2" t="str">
        <f>"1"</f>
        <v>1</v>
      </c>
      <c r="H225" s="3">
        <v>253825</v>
      </c>
    </row>
    <row r="226" spans="1:8" x14ac:dyDescent="0.3">
      <c r="A226" s="4">
        <v>44834</v>
      </c>
      <c r="B226" s="2">
        <v>36</v>
      </c>
      <c r="C226" s="2" t="str">
        <f>"1745"</f>
        <v>1745</v>
      </c>
      <c r="D226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6" s="2" t="str">
        <f t="shared" si="41"/>
        <v>1</v>
      </c>
      <c r="F226" s="2" t="str">
        <f>"1"</f>
        <v>1</v>
      </c>
      <c r="G226" s="2" t="str">
        <f>"2"</f>
        <v>2</v>
      </c>
      <c r="H226" s="3">
        <v>371046060.56</v>
      </c>
    </row>
    <row r="227" spans="1:8" x14ac:dyDescent="0.3">
      <c r="A227" s="4">
        <v>44834</v>
      </c>
      <c r="B227" s="2">
        <v>36</v>
      </c>
      <c r="C227" s="2" t="str">
        <f>"1745"</f>
        <v>1745</v>
      </c>
      <c r="D227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7" s="2" t="str">
        <f>"2"</f>
        <v>2</v>
      </c>
      <c r="F227" s="2" t="str">
        <f>"3"</f>
        <v>3</v>
      </c>
      <c r="G227" s="2" t="str">
        <f>"1"</f>
        <v>1</v>
      </c>
      <c r="H227" s="3">
        <v>27222223.870000001</v>
      </c>
    </row>
    <row r="228" spans="1:8" x14ac:dyDescent="0.3">
      <c r="A228" s="4">
        <v>44834</v>
      </c>
      <c r="B228" s="2">
        <v>36</v>
      </c>
      <c r="C228" s="2" t="str">
        <f>"1746"</f>
        <v>1746</v>
      </c>
      <c r="D228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8" s="2" t="str">
        <f>"1"</f>
        <v>1</v>
      </c>
      <c r="F228" s="2" t="str">
        <f>"1"</f>
        <v>1</v>
      </c>
      <c r="G228" s="2" t="str">
        <f>"2"</f>
        <v>2</v>
      </c>
      <c r="H228" s="3">
        <v>54597048.079999998</v>
      </c>
    </row>
    <row r="229" spans="1:8" x14ac:dyDescent="0.3">
      <c r="A229" s="4">
        <v>44834</v>
      </c>
      <c r="B229" s="2">
        <v>36</v>
      </c>
      <c r="C229" s="2" t="str">
        <f>"1746"</f>
        <v>1746</v>
      </c>
      <c r="D229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9" s="2" t="str">
        <f>"1"</f>
        <v>1</v>
      </c>
      <c r="F229" s="2" t="str">
        <f>"5"</f>
        <v>5</v>
      </c>
      <c r="G229" s="2" t="str">
        <f>"1"</f>
        <v>1</v>
      </c>
      <c r="H229" s="3">
        <v>4443635922.7799997</v>
      </c>
    </row>
    <row r="230" spans="1:8" x14ac:dyDescent="0.3">
      <c r="A230" s="4">
        <v>44834</v>
      </c>
      <c r="B230" s="2">
        <v>36</v>
      </c>
      <c r="C230" s="2" t="str">
        <f>"1746"</f>
        <v>1746</v>
      </c>
      <c r="D230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0" s="2" t="str">
        <f>"1"</f>
        <v>1</v>
      </c>
      <c r="F230" s="2" t="str">
        <f>"6"</f>
        <v>6</v>
      </c>
      <c r="G230" s="2" t="str">
        <f>"2"</f>
        <v>2</v>
      </c>
      <c r="H230" s="3">
        <v>202601750</v>
      </c>
    </row>
    <row r="231" spans="1:8" x14ac:dyDescent="0.3">
      <c r="A231" s="4">
        <v>44834</v>
      </c>
      <c r="B231" s="2">
        <v>36</v>
      </c>
      <c r="C231" s="2" t="str">
        <f>"1746"</f>
        <v>1746</v>
      </c>
      <c r="D231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1" s="2" t="str">
        <f>"1"</f>
        <v>1</v>
      </c>
      <c r="F231" s="2" t="str">
        <f>"1"</f>
        <v>1</v>
      </c>
      <c r="G231" s="2" t="str">
        <f>"1"</f>
        <v>1</v>
      </c>
      <c r="H231" s="3">
        <v>2566197980.4099998</v>
      </c>
    </row>
    <row r="232" spans="1:8" x14ac:dyDescent="0.3">
      <c r="A232" s="4">
        <v>44834</v>
      </c>
      <c r="B232" s="2">
        <v>36</v>
      </c>
      <c r="C232" s="2" t="str">
        <f>"1747"</f>
        <v>1747</v>
      </c>
      <c r="D232" s="2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32" s="2" t="str">
        <f>"2"</f>
        <v>2</v>
      </c>
      <c r="F232" s="2" t="str">
        <f>"4"</f>
        <v>4</v>
      </c>
      <c r="G232" s="2" t="str">
        <f>"2"</f>
        <v>2</v>
      </c>
      <c r="H232" s="3">
        <v>2350900.13</v>
      </c>
    </row>
    <row r="233" spans="1:8" x14ac:dyDescent="0.3">
      <c r="A233" s="4">
        <v>44834</v>
      </c>
      <c r="B233" s="2">
        <v>36</v>
      </c>
      <c r="C233" s="2" t="str">
        <f>"1748"</f>
        <v>1748</v>
      </c>
      <c r="D233" s="2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E233" s="2" t="str">
        <f>"1"</f>
        <v>1</v>
      </c>
      <c r="F233" s="2" t="str">
        <f>"5"</f>
        <v>5</v>
      </c>
      <c r="G233" s="2" t="str">
        <f>"1"</f>
        <v>1</v>
      </c>
      <c r="H233" s="3">
        <v>8138632.25</v>
      </c>
    </row>
    <row r="234" spans="1:8" x14ac:dyDescent="0.3">
      <c r="A234" s="4">
        <v>44834</v>
      </c>
      <c r="B234" s="2">
        <v>36</v>
      </c>
      <c r="C234" s="2" t="str">
        <f>"1752"</f>
        <v>1752</v>
      </c>
      <c r="D234" s="2" t="str">
        <f>"Начисленные доходы по учтенным векселям"</f>
        <v>Начисленные доходы по учтенным векселям</v>
      </c>
      <c r="E234" s="2" t="str">
        <f>"1"</f>
        <v>1</v>
      </c>
      <c r="F234" s="2" t="str">
        <f>"1"</f>
        <v>1</v>
      </c>
      <c r="G234" s="2" t="str">
        <f>"2"</f>
        <v>2</v>
      </c>
      <c r="H234" s="3">
        <v>328757712.35000002</v>
      </c>
    </row>
    <row r="235" spans="1:8" x14ac:dyDescent="0.3">
      <c r="A235" s="4">
        <v>44834</v>
      </c>
      <c r="B235" s="2">
        <v>36</v>
      </c>
      <c r="C235" s="2" t="str">
        <f>"1752"</f>
        <v>1752</v>
      </c>
      <c r="D235" s="2" t="str">
        <f>"Начисленные доходы по учтенным векселям"</f>
        <v>Начисленные доходы по учтенным векселям</v>
      </c>
      <c r="E235" s="2" t="str">
        <f>"1"</f>
        <v>1</v>
      </c>
      <c r="F235" s="2" t="str">
        <f>"1"</f>
        <v>1</v>
      </c>
      <c r="G235" s="2" t="str">
        <f>"1"</f>
        <v>1</v>
      </c>
      <c r="H235" s="3">
        <v>1525472000</v>
      </c>
    </row>
    <row r="236" spans="1:8" x14ac:dyDescent="0.3">
      <c r="A236" s="4">
        <v>44834</v>
      </c>
      <c r="B236" s="2">
        <v>36</v>
      </c>
      <c r="C236" s="2" t="str">
        <f t="shared" ref="C236:C243" si="42">"1793"</f>
        <v>1793</v>
      </c>
      <c r="D236" s="2" t="str">
        <f t="shared" ref="D236:D243" si="43">"Расходы будущих периодов"</f>
        <v>Расходы будущих периодов</v>
      </c>
      <c r="E236" s="2" t="str">
        <f>"1"</f>
        <v>1</v>
      </c>
      <c r="F236" s="2" t="str">
        <f>"6"</f>
        <v>6</v>
      </c>
      <c r="G236" s="2" t="str">
        <f>"1"</f>
        <v>1</v>
      </c>
      <c r="H236" s="3">
        <v>17126.45</v>
      </c>
    </row>
    <row r="237" spans="1:8" x14ac:dyDescent="0.3">
      <c r="A237" s="4">
        <v>44834</v>
      </c>
      <c r="B237" s="2">
        <v>36</v>
      </c>
      <c r="C237" s="2" t="str">
        <f t="shared" si="42"/>
        <v>1793</v>
      </c>
      <c r="D237" s="2" t="str">
        <f t="shared" si="43"/>
        <v>Расходы будущих периодов</v>
      </c>
      <c r="E237" s="2" t="str">
        <f>"2"</f>
        <v>2</v>
      </c>
      <c r="F237" s="2" t="str">
        <f>"1"</f>
        <v>1</v>
      </c>
      <c r="G237" s="2" t="str">
        <f>"2"</f>
        <v>2</v>
      </c>
      <c r="H237" s="3">
        <v>2681665.37</v>
      </c>
    </row>
    <row r="238" spans="1:8" x14ac:dyDescent="0.3">
      <c r="A238" s="4">
        <v>44834</v>
      </c>
      <c r="B238" s="2">
        <v>36</v>
      </c>
      <c r="C238" s="2" t="str">
        <f t="shared" si="42"/>
        <v>1793</v>
      </c>
      <c r="D238" s="2" t="str">
        <f t="shared" si="43"/>
        <v>Расходы будущих периодов</v>
      </c>
      <c r="E238" s="2" t="str">
        <f>"1"</f>
        <v>1</v>
      </c>
      <c r="F238" s="2" t="str">
        <f>"5"</f>
        <v>5</v>
      </c>
      <c r="G238" s="2" t="str">
        <f t="shared" ref="G238:G252" si="44">"1"</f>
        <v>1</v>
      </c>
      <c r="H238" s="3">
        <v>59529934.859999999</v>
      </c>
    </row>
    <row r="239" spans="1:8" x14ac:dyDescent="0.3">
      <c r="A239" s="4">
        <v>44834</v>
      </c>
      <c r="B239" s="2">
        <v>36</v>
      </c>
      <c r="C239" s="2" t="str">
        <f t="shared" si="42"/>
        <v>1793</v>
      </c>
      <c r="D239" s="2" t="str">
        <f t="shared" si="43"/>
        <v>Расходы будущих периодов</v>
      </c>
      <c r="E239" s="2" t="str">
        <f>"1"</f>
        <v>1</v>
      </c>
      <c r="F239" s="2" t="str">
        <f>"7"</f>
        <v>7</v>
      </c>
      <c r="G239" s="2" t="str">
        <f t="shared" si="44"/>
        <v>1</v>
      </c>
      <c r="H239" s="3">
        <v>986935530.36000001</v>
      </c>
    </row>
    <row r="240" spans="1:8" x14ac:dyDescent="0.3">
      <c r="A240" s="4">
        <v>44834</v>
      </c>
      <c r="B240" s="2">
        <v>36</v>
      </c>
      <c r="C240" s="2" t="str">
        <f t="shared" si="42"/>
        <v>1793</v>
      </c>
      <c r="D240" s="2" t="str">
        <f t="shared" si="43"/>
        <v>Расходы будущих периодов</v>
      </c>
      <c r="E240" s="2" t="str">
        <f>"1"</f>
        <v>1</v>
      </c>
      <c r="F240" s="2" t="str">
        <f>"9"</f>
        <v>9</v>
      </c>
      <c r="G240" s="2" t="str">
        <f t="shared" si="44"/>
        <v>1</v>
      </c>
      <c r="H240" s="3">
        <v>260865.74</v>
      </c>
    </row>
    <row r="241" spans="1:8" x14ac:dyDescent="0.3">
      <c r="A241" s="4">
        <v>44834</v>
      </c>
      <c r="B241" s="2">
        <v>36</v>
      </c>
      <c r="C241" s="2" t="str">
        <f t="shared" si="42"/>
        <v>1793</v>
      </c>
      <c r="D241" s="2" t="str">
        <f t="shared" si="43"/>
        <v>Расходы будущих периодов</v>
      </c>
      <c r="E241" s="2" t="str">
        <f>"1"</f>
        <v>1</v>
      </c>
      <c r="F241" s="2" t="str">
        <f>"8"</f>
        <v>8</v>
      </c>
      <c r="G241" s="2" t="str">
        <f t="shared" si="44"/>
        <v>1</v>
      </c>
      <c r="H241" s="3">
        <v>5159166.6900000004</v>
      </c>
    </row>
    <row r="242" spans="1:8" x14ac:dyDescent="0.3">
      <c r="A242" s="4">
        <v>44834</v>
      </c>
      <c r="B242" s="2">
        <v>36</v>
      </c>
      <c r="C242" s="2" t="str">
        <f t="shared" si="42"/>
        <v>1793</v>
      </c>
      <c r="D242" s="2" t="str">
        <f t="shared" si="43"/>
        <v>Расходы будущих периодов</v>
      </c>
      <c r="E242" s="2" t="str">
        <f>"2"</f>
        <v>2</v>
      </c>
      <c r="F242" s="2" t="str">
        <f>"5"</f>
        <v>5</v>
      </c>
      <c r="G242" s="2" t="str">
        <f t="shared" si="44"/>
        <v>1</v>
      </c>
      <c r="H242" s="3">
        <v>14187121.470000001</v>
      </c>
    </row>
    <row r="243" spans="1:8" x14ac:dyDescent="0.3">
      <c r="A243" s="4">
        <v>44834</v>
      </c>
      <c r="B243" s="2">
        <v>36</v>
      </c>
      <c r="C243" s="2" t="str">
        <f t="shared" si="42"/>
        <v>1793</v>
      </c>
      <c r="D243" s="2" t="str">
        <f t="shared" si="43"/>
        <v>Расходы будущих периодов</v>
      </c>
      <c r="E243" s="2" t="str">
        <f>"2"</f>
        <v>2</v>
      </c>
      <c r="F243" s="2" t="str">
        <f>"7"</f>
        <v>7</v>
      </c>
      <c r="G243" s="2" t="str">
        <f t="shared" si="44"/>
        <v>1</v>
      </c>
      <c r="H243" s="3">
        <v>75190991.829999998</v>
      </c>
    </row>
    <row r="244" spans="1:8" x14ac:dyDescent="0.3">
      <c r="A244" s="4">
        <v>44834</v>
      </c>
      <c r="B244" s="2">
        <v>36</v>
      </c>
      <c r="C244" s="2" t="str">
        <f t="shared" ref="C244:C249" si="45">"1799"</f>
        <v>1799</v>
      </c>
      <c r="D244" s="2" t="str">
        <f t="shared" ref="D244:D249" si="46">"Прочие предоплаты"</f>
        <v>Прочие предоплаты</v>
      </c>
      <c r="E244" s="2" t="str">
        <f>"1"</f>
        <v>1</v>
      </c>
      <c r="F244" s="2" t="str">
        <f>"9"</f>
        <v>9</v>
      </c>
      <c r="G244" s="2" t="str">
        <f t="shared" si="44"/>
        <v>1</v>
      </c>
      <c r="H244" s="3">
        <v>136316126</v>
      </c>
    </row>
    <row r="245" spans="1:8" x14ac:dyDescent="0.3">
      <c r="A245" s="4">
        <v>44834</v>
      </c>
      <c r="B245" s="2">
        <v>36</v>
      </c>
      <c r="C245" s="2" t="str">
        <f t="shared" si="45"/>
        <v>1799</v>
      </c>
      <c r="D245" s="2" t="str">
        <f t="shared" si="46"/>
        <v>Прочие предоплаты</v>
      </c>
      <c r="E245" s="2" t="str">
        <f>"1"</f>
        <v>1</v>
      </c>
      <c r="F245" s="2" t="str">
        <f>"5"</f>
        <v>5</v>
      </c>
      <c r="G245" s="2" t="str">
        <f t="shared" si="44"/>
        <v>1</v>
      </c>
      <c r="H245" s="3">
        <v>1453612987.1900001</v>
      </c>
    </row>
    <row r="246" spans="1:8" x14ac:dyDescent="0.3">
      <c r="A246" s="4">
        <v>44834</v>
      </c>
      <c r="B246" s="2">
        <v>36</v>
      </c>
      <c r="C246" s="2" t="str">
        <f t="shared" si="45"/>
        <v>1799</v>
      </c>
      <c r="D246" s="2" t="str">
        <f t="shared" si="46"/>
        <v>Прочие предоплаты</v>
      </c>
      <c r="E246" s="2" t="str">
        <f>"1"</f>
        <v>1</v>
      </c>
      <c r="F246" s="2" t="str">
        <f>"7"</f>
        <v>7</v>
      </c>
      <c r="G246" s="2" t="str">
        <f t="shared" si="44"/>
        <v>1</v>
      </c>
      <c r="H246" s="3">
        <v>985517174.36000001</v>
      </c>
    </row>
    <row r="247" spans="1:8" x14ac:dyDescent="0.3">
      <c r="A247" s="4">
        <v>44834</v>
      </c>
      <c r="B247" s="2">
        <v>36</v>
      </c>
      <c r="C247" s="2" t="str">
        <f t="shared" si="45"/>
        <v>1799</v>
      </c>
      <c r="D247" s="2" t="str">
        <f t="shared" si="46"/>
        <v>Прочие предоплаты</v>
      </c>
      <c r="E247" s="2" t="str">
        <f>"1"</f>
        <v>1</v>
      </c>
      <c r="F247" s="2" t="str">
        <f>"6"</f>
        <v>6</v>
      </c>
      <c r="G247" s="2" t="str">
        <f t="shared" si="44"/>
        <v>1</v>
      </c>
      <c r="H247" s="3">
        <v>2026412.4</v>
      </c>
    </row>
    <row r="248" spans="1:8" x14ac:dyDescent="0.3">
      <c r="A248" s="4">
        <v>44834</v>
      </c>
      <c r="B248" s="2">
        <v>36</v>
      </c>
      <c r="C248" s="2" t="str">
        <f t="shared" si="45"/>
        <v>1799</v>
      </c>
      <c r="D248" s="2" t="str">
        <f t="shared" si="46"/>
        <v>Прочие предоплаты</v>
      </c>
      <c r="E248" s="2" t="str">
        <f>"2"</f>
        <v>2</v>
      </c>
      <c r="F248" s="2" t="str">
        <f>"7"</f>
        <v>7</v>
      </c>
      <c r="G248" s="2" t="str">
        <f t="shared" si="44"/>
        <v>1</v>
      </c>
      <c r="H248" s="3">
        <v>1082747010.5899999</v>
      </c>
    </row>
    <row r="249" spans="1:8" x14ac:dyDescent="0.3">
      <c r="A249" s="4">
        <v>44834</v>
      </c>
      <c r="B249" s="2">
        <v>36</v>
      </c>
      <c r="C249" s="2" t="str">
        <f t="shared" si="45"/>
        <v>1799</v>
      </c>
      <c r="D249" s="2" t="str">
        <f t="shared" si="46"/>
        <v>Прочие предоплаты</v>
      </c>
      <c r="E249" s="2" t="str">
        <f>"2"</f>
        <v>2</v>
      </c>
      <c r="F249" s="2" t="str">
        <f>"2"</f>
        <v>2</v>
      </c>
      <c r="G249" s="2" t="str">
        <f t="shared" si="44"/>
        <v>1</v>
      </c>
      <c r="H249" s="3">
        <v>1042200</v>
      </c>
    </row>
    <row r="250" spans="1:8" x14ac:dyDescent="0.3">
      <c r="A250" s="4">
        <v>44834</v>
      </c>
      <c r="B250" s="2">
        <v>36</v>
      </c>
      <c r="C250" s="2" t="str">
        <f>"1811"</f>
        <v>1811</v>
      </c>
      <c r="D250" s="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50" s="2" t="str">
        <f>"1"</f>
        <v>1</v>
      </c>
      <c r="F250" s="2" t="str">
        <f>""</f>
        <v/>
      </c>
      <c r="G250" s="2" t="str">
        <f t="shared" si="44"/>
        <v>1</v>
      </c>
      <c r="H250" s="3">
        <v>18121113.41</v>
      </c>
    </row>
    <row r="251" spans="1:8" x14ac:dyDescent="0.3">
      <c r="A251" s="4">
        <v>44834</v>
      </c>
      <c r="B251" s="2">
        <v>36</v>
      </c>
      <c r="C251" s="2" t="str">
        <f>"1812"</f>
        <v>1812</v>
      </c>
      <c r="D251" s="2" t="str">
        <f>"Начисленные комиссионные доходы за агентские услуги"</f>
        <v>Начисленные комиссионные доходы за агентские услуги</v>
      </c>
      <c r="E251" s="2" t="str">
        <f>"1"</f>
        <v>1</v>
      </c>
      <c r="F251" s="2" t="str">
        <f>""</f>
        <v/>
      </c>
      <c r="G251" s="2" t="str">
        <f t="shared" si="44"/>
        <v>1</v>
      </c>
      <c r="H251" s="3">
        <v>1588102.3</v>
      </c>
    </row>
    <row r="252" spans="1:8" x14ac:dyDescent="0.3">
      <c r="A252" s="4">
        <v>44834</v>
      </c>
      <c r="B252" s="2">
        <v>36</v>
      </c>
      <c r="C252" s="2" t="str">
        <f>"1816"</f>
        <v>1816</v>
      </c>
      <c r="D252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2" s="2" t="str">
        <f>"1"</f>
        <v>1</v>
      </c>
      <c r="F252" s="2" t="str">
        <f>""</f>
        <v/>
      </c>
      <c r="G252" s="2" t="str">
        <f t="shared" si="44"/>
        <v>1</v>
      </c>
      <c r="H252" s="3">
        <v>1064291134.9</v>
      </c>
    </row>
    <row r="253" spans="1:8" x14ac:dyDescent="0.3">
      <c r="A253" s="4">
        <v>44834</v>
      </c>
      <c r="B253" s="2">
        <v>36</v>
      </c>
      <c r="C253" s="2" t="str">
        <f>"1816"</f>
        <v>1816</v>
      </c>
      <c r="D253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3" s="2" t="str">
        <f>"1"</f>
        <v>1</v>
      </c>
      <c r="F253" s="2" t="str">
        <f>""</f>
        <v/>
      </c>
      <c r="G253" s="2" t="str">
        <f>"3"</f>
        <v>3</v>
      </c>
      <c r="H253" s="3">
        <v>5934955.5199999996</v>
      </c>
    </row>
    <row r="254" spans="1:8" x14ac:dyDescent="0.3">
      <c r="A254" s="4">
        <v>44834</v>
      </c>
      <c r="B254" s="2">
        <v>36</v>
      </c>
      <c r="C254" s="2" t="str">
        <f>"1816"</f>
        <v>1816</v>
      </c>
      <c r="D254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4" s="2" t="str">
        <f>"1"</f>
        <v>1</v>
      </c>
      <c r="F254" s="2" t="str">
        <f>""</f>
        <v/>
      </c>
      <c r="G254" s="2" t="str">
        <f>"2"</f>
        <v>2</v>
      </c>
      <c r="H254" s="3">
        <v>60291233.420000002</v>
      </c>
    </row>
    <row r="255" spans="1:8" x14ac:dyDescent="0.3">
      <c r="A255" s="4">
        <v>44834</v>
      </c>
      <c r="B255" s="2">
        <v>36</v>
      </c>
      <c r="C255" s="2" t="str">
        <f>"1816"</f>
        <v>1816</v>
      </c>
      <c r="D255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5" s="2" t="str">
        <f>"2"</f>
        <v>2</v>
      </c>
      <c r="F255" s="2" t="str">
        <f>""</f>
        <v/>
      </c>
      <c r="G255" s="2" t="str">
        <f>"2"</f>
        <v>2</v>
      </c>
      <c r="H255" s="3">
        <v>2274097.38</v>
      </c>
    </row>
    <row r="256" spans="1:8" x14ac:dyDescent="0.3">
      <c r="A256" s="4">
        <v>44834</v>
      </c>
      <c r="B256" s="2">
        <v>36</v>
      </c>
      <c r="C256" s="2" t="str">
        <f>"1817"</f>
        <v>1817</v>
      </c>
      <c r="D256" s="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6" s="2" t="str">
        <f>"1"</f>
        <v>1</v>
      </c>
      <c r="F256" s="2" t="str">
        <f>""</f>
        <v/>
      </c>
      <c r="G256" s="2" t="str">
        <f>"1"</f>
        <v>1</v>
      </c>
      <c r="H256" s="3">
        <v>423932.66</v>
      </c>
    </row>
    <row r="257" spans="1:8" x14ac:dyDescent="0.3">
      <c r="A257" s="4">
        <v>44834</v>
      </c>
      <c r="B257" s="2">
        <v>36</v>
      </c>
      <c r="C257" s="2" t="str">
        <f>"1817"</f>
        <v>1817</v>
      </c>
      <c r="D257" s="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7" s="2" t="str">
        <f>"1"</f>
        <v>1</v>
      </c>
      <c r="F257" s="2" t="str">
        <f>""</f>
        <v/>
      </c>
      <c r="G257" s="2" t="str">
        <f>"2"</f>
        <v>2</v>
      </c>
      <c r="H257" s="3">
        <v>10806.94</v>
      </c>
    </row>
    <row r="258" spans="1:8" x14ac:dyDescent="0.3">
      <c r="A258" s="4">
        <v>44834</v>
      </c>
      <c r="B258" s="2">
        <v>36</v>
      </c>
      <c r="C258" s="2" t="str">
        <f>"1817"</f>
        <v>1817</v>
      </c>
      <c r="D258" s="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8" s="2" t="str">
        <f>"2"</f>
        <v>2</v>
      </c>
      <c r="F258" s="2" t="str">
        <f>""</f>
        <v/>
      </c>
      <c r="G258" s="2" t="str">
        <f>"1"</f>
        <v>1</v>
      </c>
      <c r="H258" s="3">
        <v>148.79</v>
      </c>
    </row>
    <row r="259" spans="1:8" x14ac:dyDescent="0.3">
      <c r="A259" s="4">
        <v>44834</v>
      </c>
      <c r="B259" s="2">
        <v>36</v>
      </c>
      <c r="C259" s="2" t="str">
        <f>"1818"</f>
        <v>1818</v>
      </c>
      <c r="D259" s="2" t="str">
        <f>"Начисленные прочие комиссионные доходы"</f>
        <v>Начисленные прочие комиссионные доходы</v>
      </c>
      <c r="E259" s="2" t="str">
        <f>"2"</f>
        <v>2</v>
      </c>
      <c r="F259" s="2" t="str">
        <f>""</f>
        <v/>
      </c>
      <c r="G259" s="2" t="str">
        <f>"1"</f>
        <v>1</v>
      </c>
      <c r="H259" s="3">
        <v>15221.41</v>
      </c>
    </row>
    <row r="260" spans="1:8" x14ac:dyDescent="0.3">
      <c r="A260" s="4">
        <v>44834</v>
      </c>
      <c r="B260" s="2">
        <v>36</v>
      </c>
      <c r="C260" s="2" t="str">
        <f>"1818"</f>
        <v>1818</v>
      </c>
      <c r="D260" s="2" t="str">
        <f>"Начисленные прочие комиссионные доходы"</f>
        <v>Начисленные прочие комиссионные доходы</v>
      </c>
      <c r="E260" s="2" t="str">
        <f t="shared" ref="E260:E267" si="47">"1"</f>
        <v>1</v>
      </c>
      <c r="F260" s="2" t="str">
        <f>""</f>
        <v/>
      </c>
      <c r="G260" s="2" t="str">
        <f>"1"</f>
        <v>1</v>
      </c>
      <c r="H260" s="3">
        <v>24722181.100000001</v>
      </c>
    </row>
    <row r="261" spans="1:8" x14ac:dyDescent="0.3">
      <c r="A261" s="4">
        <v>44834</v>
      </c>
      <c r="B261" s="2">
        <v>36</v>
      </c>
      <c r="C261" s="2" t="str">
        <f>"1819"</f>
        <v>1819</v>
      </c>
      <c r="D261" s="2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1" s="2" t="str">
        <f t="shared" si="47"/>
        <v>1</v>
      </c>
      <c r="F261" s="2" t="str">
        <f>""</f>
        <v/>
      </c>
      <c r="G261" s="2" t="str">
        <f>"1"</f>
        <v>1</v>
      </c>
      <c r="H261" s="3">
        <v>4702725.24</v>
      </c>
    </row>
    <row r="262" spans="1:8" x14ac:dyDescent="0.3">
      <c r="A262" s="4">
        <v>44834</v>
      </c>
      <c r="B262" s="2">
        <v>36</v>
      </c>
      <c r="C262" s="2" t="str">
        <f>"1821"</f>
        <v>1821</v>
      </c>
      <c r="D262" s="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2" s="2" t="str">
        <f t="shared" si="47"/>
        <v>1</v>
      </c>
      <c r="F262" s="2" t="str">
        <f>""</f>
        <v/>
      </c>
      <c r="G262" s="2" t="str">
        <f>"1"</f>
        <v>1</v>
      </c>
      <c r="H262" s="3">
        <v>25090.23</v>
      </c>
    </row>
    <row r="263" spans="1:8" x14ac:dyDescent="0.3">
      <c r="A263" s="4">
        <v>44834</v>
      </c>
      <c r="B263" s="2">
        <v>36</v>
      </c>
      <c r="C263" s="2" t="str">
        <f>"1821"</f>
        <v>1821</v>
      </c>
      <c r="D263" s="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3" s="2" t="str">
        <f t="shared" si="47"/>
        <v>1</v>
      </c>
      <c r="F263" s="2" t="str">
        <f>""</f>
        <v/>
      </c>
      <c r="G263" s="2" t="str">
        <f>"2"</f>
        <v>2</v>
      </c>
      <c r="H263" s="3">
        <v>5191.37</v>
      </c>
    </row>
    <row r="264" spans="1:8" x14ac:dyDescent="0.3">
      <c r="A264" s="4">
        <v>44834</v>
      </c>
      <c r="B264" s="2">
        <v>36</v>
      </c>
      <c r="C264" s="2" t="str">
        <f>"1821"</f>
        <v>1821</v>
      </c>
      <c r="D264" s="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4" s="2" t="str">
        <f t="shared" si="47"/>
        <v>1</v>
      </c>
      <c r="F264" s="2" t="str">
        <f>""</f>
        <v/>
      </c>
      <c r="G264" s="2" t="str">
        <f>"3"</f>
        <v>3</v>
      </c>
      <c r="H264" s="3">
        <v>99886.12</v>
      </c>
    </row>
    <row r="265" spans="1:8" x14ac:dyDescent="0.3">
      <c r="A265" s="4">
        <v>44834</v>
      </c>
      <c r="B265" s="2">
        <v>36</v>
      </c>
      <c r="C265" s="2" t="str">
        <f>"1822"</f>
        <v>1822</v>
      </c>
      <c r="D265" s="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5" s="2" t="str">
        <f t="shared" si="47"/>
        <v>1</v>
      </c>
      <c r="F265" s="2" t="str">
        <f>""</f>
        <v/>
      </c>
      <c r="G265" s="2" t="str">
        <f>"2"</f>
        <v>2</v>
      </c>
      <c r="H265" s="3">
        <v>218812.9</v>
      </c>
    </row>
    <row r="266" spans="1:8" x14ac:dyDescent="0.3">
      <c r="A266" s="4">
        <v>44834</v>
      </c>
      <c r="B266" s="2">
        <v>36</v>
      </c>
      <c r="C266" s="2" t="str">
        <f>"1831"</f>
        <v>1831</v>
      </c>
      <c r="D266" s="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6" s="2" t="str">
        <f t="shared" si="47"/>
        <v>1</v>
      </c>
      <c r="F266" s="2" t="str">
        <f>""</f>
        <v/>
      </c>
      <c r="G266" s="2" t="str">
        <f>"1"</f>
        <v>1</v>
      </c>
      <c r="H266" s="3">
        <v>33511558.75</v>
      </c>
    </row>
    <row r="267" spans="1:8" x14ac:dyDescent="0.3">
      <c r="A267" s="4">
        <v>44834</v>
      </c>
      <c r="B267" s="2">
        <v>36</v>
      </c>
      <c r="C267" s="2" t="str">
        <f>"1831"</f>
        <v>1831</v>
      </c>
      <c r="D267" s="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7" s="2" t="str">
        <f t="shared" si="47"/>
        <v>1</v>
      </c>
      <c r="F267" s="2" t="str">
        <f>""</f>
        <v/>
      </c>
      <c r="G267" s="2" t="str">
        <f>"2"</f>
        <v>2</v>
      </c>
      <c r="H267" s="3">
        <v>1749.38</v>
      </c>
    </row>
    <row r="268" spans="1:8" x14ac:dyDescent="0.3">
      <c r="A268" s="4">
        <v>44834</v>
      </c>
      <c r="B268" s="2">
        <v>36</v>
      </c>
      <c r="C268" s="2" t="str">
        <f>"1831"</f>
        <v>1831</v>
      </c>
      <c r="D268" s="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8" s="2" t="str">
        <f>"2"</f>
        <v>2</v>
      </c>
      <c r="F268" s="2" t="str">
        <f>""</f>
        <v/>
      </c>
      <c r="G268" s="2" t="str">
        <f>"1"</f>
        <v>1</v>
      </c>
      <c r="H268" s="3">
        <v>79370.33</v>
      </c>
    </row>
    <row r="269" spans="1:8" x14ac:dyDescent="0.3">
      <c r="A269" s="4">
        <v>44834</v>
      </c>
      <c r="B269" s="2">
        <v>36</v>
      </c>
      <c r="C269" s="2" t="str">
        <f>"1834"</f>
        <v>1834</v>
      </c>
      <c r="D269" s="2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69" s="2" t="str">
        <f>"1"</f>
        <v>1</v>
      </c>
      <c r="F269" s="2" t="str">
        <f>""</f>
        <v/>
      </c>
      <c r="G269" s="2" t="str">
        <f>"1"</f>
        <v>1</v>
      </c>
      <c r="H269" s="3">
        <v>15323.28</v>
      </c>
    </row>
    <row r="270" spans="1:8" x14ac:dyDescent="0.3">
      <c r="A270" s="4">
        <v>44834</v>
      </c>
      <c r="B270" s="2">
        <v>36</v>
      </c>
      <c r="C270" s="2" t="str">
        <f>"1835"</f>
        <v>1835</v>
      </c>
      <c r="D270" s="2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0" s="2" t="str">
        <f>"1"</f>
        <v>1</v>
      </c>
      <c r="F270" s="2" t="str">
        <f>""</f>
        <v/>
      </c>
      <c r="G270" s="2" t="str">
        <f>"1"</f>
        <v>1</v>
      </c>
      <c r="H270" s="3">
        <v>7816.27</v>
      </c>
    </row>
    <row r="271" spans="1:8" x14ac:dyDescent="0.3">
      <c r="A271" s="4">
        <v>44834</v>
      </c>
      <c r="B271" s="2">
        <v>36</v>
      </c>
      <c r="C271" s="2" t="str">
        <f>"1836"</f>
        <v>1836</v>
      </c>
      <c r="D271" s="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1" s="2" t="str">
        <f>"1"</f>
        <v>1</v>
      </c>
      <c r="F271" s="2" t="str">
        <f>""</f>
        <v/>
      </c>
      <c r="G271" s="2" t="str">
        <f>"1"</f>
        <v>1</v>
      </c>
      <c r="H271" s="3">
        <v>408821942.57999998</v>
      </c>
    </row>
    <row r="272" spans="1:8" x14ac:dyDescent="0.3">
      <c r="A272" s="4">
        <v>44834</v>
      </c>
      <c r="B272" s="2">
        <v>36</v>
      </c>
      <c r="C272" s="2" t="str">
        <f>"1837"</f>
        <v>1837</v>
      </c>
      <c r="D272" s="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2" s="2" t="str">
        <f>"1"</f>
        <v>1</v>
      </c>
      <c r="F272" s="2" t="str">
        <f>""</f>
        <v/>
      </c>
      <c r="G272" s="2" t="str">
        <f>"1"</f>
        <v>1</v>
      </c>
      <c r="H272" s="3">
        <v>133664653.02</v>
      </c>
    </row>
    <row r="273" spans="1:8" x14ac:dyDescent="0.3">
      <c r="A273" s="4">
        <v>44834</v>
      </c>
      <c r="B273" s="2">
        <v>36</v>
      </c>
      <c r="C273" s="2" t="str">
        <f>"1837"</f>
        <v>1837</v>
      </c>
      <c r="D273" s="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3" s="2" t="str">
        <f>"2"</f>
        <v>2</v>
      </c>
      <c r="F273" s="2" t="str">
        <f>""</f>
        <v/>
      </c>
      <c r="G273" s="2" t="str">
        <f>"2"</f>
        <v>2</v>
      </c>
      <c r="H273" s="3">
        <v>3746.85</v>
      </c>
    </row>
    <row r="274" spans="1:8" x14ac:dyDescent="0.3">
      <c r="A274" s="4">
        <v>44834</v>
      </c>
      <c r="B274" s="2">
        <v>36</v>
      </c>
      <c r="C274" s="2" t="str">
        <f>"1837"</f>
        <v>1837</v>
      </c>
      <c r="D274" s="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4" s="2" t="str">
        <f>"1"</f>
        <v>1</v>
      </c>
      <c r="F274" s="2" t="str">
        <f>""</f>
        <v/>
      </c>
      <c r="G274" s="2" t="str">
        <f>"2"</f>
        <v>2</v>
      </c>
      <c r="H274" s="3">
        <v>229464.65</v>
      </c>
    </row>
    <row r="275" spans="1:8" x14ac:dyDescent="0.3">
      <c r="A275" s="4">
        <v>44834</v>
      </c>
      <c r="B275" s="2">
        <v>36</v>
      </c>
      <c r="C275" s="2" t="str">
        <f>"1837"</f>
        <v>1837</v>
      </c>
      <c r="D275" s="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5" s="2" t="str">
        <f>"2"</f>
        <v>2</v>
      </c>
      <c r="F275" s="2" t="str">
        <f>""</f>
        <v/>
      </c>
      <c r="G275" s="2" t="str">
        <f>"1"</f>
        <v>1</v>
      </c>
      <c r="H275" s="3">
        <v>313506</v>
      </c>
    </row>
    <row r="276" spans="1:8" x14ac:dyDescent="0.3">
      <c r="A276" s="4">
        <v>44834</v>
      </c>
      <c r="B276" s="2">
        <v>36</v>
      </c>
      <c r="C276" s="2" t="str">
        <f>"1838"</f>
        <v>1838</v>
      </c>
      <c r="D276" s="2" t="str">
        <f>"Просроченные прочие комиссионные доходы"</f>
        <v>Просроченные прочие комиссионные доходы</v>
      </c>
      <c r="E276" s="2" t="str">
        <f>"2"</f>
        <v>2</v>
      </c>
      <c r="F276" s="2" t="str">
        <f>""</f>
        <v/>
      </c>
      <c r="G276" s="2" t="str">
        <f>"2"</f>
        <v>2</v>
      </c>
      <c r="H276" s="3">
        <v>43650.8</v>
      </c>
    </row>
    <row r="277" spans="1:8" x14ac:dyDescent="0.3">
      <c r="A277" s="4">
        <v>44834</v>
      </c>
      <c r="B277" s="2">
        <v>36</v>
      </c>
      <c r="C277" s="2" t="str">
        <f>"1838"</f>
        <v>1838</v>
      </c>
      <c r="D277" s="2" t="str">
        <f>"Просроченные прочие комиссионные доходы"</f>
        <v>Просроченные прочие комиссионные доходы</v>
      </c>
      <c r="E277" s="2" t="str">
        <f>"1"</f>
        <v>1</v>
      </c>
      <c r="F277" s="2" t="str">
        <f>""</f>
        <v/>
      </c>
      <c r="G277" s="2" t="str">
        <f>"1"</f>
        <v>1</v>
      </c>
      <c r="H277" s="3">
        <v>741087143.83000004</v>
      </c>
    </row>
    <row r="278" spans="1:8" x14ac:dyDescent="0.3">
      <c r="A278" s="4">
        <v>44834</v>
      </c>
      <c r="B278" s="2">
        <v>36</v>
      </c>
      <c r="C278" s="2" t="str">
        <f>"1838"</f>
        <v>1838</v>
      </c>
      <c r="D278" s="2" t="str">
        <f>"Просроченные прочие комиссионные доходы"</f>
        <v>Просроченные прочие комиссионные доходы</v>
      </c>
      <c r="E278" s="2" t="str">
        <f>"2"</f>
        <v>2</v>
      </c>
      <c r="F278" s="2" t="str">
        <f>""</f>
        <v/>
      </c>
      <c r="G278" s="2" t="str">
        <f>"1"</f>
        <v>1</v>
      </c>
      <c r="H278" s="3">
        <v>5399855.6900000004</v>
      </c>
    </row>
    <row r="279" spans="1:8" x14ac:dyDescent="0.3">
      <c r="A279" s="4">
        <v>44834</v>
      </c>
      <c r="B279" s="2">
        <v>36</v>
      </c>
      <c r="C279" s="2" t="str">
        <f>"1838"</f>
        <v>1838</v>
      </c>
      <c r="D279" s="2" t="str">
        <f>"Просроченные прочие комиссионные доходы"</f>
        <v>Просроченные прочие комиссионные доходы</v>
      </c>
      <c r="E279" s="2" t="str">
        <f>"1"</f>
        <v>1</v>
      </c>
      <c r="F279" s="2" t="str">
        <f>""</f>
        <v/>
      </c>
      <c r="G279" s="2" t="str">
        <f>"2"</f>
        <v>2</v>
      </c>
      <c r="H279" s="3">
        <v>127582.89</v>
      </c>
    </row>
    <row r="280" spans="1:8" x14ac:dyDescent="0.3">
      <c r="A280" s="4">
        <v>44834</v>
      </c>
      <c r="B280" s="2">
        <v>36</v>
      </c>
      <c r="C280" s="2" t="str">
        <f>"1841"</f>
        <v>1841</v>
      </c>
      <c r="D280" s="2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0" s="2" t="str">
        <f>"1"</f>
        <v>1</v>
      </c>
      <c r="F280" s="2" t="str">
        <f>""</f>
        <v/>
      </c>
      <c r="G280" s="2" t="str">
        <f>"1"</f>
        <v>1</v>
      </c>
      <c r="H280" s="3">
        <v>2058195.33</v>
      </c>
    </row>
    <row r="281" spans="1:8" x14ac:dyDescent="0.3">
      <c r="A281" s="4">
        <v>44834</v>
      </c>
      <c r="B281" s="2">
        <v>36</v>
      </c>
      <c r="C281" s="2" t="str">
        <f>"1842"</f>
        <v>1842</v>
      </c>
      <c r="D281" s="2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1" s="2" t="str">
        <f>"1"</f>
        <v>1</v>
      </c>
      <c r="F281" s="2" t="str">
        <f>""</f>
        <v/>
      </c>
      <c r="G281" s="2" t="str">
        <f>"1"</f>
        <v>1</v>
      </c>
      <c r="H281" s="3">
        <v>420363.49</v>
      </c>
    </row>
    <row r="282" spans="1:8" x14ac:dyDescent="0.3">
      <c r="A282" s="4">
        <v>44834</v>
      </c>
      <c r="B282" s="2">
        <v>36</v>
      </c>
      <c r="C282" s="2" t="str">
        <f>"1842"</f>
        <v>1842</v>
      </c>
      <c r="D282" s="2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2" s="2" t="str">
        <f>"1"</f>
        <v>1</v>
      </c>
      <c r="F282" s="2" t="str">
        <f>""</f>
        <v/>
      </c>
      <c r="G282" s="2" t="str">
        <f>"2"</f>
        <v>2</v>
      </c>
      <c r="H282" s="3">
        <v>15141780.449999999</v>
      </c>
    </row>
    <row r="283" spans="1:8" x14ac:dyDescent="0.3">
      <c r="A283" s="4">
        <v>44834</v>
      </c>
      <c r="B283" s="2">
        <v>36</v>
      </c>
      <c r="C283" s="2" t="str">
        <f>"1845"</f>
        <v>1845</v>
      </c>
      <c r="D283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3" s="2" t="str">
        <f>"1"</f>
        <v>1</v>
      </c>
      <c r="F283" s="2" t="str">
        <f>""</f>
        <v/>
      </c>
      <c r="G283" s="2" t="str">
        <f>"1"</f>
        <v>1</v>
      </c>
      <c r="H283" s="3">
        <v>-1034120810.34</v>
      </c>
    </row>
    <row r="284" spans="1:8" x14ac:dyDescent="0.3">
      <c r="A284" s="4">
        <v>44834</v>
      </c>
      <c r="B284" s="2">
        <v>36</v>
      </c>
      <c r="C284" s="2" t="str">
        <f>"1845"</f>
        <v>1845</v>
      </c>
      <c r="D284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4" s="2" t="str">
        <f>"2"</f>
        <v>2</v>
      </c>
      <c r="F284" s="2" t="str">
        <f>""</f>
        <v/>
      </c>
      <c r="G284" s="2" t="str">
        <f>"2"</f>
        <v>2</v>
      </c>
      <c r="H284" s="3">
        <v>-10141.99</v>
      </c>
    </row>
    <row r="285" spans="1:8" x14ac:dyDescent="0.3">
      <c r="A285" s="4">
        <v>44834</v>
      </c>
      <c r="B285" s="2">
        <v>36</v>
      </c>
      <c r="C285" s="2" t="str">
        <f>"1845"</f>
        <v>1845</v>
      </c>
      <c r="D285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5" s="2" t="str">
        <f>"1"</f>
        <v>1</v>
      </c>
      <c r="F285" s="2" t="str">
        <f>""</f>
        <v/>
      </c>
      <c r="G285" s="2" t="str">
        <f>"2"</f>
        <v>2</v>
      </c>
      <c r="H285" s="3">
        <v>-15968975.77</v>
      </c>
    </row>
    <row r="286" spans="1:8" x14ac:dyDescent="0.3">
      <c r="A286" s="4">
        <v>44834</v>
      </c>
      <c r="B286" s="2">
        <v>36</v>
      </c>
      <c r="C286" s="2" t="str">
        <f>"1845"</f>
        <v>1845</v>
      </c>
      <c r="D286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6" s="2" t="str">
        <f>"2"</f>
        <v>2</v>
      </c>
      <c r="F286" s="2" t="str">
        <f>""</f>
        <v/>
      </c>
      <c r="G286" s="2" t="str">
        <f>"1"</f>
        <v>1</v>
      </c>
      <c r="H286" s="3">
        <v>-5773399.8600000003</v>
      </c>
    </row>
    <row r="287" spans="1:8" x14ac:dyDescent="0.3">
      <c r="A287" s="4">
        <v>44834</v>
      </c>
      <c r="B287" s="2">
        <v>36</v>
      </c>
      <c r="C287" s="2" t="str">
        <f>"1851"</f>
        <v>1851</v>
      </c>
      <c r="D287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87" s="2" t="str">
        <f>"1"</f>
        <v>1</v>
      </c>
      <c r="F287" s="2" t="str">
        <f>"1"</f>
        <v>1</v>
      </c>
      <c r="G287" s="2" t="str">
        <f>"1"</f>
        <v>1</v>
      </c>
      <c r="H287" s="3">
        <v>1782228387.01</v>
      </c>
    </row>
    <row r="288" spans="1:8" x14ac:dyDescent="0.3">
      <c r="A288" s="4">
        <v>44834</v>
      </c>
      <c r="B288" s="2">
        <v>36</v>
      </c>
      <c r="C288" s="2" t="str">
        <f>"1852"</f>
        <v>1852</v>
      </c>
      <c r="D288" s="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88" s="2" t="str">
        <f>"1"</f>
        <v>1</v>
      </c>
      <c r="F288" s="2" t="str">
        <f>"5"</f>
        <v>5</v>
      </c>
      <c r="G288" s="2" t="str">
        <f>"1"</f>
        <v>1</v>
      </c>
      <c r="H288" s="3">
        <v>227064019.63999999</v>
      </c>
    </row>
    <row r="289" spans="1:8" x14ac:dyDescent="0.3">
      <c r="A289" s="4">
        <v>44834</v>
      </c>
      <c r="B289" s="2">
        <v>36</v>
      </c>
      <c r="C289" s="2" t="str">
        <f>"1852"</f>
        <v>1852</v>
      </c>
      <c r="D289" s="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89" s="2" t="str">
        <f>"1"</f>
        <v>1</v>
      </c>
      <c r="F289" s="2" t="str">
        <f>"5"</f>
        <v>5</v>
      </c>
      <c r="G289" s="2" t="str">
        <f>"2"</f>
        <v>2</v>
      </c>
      <c r="H289" s="3">
        <v>1101127106.1600001</v>
      </c>
    </row>
    <row r="290" spans="1:8" x14ac:dyDescent="0.3">
      <c r="A290" s="4">
        <v>44834</v>
      </c>
      <c r="B290" s="2">
        <v>36</v>
      </c>
      <c r="C290" s="2" t="str">
        <f>"1854"</f>
        <v>1854</v>
      </c>
      <c r="D290" s="2" t="str">
        <f>"Расчеты с работниками"</f>
        <v>Расчеты с работниками</v>
      </c>
      <c r="E290" s="2" t="str">
        <f>""</f>
        <v/>
      </c>
      <c r="F290" s="2" t="str">
        <f>""</f>
        <v/>
      </c>
      <c r="G290" s="2" t="str">
        <f>""</f>
        <v/>
      </c>
      <c r="H290" s="3">
        <v>74053307.370000005</v>
      </c>
    </row>
    <row r="291" spans="1:8" x14ac:dyDescent="0.3">
      <c r="A291" s="4">
        <v>44834</v>
      </c>
      <c r="B291" s="2">
        <v>36</v>
      </c>
      <c r="C291" s="2" t="str">
        <f>"1856"</f>
        <v>1856</v>
      </c>
      <c r="D291" s="2" t="str">
        <f>"Дебиторы по капитальным вложениям"</f>
        <v>Дебиторы по капитальным вложениям</v>
      </c>
      <c r="E291" s="2" t="str">
        <f>"1"</f>
        <v>1</v>
      </c>
      <c r="F291" s="2" t="str">
        <f>"7"</f>
        <v>7</v>
      </c>
      <c r="G291" s="2" t="str">
        <f>"1"</f>
        <v>1</v>
      </c>
      <c r="H291" s="3">
        <v>2656752978.9200001</v>
      </c>
    </row>
    <row r="292" spans="1:8" x14ac:dyDescent="0.3">
      <c r="A292" s="4">
        <v>44834</v>
      </c>
      <c r="B292" s="2">
        <v>36</v>
      </c>
      <c r="C292" s="2" t="str">
        <f>"1856"</f>
        <v>1856</v>
      </c>
      <c r="D292" s="2" t="str">
        <f>"Дебиторы по капитальным вложениям"</f>
        <v>Дебиторы по капитальным вложениям</v>
      </c>
      <c r="E292" s="2" t="str">
        <f>"1"</f>
        <v>1</v>
      </c>
      <c r="F292" s="2" t="str">
        <f>"9"</f>
        <v>9</v>
      </c>
      <c r="G292" s="2" t="str">
        <f>"1"</f>
        <v>1</v>
      </c>
      <c r="H292" s="3">
        <v>1188078.3</v>
      </c>
    </row>
    <row r="293" spans="1:8" x14ac:dyDescent="0.3">
      <c r="A293" s="4">
        <v>44834</v>
      </c>
      <c r="B293" s="2">
        <v>36</v>
      </c>
      <c r="C293" s="2" t="str">
        <f>"1856"</f>
        <v>1856</v>
      </c>
      <c r="D293" s="2" t="str">
        <f>"Дебиторы по капитальным вложениям"</f>
        <v>Дебиторы по капитальным вложениям</v>
      </c>
      <c r="E293" s="2" t="str">
        <f>"2"</f>
        <v>2</v>
      </c>
      <c r="F293" s="2" t="str">
        <f>"7"</f>
        <v>7</v>
      </c>
      <c r="G293" s="2" t="str">
        <f>"1"</f>
        <v>1</v>
      </c>
      <c r="H293" s="3">
        <v>125883695.19</v>
      </c>
    </row>
    <row r="294" spans="1:8" x14ac:dyDescent="0.3">
      <c r="A294" s="4">
        <v>44834</v>
      </c>
      <c r="B294" s="2">
        <v>36</v>
      </c>
      <c r="C294" s="2" t="str">
        <f>"1856"</f>
        <v>1856</v>
      </c>
      <c r="D294" s="2" t="str">
        <f>"Дебиторы по капитальным вложениям"</f>
        <v>Дебиторы по капитальным вложениям</v>
      </c>
      <c r="E294" s="2" t="str">
        <f>"1"</f>
        <v>1</v>
      </c>
      <c r="F294" s="2" t="str">
        <f>"1"</f>
        <v>1</v>
      </c>
      <c r="G294" s="2" t="str">
        <f>"1"</f>
        <v>1</v>
      </c>
      <c r="H294" s="3">
        <v>474217</v>
      </c>
    </row>
    <row r="295" spans="1:8" x14ac:dyDescent="0.3">
      <c r="A295" s="4">
        <v>44834</v>
      </c>
      <c r="B295" s="2">
        <v>36</v>
      </c>
      <c r="C295" s="2" t="str">
        <f t="shared" ref="C295:C311" si="48">"1860"</f>
        <v>1860</v>
      </c>
      <c r="D295" s="2" t="str">
        <f t="shared" ref="D295:D311" si="49">"Прочие дебиторы по банковской деятельности"</f>
        <v>Прочие дебиторы по банковской деятельности</v>
      </c>
      <c r="E295" s="2" t="str">
        <f>"1"</f>
        <v>1</v>
      </c>
      <c r="F295" s="2" t="str">
        <f>"7"</f>
        <v>7</v>
      </c>
      <c r="G295" s="2" t="str">
        <f>"3"</f>
        <v>3</v>
      </c>
      <c r="H295" s="3">
        <v>175560</v>
      </c>
    </row>
    <row r="296" spans="1:8" x14ac:dyDescent="0.3">
      <c r="A296" s="4">
        <v>44834</v>
      </c>
      <c r="B296" s="2">
        <v>36</v>
      </c>
      <c r="C296" s="2" t="str">
        <f t="shared" si="48"/>
        <v>1860</v>
      </c>
      <c r="D296" s="2" t="str">
        <f t="shared" si="49"/>
        <v>Прочие дебиторы по банковской деятельности</v>
      </c>
      <c r="E296" s="2" t="str">
        <f>"2"</f>
        <v>2</v>
      </c>
      <c r="F296" s="2" t="str">
        <f>"7"</f>
        <v>7</v>
      </c>
      <c r="G296" s="2" t="str">
        <f>"1"</f>
        <v>1</v>
      </c>
      <c r="H296" s="3">
        <v>2413142434.4400001</v>
      </c>
    </row>
    <row r="297" spans="1:8" x14ac:dyDescent="0.3">
      <c r="A297" s="4">
        <v>44834</v>
      </c>
      <c r="B297" s="2">
        <v>36</v>
      </c>
      <c r="C297" s="2" t="str">
        <f t="shared" si="48"/>
        <v>1860</v>
      </c>
      <c r="D297" s="2" t="str">
        <f t="shared" si="49"/>
        <v>Прочие дебиторы по банковской деятельности</v>
      </c>
      <c r="E297" s="2" t="str">
        <f>"2"</f>
        <v>2</v>
      </c>
      <c r="F297" s="2" t="str">
        <f>"4"</f>
        <v>4</v>
      </c>
      <c r="G297" s="2" t="str">
        <f>"2"</f>
        <v>2</v>
      </c>
      <c r="H297" s="3">
        <v>460168163</v>
      </c>
    </row>
    <row r="298" spans="1:8" x14ac:dyDescent="0.3">
      <c r="A298" s="4">
        <v>44834</v>
      </c>
      <c r="B298" s="2">
        <v>36</v>
      </c>
      <c r="C298" s="2" t="str">
        <f t="shared" si="48"/>
        <v>1860</v>
      </c>
      <c r="D298" s="2" t="str">
        <f t="shared" si="49"/>
        <v>Прочие дебиторы по банковской деятельности</v>
      </c>
      <c r="E298" s="2" t="str">
        <f>"1"</f>
        <v>1</v>
      </c>
      <c r="F298" s="2" t="str">
        <f>"7"</f>
        <v>7</v>
      </c>
      <c r="G298" s="2" t="str">
        <f>"2"</f>
        <v>2</v>
      </c>
      <c r="H298" s="3">
        <v>10304005.6</v>
      </c>
    </row>
    <row r="299" spans="1:8" x14ac:dyDescent="0.3">
      <c r="A299" s="4">
        <v>44834</v>
      </c>
      <c r="B299" s="2">
        <v>36</v>
      </c>
      <c r="C299" s="2" t="str">
        <f t="shared" si="48"/>
        <v>1860</v>
      </c>
      <c r="D299" s="2" t="str">
        <f t="shared" si="49"/>
        <v>Прочие дебиторы по банковской деятельности</v>
      </c>
      <c r="E299" s="2" t="str">
        <f>"2"</f>
        <v>2</v>
      </c>
      <c r="F299" s="2" t="str">
        <f>"5"</f>
        <v>5</v>
      </c>
      <c r="G299" s="2" t="str">
        <f>"2"</f>
        <v>2</v>
      </c>
      <c r="H299" s="3">
        <v>5649.01</v>
      </c>
    </row>
    <row r="300" spans="1:8" x14ac:dyDescent="0.3">
      <c r="A300" s="4">
        <v>44834</v>
      </c>
      <c r="B300" s="2">
        <v>36</v>
      </c>
      <c r="C300" s="2" t="str">
        <f t="shared" si="48"/>
        <v>1860</v>
      </c>
      <c r="D300" s="2" t="str">
        <f t="shared" si="49"/>
        <v>Прочие дебиторы по банковской деятельности</v>
      </c>
      <c r="E300" s="2" t="str">
        <f>"1"</f>
        <v>1</v>
      </c>
      <c r="F300" s="2" t="str">
        <f>"9"</f>
        <v>9</v>
      </c>
      <c r="G300" s="2" t="str">
        <f>"3"</f>
        <v>3</v>
      </c>
      <c r="H300" s="3">
        <v>671308</v>
      </c>
    </row>
    <row r="301" spans="1:8" x14ac:dyDescent="0.3">
      <c r="A301" s="4">
        <v>44834</v>
      </c>
      <c r="B301" s="2">
        <v>36</v>
      </c>
      <c r="C301" s="2" t="str">
        <f t="shared" si="48"/>
        <v>1860</v>
      </c>
      <c r="D301" s="2" t="str">
        <f t="shared" si="49"/>
        <v>Прочие дебиторы по банковской деятельности</v>
      </c>
      <c r="E301" s="2" t="str">
        <f>"1"</f>
        <v>1</v>
      </c>
      <c r="F301" s="2" t="str">
        <f>"9"</f>
        <v>9</v>
      </c>
      <c r="G301" s="2" t="str">
        <f>"2"</f>
        <v>2</v>
      </c>
      <c r="H301" s="3">
        <v>604683486.88</v>
      </c>
    </row>
    <row r="302" spans="1:8" x14ac:dyDescent="0.3">
      <c r="A302" s="4">
        <v>44834</v>
      </c>
      <c r="B302" s="2">
        <v>36</v>
      </c>
      <c r="C302" s="2" t="str">
        <f t="shared" si="48"/>
        <v>1860</v>
      </c>
      <c r="D302" s="2" t="str">
        <f t="shared" si="49"/>
        <v>Прочие дебиторы по банковской деятельности</v>
      </c>
      <c r="E302" s="2" t="str">
        <f>"2"</f>
        <v>2</v>
      </c>
      <c r="F302" s="2" t="str">
        <f>"7"</f>
        <v>7</v>
      </c>
      <c r="G302" s="2" t="str">
        <f>"2"</f>
        <v>2</v>
      </c>
      <c r="H302" s="3">
        <v>12955272276.93</v>
      </c>
    </row>
    <row r="303" spans="1:8" x14ac:dyDescent="0.3">
      <c r="A303" s="4">
        <v>44834</v>
      </c>
      <c r="B303" s="2">
        <v>36</v>
      </c>
      <c r="C303" s="2" t="str">
        <f t="shared" si="48"/>
        <v>1860</v>
      </c>
      <c r="D303" s="2" t="str">
        <f t="shared" si="49"/>
        <v>Прочие дебиторы по банковской деятельности</v>
      </c>
      <c r="E303" s="2" t="str">
        <f>"2"</f>
        <v>2</v>
      </c>
      <c r="F303" s="2" t="str">
        <f>"9"</f>
        <v>9</v>
      </c>
      <c r="G303" s="2" t="str">
        <f>"2"</f>
        <v>2</v>
      </c>
      <c r="H303" s="3">
        <v>2383621.5099999998</v>
      </c>
    </row>
    <row r="304" spans="1:8" x14ac:dyDescent="0.3">
      <c r="A304" s="4">
        <v>44834</v>
      </c>
      <c r="B304" s="2">
        <v>36</v>
      </c>
      <c r="C304" s="2" t="str">
        <f t="shared" si="48"/>
        <v>1860</v>
      </c>
      <c r="D304" s="2" t="str">
        <f t="shared" si="49"/>
        <v>Прочие дебиторы по банковской деятельности</v>
      </c>
      <c r="E304" s="2" t="str">
        <f>"1"</f>
        <v>1</v>
      </c>
      <c r="F304" s="2" t="str">
        <f>"2"</f>
        <v>2</v>
      </c>
      <c r="G304" s="2" t="str">
        <f>"1"</f>
        <v>1</v>
      </c>
      <c r="H304" s="3">
        <v>1060</v>
      </c>
    </row>
    <row r="305" spans="1:8" x14ac:dyDescent="0.3">
      <c r="A305" s="4">
        <v>44834</v>
      </c>
      <c r="B305" s="2">
        <v>36</v>
      </c>
      <c r="C305" s="2" t="str">
        <f t="shared" si="48"/>
        <v>1860</v>
      </c>
      <c r="D305" s="2" t="str">
        <f t="shared" si="49"/>
        <v>Прочие дебиторы по банковской деятельности</v>
      </c>
      <c r="E305" s="2" t="str">
        <f>"2"</f>
        <v>2</v>
      </c>
      <c r="F305" s="2" t="str">
        <f>"9"</f>
        <v>9</v>
      </c>
      <c r="G305" s="2" t="str">
        <f>"1"</f>
        <v>1</v>
      </c>
      <c r="H305" s="3">
        <v>4117078.43</v>
      </c>
    </row>
    <row r="306" spans="1:8" x14ac:dyDescent="0.3">
      <c r="A306" s="4">
        <v>44834</v>
      </c>
      <c r="B306" s="2">
        <v>36</v>
      </c>
      <c r="C306" s="2" t="str">
        <f t="shared" si="48"/>
        <v>1860</v>
      </c>
      <c r="D306" s="2" t="str">
        <f t="shared" si="49"/>
        <v>Прочие дебиторы по банковской деятельности</v>
      </c>
      <c r="E306" s="2" t="str">
        <f>"2"</f>
        <v>2</v>
      </c>
      <c r="F306" s="2" t="str">
        <f>"7"</f>
        <v>7</v>
      </c>
      <c r="G306" s="2" t="str">
        <f>"3"</f>
        <v>3</v>
      </c>
      <c r="H306" s="3">
        <v>91040608.329999998</v>
      </c>
    </row>
    <row r="307" spans="1:8" x14ac:dyDescent="0.3">
      <c r="A307" s="4">
        <v>44834</v>
      </c>
      <c r="B307" s="2">
        <v>36</v>
      </c>
      <c r="C307" s="2" t="str">
        <f t="shared" si="48"/>
        <v>1860</v>
      </c>
      <c r="D307" s="2" t="str">
        <f t="shared" si="49"/>
        <v>Прочие дебиторы по банковской деятельности</v>
      </c>
      <c r="E307" s="2" t="str">
        <f t="shared" ref="E307:E314" si="50">"1"</f>
        <v>1</v>
      </c>
      <c r="F307" s="2" t="str">
        <f>"5"</f>
        <v>5</v>
      </c>
      <c r="G307" s="2" t="str">
        <f>"1"</f>
        <v>1</v>
      </c>
      <c r="H307" s="3">
        <v>43549817.759999998</v>
      </c>
    </row>
    <row r="308" spans="1:8" x14ac:dyDescent="0.3">
      <c r="A308" s="4">
        <v>44834</v>
      </c>
      <c r="B308" s="2">
        <v>36</v>
      </c>
      <c r="C308" s="2" t="str">
        <f t="shared" si="48"/>
        <v>1860</v>
      </c>
      <c r="D308" s="2" t="str">
        <f t="shared" si="49"/>
        <v>Прочие дебиторы по банковской деятельности</v>
      </c>
      <c r="E308" s="2" t="str">
        <f t="shared" si="50"/>
        <v>1</v>
      </c>
      <c r="F308" s="2" t="str">
        <f>"4"</f>
        <v>4</v>
      </c>
      <c r="G308" s="2" t="str">
        <f>"1"</f>
        <v>1</v>
      </c>
      <c r="H308" s="3">
        <v>4935687923.1300001</v>
      </c>
    </row>
    <row r="309" spans="1:8" x14ac:dyDescent="0.3">
      <c r="A309" s="4">
        <v>44834</v>
      </c>
      <c r="B309" s="2">
        <v>36</v>
      </c>
      <c r="C309" s="2" t="str">
        <f t="shared" si="48"/>
        <v>1860</v>
      </c>
      <c r="D309" s="2" t="str">
        <f t="shared" si="49"/>
        <v>Прочие дебиторы по банковской деятельности</v>
      </c>
      <c r="E309" s="2" t="str">
        <f t="shared" si="50"/>
        <v>1</v>
      </c>
      <c r="F309" s="2" t="str">
        <f>"9"</f>
        <v>9</v>
      </c>
      <c r="G309" s="2" t="str">
        <f>"1"</f>
        <v>1</v>
      </c>
      <c r="H309" s="3">
        <v>9413611180.7600002</v>
      </c>
    </row>
    <row r="310" spans="1:8" x14ac:dyDescent="0.3">
      <c r="A310" s="4">
        <v>44834</v>
      </c>
      <c r="B310" s="2">
        <v>36</v>
      </c>
      <c r="C310" s="2" t="str">
        <f t="shared" si="48"/>
        <v>1860</v>
      </c>
      <c r="D310" s="2" t="str">
        <f t="shared" si="49"/>
        <v>Прочие дебиторы по банковской деятельности</v>
      </c>
      <c r="E310" s="2" t="str">
        <f t="shared" si="50"/>
        <v>1</v>
      </c>
      <c r="F310" s="2" t="str">
        <f>"4"</f>
        <v>4</v>
      </c>
      <c r="G310" s="2" t="str">
        <f>"2"</f>
        <v>2</v>
      </c>
      <c r="H310" s="3">
        <v>552680457.39999998</v>
      </c>
    </row>
    <row r="311" spans="1:8" x14ac:dyDescent="0.3">
      <c r="A311" s="4">
        <v>44834</v>
      </c>
      <c r="B311" s="2">
        <v>36</v>
      </c>
      <c r="C311" s="2" t="str">
        <f t="shared" si="48"/>
        <v>1860</v>
      </c>
      <c r="D311" s="2" t="str">
        <f t="shared" si="49"/>
        <v>Прочие дебиторы по банковской деятельности</v>
      </c>
      <c r="E311" s="2" t="str">
        <f t="shared" si="50"/>
        <v>1</v>
      </c>
      <c r="F311" s="2" t="str">
        <f>"7"</f>
        <v>7</v>
      </c>
      <c r="G311" s="2" t="str">
        <f t="shared" ref="G311:G321" si="51">"1"</f>
        <v>1</v>
      </c>
      <c r="H311" s="3">
        <v>8491410064.21</v>
      </c>
    </row>
    <row r="312" spans="1:8" x14ac:dyDescent="0.3">
      <c r="A312" s="4">
        <v>44834</v>
      </c>
      <c r="B312" s="2">
        <v>36</v>
      </c>
      <c r="C312" s="2" t="str">
        <f>"1861"</f>
        <v>1861</v>
      </c>
      <c r="D312" s="2" t="str">
        <f>"Дебиторы по гарантиям"</f>
        <v>Дебиторы по гарантиям</v>
      </c>
      <c r="E312" s="2" t="str">
        <f t="shared" si="50"/>
        <v>1</v>
      </c>
      <c r="F312" s="2" t="str">
        <f>"7"</f>
        <v>7</v>
      </c>
      <c r="G312" s="2" t="str">
        <f t="shared" si="51"/>
        <v>1</v>
      </c>
      <c r="H312" s="3">
        <v>1881439407.1900001</v>
      </c>
    </row>
    <row r="313" spans="1:8" x14ac:dyDescent="0.3">
      <c r="A313" s="4">
        <v>44834</v>
      </c>
      <c r="B313" s="2">
        <v>36</v>
      </c>
      <c r="C313" s="2" t="str">
        <f t="shared" ref="C313:C321" si="52">"1867"</f>
        <v>1867</v>
      </c>
      <c r="D313" s="2" t="str">
        <f t="shared" ref="D313:D321" si="53">"Прочие дебиторы по неосновной деятельности"</f>
        <v>Прочие дебиторы по неосновной деятельности</v>
      </c>
      <c r="E313" s="2" t="str">
        <f t="shared" si="50"/>
        <v>1</v>
      </c>
      <c r="F313" s="2" t="str">
        <f>"9"</f>
        <v>9</v>
      </c>
      <c r="G313" s="2" t="str">
        <f t="shared" si="51"/>
        <v>1</v>
      </c>
      <c r="H313" s="3">
        <v>1689728363.49</v>
      </c>
    </row>
    <row r="314" spans="1:8" x14ac:dyDescent="0.3">
      <c r="A314" s="4">
        <v>44834</v>
      </c>
      <c r="B314" s="2">
        <v>36</v>
      </c>
      <c r="C314" s="2" t="str">
        <f t="shared" si="52"/>
        <v>1867</v>
      </c>
      <c r="D314" s="2" t="str">
        <f t="shared" si="53"/>
        <v>Прочие дебиторы по неосновной деятельности</v>
      </c>
      <c r="E314" s="2" t="str">
        <f t="shared" si="50"/>
        <v>1</v>
      </c>
      <c r="F314" s="2" t="str">
        <f>"6"</f>
        <v>6</v>
      </c>
      <c r="G314" s="2" t="str">
        <f t="shared" si="51"/>
        <v>1</v>
      </c>
      <c r="H314" s="3">
        <v>4976391.63</v>
      </c>
    </row>
    <row r="315" spans="1:8" x14ac:dyDescent="0.3">
      <c r="A315" s="4">
        <v>44834</v>
      </c>
      <c r="B315" s="2">
        <v>36</v>
      </c>
      <c r="C315" s="2" t="str">
        <f t="shared" si="52"/>
        <v>1867</v>
      </c>
      <c r="D315" s="2" t="str">
        <f t="shared" si="53"/>
        <v>Прочие дебиторы по неосновной деятельности</v>
      </c>
      <c r="E315" s="2" t="str">
        <f>"2"</f>
        <v>2</v>
      </c>
      <c r="F315" s="2" t="str">
        <f>"7"</f>
        <v>7</v>
      </c>
      <c r="G315" s="2" t="str">
        <f t="shared" si="51"/>
        <v>1</v>
      </c>
      <c r="H315" s="3">
        <v>11186865.27</v>
      </c>
    </row>
    <row r="316" spans="1:8" x14ac:dyDescent="0.3">
      <c r="A316" s="4">
        <v>44834</v>
      </c>
      <c r="B316" s="2">
        <v>36</v>
      </c>
      <c r="C316" s="2" t="str">
        <f t="shared" si="52"/>
        <v>1867</v>
      </c>
      <c r="D316" s="2" t="str">
        <f t="shared" si="53"/>
        <v>Прочие дебиторы по неосновной деятельности</v>
      </c>
      <c r="E316" s="2" t="str">
        <f>"2"</f>
        <v>2</v>
      </c>
      <c r="F316" s="2" t="str">
        <f>"9"</f>
        <v>9</v>
      </c>
      <c r="G316" s="2" t="str">
        <f t="shared" si="51"/>
        <v>1</v>
      </c>
      <c r="H316" s="3">
        <v>303593.09999999998</v>
      </c>
    </row>
    <row r="317" spans="1:8" x14ac:dyDescent="0.3">
      <c r="A317" s="4">
        <v>44834</v>
      </c>
      <c r="B317" s="2">
        <v>36</v>
      </c>
      <c r="C317" s="2" t="str">
        <f t="shared" si="52"/>
        <v>1867</v>
      </c>
      <c r="D317" s="2" t="str">
        <f t="shared" si="53"/>
        <v>Прочие дебиторы по неосновной деятельности</v>
      </c>
      <c r="E317" s="2" t="str">
        <f>"1"</f>
        <v>1</v>
      </c>
      <c r="F317" s="2" t="str">
        <f>"5"</f>
        <v>5</v>
      </c>
      <c r="G317" s="2" t="str">
        <f t="shared" si="51"/>
        <v>1</v>
      </c>
      <c r="H317" s="3">
        <v>2237793.44</v>
      </c>
    </row>
    <row r="318" spans="1:8" x14ac:dyDescent="0.3">
      <c r="A318" s="4">
        <v>44834</v>
      </c>
      <c r="B318" s="2">
        <v>36</v>
      </c>
      <c r="C318" s="2" t="str">
        <f t="shared" si="52"/>
        <v>1867</v>
      </c>
      <c r="D318" s="2" t="str">
        <f t="shared" si="53"/>
        <v>Прочие дебиторы по неосновной деятельности</v>
      </c>
      <c r="E318" s="2" t="str">
        <f>"1"</f>
        <v>1</v>
      </c>
      <c r="F318" s="2" t="str">
        <f>"7"</f>
        <v>7</v>
      </c>
      <c r="G318" s="2" t="str">
        <f t="shared" si="51"/>
        <v>1</v>
      </c>
      <c r="H318" s="3">
        <v>2049734005.53</v>
      </c>
    </row>
    <row r="319" spans="1:8" x14ac:dyDescent="0.3">
      <c r="A319" s="4">
        <v>44834</v>
      </c>
      <c r="B319" s="2">
        <v>36</v>
      </c>
      <c r="C319" s="2" t="str">
        <f t="shared" si="52"/>
        <v>1867</v>
      </c>
      <c r="D319" s="2" t="str">
        <f t="shared" si="53"/>
        <v>Прочие дебиторы по неосновной деятельности</v>
      </c>
      <c r="E319" s="2" t="str">
        <f>"1"</f>
        <v>1</v>
      </c>
      <c r="F319" s="2" t="str">
        <f>"1"</f>
        <v>1</v>
      </c>
      <c r="G319" s="2" t="str">
        <f t="shared" si="51"/>
        <v>1</v>
      </c>
      <c r="H319" s="3">
        <v>5092459.79</v>
      </c>
    </row>
    <row r="320" spans="1:8" x14ac:dyDescent="0.3">
      <c r="A320" s="4">
        <v>44834</v>
      </c>
      <c r="B320" s="2">
        <v>36</v>
      </c>
      <c r="C320" s="2" t="str">
        <f t="shared" si="52"/>
        <v>1867</v>
      </c>
      <c r="D320" s="2" t="str">
        <f t="shared" si="53"/>
        <v>Прочие дебиторы по неосновной деятельности</v>
      </c>
      <c r="E320" s="2" t="str">
        <f>"1"</f>
        <v>1</v>
      </c>
      <c r="F320" s="2" t="str">
        <f>"8"</f>
        <v>8</v>
      </c>
      <c r="G320" s="2" t="str">
        <f t="shared" si="51"/>
        <v>1</v>
      </c>
      <c r="H320" s="3">
        <v>2844720.62</v>
      </c>
    </row>
    <row r="321" spans="1:8" x14ac:dyDescent="0.3">
      <c r="A321" s="4">
        <v>44834</v>
      </c>
      <c r="B321" s="2">
        <v>36</v>
      </c>
      <c r="C321" s="2" t="str">
        <f t="shared" si="52"/>
        <v>1867</v>
      </c>
      <c r="D321" s="2" t="str">
        <f t="shared" si="53"/>
        <v>Прочие дебиторы по неосновной деятельности</v>
      </c>
      <c r="E321" s="2" t="str">
        <f>"1"</f>
        <v>1</v>
      </c>
      <c r="F321" s="2" t="str">
        <f>"3"</f>
        <v>3</v>
      </c>
      <c r="G321" s="2" t="str">
        <f t="shared" si="51"/>
        <v>1</v>
      </c>
      <c r="H321" s="3">
        <v>1557</v>
      </c>
    </row>
    <row r="322" spans="1:8" x14ac:dyDescent="0.3">
      <c r="A322" s="4">
        <v>44834</v>
      </c>
      <c r="B322" s="2">
        <v>36</v>
      </c>
      <c r="C322" s="2" t="str">
        <f t="shared" ref="C322:C329" si="54">"1870"</f>
        <v>1870</v>
      </c>
      <c r="D322" s="2" t="str">
        <f t="shared" ref="D322:D329" si="55">"Прочие транзитные счета"</f>
        <v>Прочие транзитные счета</v>
      </c>
      <c r="E322" s="2" t="str">
        <f>"2"</f>
        <v>2</v>
      </c>
      <c r="F322" s="2" t="str">
        <f>"7"</f>
        <v>7</v>
      </c>
      <c r="G322" s="2" t="str">
        <f>"2"</f>
        <v>2</v>
      </c>
      <c r="H322" s="3">
        <v>365220217.30000001</v>
      </c>
    </row>
    <row r="323" spans="1:8" x14ac:dyDescent="0.3">
      <c r="A323" s="4">
        <v>44834</v>
      </c>
      <c r="B323" s="2">
        <v>36</v>
      </c>
      <c r="C323" s="2" t="str">
        <f t="shared" si="54"/>
        <v>1870</v>
      </c>
      <c r="D323" s="2" t="str">
        <f t="shared" si="55"/>
        <v>Прочие транзитные счета</v>
      </c>
      <c r="E323" s="2" t="str">
        <f>"2"</f>
        <v>2</v>
      </c>
      <c r="F323" s="2" t="str">
        <f>"7"</f>
        <v>7</v>
      </c>
      <c r="G323" s="2" t="str">
        <f>"1"</f>
        <v>1</v>
      </c>
      <c r="H323" s="3">
        <v>235805023.11000001</v>
      </c>
    </row>
    <row r="324" spans="1:8" x14ac:dyDescent="0.3">
      <c r="A324" s="4">
        <v>44834</v>
      </c>
      <c r="B324" s="2">
        <v>36</v>
      </c>
      <c r="C324" s="2" t="str">
        <f t="shared" si="54"/>
        <v>1870</v>
      </c>
      <c r="D324" s="2" t="str">
        <f t="shared" si="55"/>
        <v>Прочие транзитные счета</v>
      </c>
      <c r="E324" s="2" t="str">
        <f>"2"</f>
        <v>2</v>
      </c>
      <c r="F324" s="2" t="str">
        <f>"4"</f>
        <v>4</v>
      </c>
      <c r="G324" s="2" t="str">
        <f>"2"</f>
        <v>2</v>
      </c>
      <c r="H324" s="3">
        <v>7005450000</v>
      </c>
    </row>
    <row r="325" spans="1:8" x14ac:dyDescent="0.3">
      <c r="A325" s="4">
        <v>44834</v>
      </c>
      <c r="B325" s="2">
        <v>36</v>
      </c>
      <c r="C325" s="2" t="str">
        <f t="shared" si="54"/>
        <v>1870</v>
      </c>
      <c r="D325" s="2" t="str">
        <f t="shared" si="55"/>
        <v>Прочие транзитные счета</v>
      </c>
      <c r="E325" s="2" t="str">
        <f>"1"</f>
        <v>1</v>
      </c>
      <c r="F325" s="2" t="str">
        <f>"4"</f>
        <v>4</v>
      </c>
      <c r="G325" s="2" t="str">
        <f>"2"</f>
        <v>2</v>
      </c>
      <c r="H325" s="3">
        <v>189.89</v>
      </c>
    </row>
    <row r="326" spans="1:8" x14ac:dyDescent="0.3">
      <c r="A326" s="4">
        <v>44834</v>
      </c>
      <c r="B326" s="2">
        <v>36</v>
      </c>
      <c r="C326" s="2" t="str">
        <f t="shared" si="54"/>
        <v>1870</v>
      </c>
      <c r="D326" s="2" t="str">
        <f t="shared" si="55"/>
        <v>Прочие транзитные счета</v>
      </c>
      <c r="E326" s="2" t="str">
        <f>"1"</f>
        <v>1</v>
      </c>
      <c r="F326" s="2" t="str">
        <f>"9"</f>
        <v>9</v>
      </c>
      <c r="G326" s="2" t="str">
        <f>"1"</f>
        <v>1</v>
      </c>
      <c r="H326" s="3">
        <v>1206812533.3299999</v>
      </c>
    </row>
    <row r="327" spans="1:8" x14ac:dyDescent="0.3">
      <c r="A327" s="4">
        <v>44834</v>
      </c>
      <c r="B327" s="2">
        <v>36</v>
      </c>
      <c r="C327" s="2" t="str">
        <f t="shared" si="54"/>
        <v>1870</v>
      </c>
      <c r="D327" s="2" t="str">
        <f t="shared" si="55"/>
        <v>Прочие транзитные счета</v>
      </c>
      <c r="E327" s="2" t="str">
        <f>"1"</f>
        <v>1</v>
      </c>
      <c r="F327" s="2" t="str">
        <f>"4"</f>
        <v>4</v>
      </c>
      <c r="G327" s="2" t="str">
        <f>"1"</f>
        <v>1</v>
      </c>
      <c r="H327" s="3">
        <v>89785280.700000003</v>
      </c>
    </row>
    <row r="328" spans="1:8" x14ac:dyDescent="0.3">
      <c r="A328" s="4">
        <v>44834</v>
      </c>
      <c r="B328" s="2">
        <v>36</v>
      </c>
      <c r="C328" s="2" t="str">
        <f t="shared" si="54"/>
        <v>1870</v>
      </c>
      <c r="D328" s="2" t="str">
        <f t="shared" si="55"/>
        <v>Прочие транзитные счета</v>
      </c>
      <c r="E328" s="2" t="str">
        <f>"2"</f>
        <v>2</v>
      </c>
      <c r="F328" s="2" t="str">
        <f>"5"</f>
        <v>5</v>
      </c>
      <c r="G328" s="2" t="str">
        <f>"1"</f>
        <v>1</v>
      </c>
      <c r="H328" s="3">
        <v>367145</v>
      </c>
    </row>
    <row r="329" spans="1:8" x14ac:dyDescent="0.3">
      <c r="A329" s="4">
        <v>44834</v>
      </c>
      <c r="B329" s="2">
        <v>36</v>
      </c>
      <c r="C329" s="2" t="str">
        <f t="shared" si="54"/>
        <v>1870</v>
      </c>
      <c r="D329" s="2" t="str">
        <f t="shared" si="55"/>
        <v>Прочие транзитные счета</v>
      </c>
      <c r="E329" s="2" t="str">
        <f>"1"</f>
        <v>1</v>
      </c>
      <c r="F329" s="2" t="str">
        <f>"9"</f>
        <v>9</v>
      </c>
      <c r="G329" s="2" t="str">
        <f>"2"</f>
        <v>2</v>
      </c>
      <c r="H329" s="3">
        <v>2481966.7799999998</v>
      </c>
    </row>
    <row r="330" spans="1:8" x14ac:dyDescent="0.3">
      <c r="A330" s="4">
        <v>44834</v>
      </c>
      <c r="B330" s="2">
        <v>36</v>
      </c>
      <c r="C330" s="2" t="str">
        <f t="shared" ref="C330:C346" si="56">"1877"</f>
        <v>1877</v>
      </c>
      <c r="D330" s="2" t="str">
        <f t="shared" ref="D330:D346" si="5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0" s="2" t="str">
        <f>"1"</f>
        <v>1</v>
      </c>
      <c r="F330" s="2" t="str">
        <f>"4"</f>
        <v>4</v>
      </c>
      <c r="G330" s="2" t="str">
        <f>"2"</f>
        <v>2</v>
      </c>
      <c r="H330" s="3">
        <v>-552680457.40999997</v>
      </c>
    </row>
    <row r="331" spans="1:8" x14ac:dyDescent="0.3">
      <c r="A331" s="4">
        <v>44834</v>
      </c>
      <c r="B331" s="2">
        <v>36</v>
      </c>
      <c r="C331" s="2" t="str">
        <f t="shared" si="56"/>
        <v>1877</v>
      </c>
      <c r="D331" s="2" t="str">
        <f t="shared" si="57"/>
        <v>Резервы (провизии) по дебиторской задолженности, связанной с банковской деятельностью</v>
      </c>
      <c r="E331" s="2" t="str">
        <f>"2"</f>
        <v>2</v>
      </c>
      <c r="F331" s="2" t="str">
        <f>"7"</f>
        <v>7</v>
      </c>
      <c r="G331" s="2" t="str">
        <f>"3"</f>
        <v>3</v>
      </c>
      <c r="H331" s="3">
        <v>-91040608.329999998</v>
      </c>
    </row>
    <row r="332" spans="1:8" x14ac:dyDescent="0.3">
      <c r="A332" s="4">
        <v>44834</v>
      </c>
      <c r="B332" s="2">
        <v>36</v>
      </c>
      <c r="C332" s="2" t="str">
        <f t="shared" si="56"/>
        <v>1877</v>
      </c>
      <c r="D332" s="2" t="str">
        <f t="shared" si="57"/>
        <v>Резервы (провизии) по дебиторской задолженности, связанной с банковской деятельностью</v>
      </c>
      <c r="E332" s="2" t="str">
        <f>"2"</f>
        <v>2</v>
      </c>
      <c r="F332" s="2" t="str">
        <f>"9"</f>
        <v>9</v>
      </c>
      <c r="G332" s="2" t="str">
        <f>"2"</f>
        <v>2</v>
      </c>
      <c r="H332" s="3">
        <v>-2401738.11</v>
      </c>
    </row>
    <row r="333" spans="1:8" x14ac:dyDescent="0.3">
      <c r="A333" s="4">
        <v>44834</v>
      </c>
      <c r="B333" s="2">
        <v>36</v>
      </c>
      <c r="C333" s="2" t="str">
        <f t="shared" si="56"/>
        <v>1877</v>
      </c>
      <c r="D333" s="2" t="str">
        <f t="shared" si="57"/>
        <v>Резервы (провизии) по дебиторской задолженности, связанной с банковской деятельностью</v>
      </c>
      <c r="E333" s="2" t="str">
        <f>"1"</f>
        <v>1</v>
      </c>
      <c r="F333" s="2" t="str">
        <f>"2"</f>
        <v>2</v>
      </c>
      <c r="G333" s="2" t="str">
        <f>"1"</f>
        <v>1</v>
      </c>
      <c r="H333" s="3">
        <v>-1060</v>
      </c>
    </row>
    <row r="334" spans="1:8" x14ac:dyDescent="0.3">
      <c r="A334" s="4">
        <v>44834</v>
      </c>
      <c r="B334" s="2">
        <v>36</v>
      </c>
      <c r="C334" s="2" t="str">
        <f t="shared" si="56"/>
        <v>1877</v>
      </c>
      <c r="D334" s="2" t="str">
        <f t="shared" si="57"/>
        <v>Резервы (провизии) по дебиторской задолженности, связанной с банковской деятельностью</v>
      </c>
      <c r="E334" s="2" t="str">
        <f>"2"</f>
        <v>2</v>
      </c>
      <c r="F334" s="2" t="str">
        <f>"7"</f>
        <v>7</v>
      </c>
      <c r="G334" s="2" t="str">
        <f>"1"</f>
        <v>1</v>
      </c>
      <c r="H334" s="3">
        <v>-1218553</v>
      </c>
    </row>
    <row r="335" spans="1:8" x14ac:dyDescent="0.3">
      <c r="A335" s="4">
        <v>44834</v>
      </c>
      <c r="B335" s="2">
        <v>36</v>
      </c>
      <c r="C335" s="2" t="str">
        <f t="shared" si="56"/>
        <v>1877</v>
      </c>
      <c r="D335" s="2" t="str">
        <f t="shared" si="57"/>
        <v>Резервы (провизии) по дебиторской задолженности, связанной с банковской деятельностью</v>
      </c>
      <c r="E335" s="2" t="str">
        <f t="shared" ref="E335:E341" si="58">"1"</f>
        <v>1</v>
      </c>
      <c r="F335" s="2" t="str">
        <f>"5"</f>
        <v>5</v>
      </c>
      <c r="G335" s="2" t="str">
        <f>"2"</f>
        <v>2</v>
      </c>
      <c r="H335" s="3">
        <v>-4733878.08</v>
      </c>
    </row>
    <row r="336" spans="1:8" x14ac:dyDescent="0.3">
      <c r="A336" s="4">
        <v>44834</v>
      </c>
      <c r="B336" s="2">
        <v>36</v>
      </c>
      <c r="C336" s="2" t="str">
        <f t="shared" si="56"/>
        <v>1877</v>
      </c>
      <c r="D336" s="2" t="str">
        <f t="shared" si="57"/>
        <v>Резервы (провизии) по дебиторской задолженности, связанной с банковской деятельностью</v>
      </c>
      <c r="E336" s="2" t="str">
        <f t="shared" si="58"/>
        <v>1</v>
      </c>
      <c r="F336" s="2" t="str">
        <f>"7"</f>
        <v>7</v>
      </c>
      <c r="G336" s="2" t="str">
        <f>"2"</f>
        <v>2</v>
      </c>
      <c r="H336" s="3">
        <v>-10310234.25</v>
      </c>
    </row>
    <row r="337" spans="1:8" x14ac:dyDescent="0.3">
      <c r="A337" s="4">
        <v>44834</v>
      </c>
      <c r="B337" s="2">
        <v>36</v>
      </c>
      <c r="C337" s="2" t="str">
        <f t="shared" si="56"/>
        <v>1877</v>
      </c>
      <c r="D337" s="2" t="str">
        <f t="shared" si="57"/>
        <v>Резервы (провизии) по дебиторской задолженности, связанной с банковской деятельностью</v>
      </c>
      <c r="E337" s="2" t="str">
        <f t="shared" si="58"/>
        <v>1</v>
      </c>
      <c r="F337" s="2" t="str">
        <f>"5"</f>
        <v>5</v>
      </c>
      <c r="G337" s="2" t="str">
        <f>"1"</f>
        <v>1</v>
      </c>
      <c r="H337" s="3">
        <v>-41841912.259999998</v>
      </c>
    </row>
    <row r="338" spans="1:8" x14ac:dyDescent="0.3">
      <c r="A338" s="4">
        <v>44834</v>
      </c>
      <c r="B338" s="2">
        <v>36</v>
      </c>
      <c r="C338" s="2" t="str">
        <f t="shared" si="56"/>
        <v>1877</v>
      </c>
      <c r="D338" s="2" t="str">
        <f t="shared" si="57"/>
        <v>Резервы (провизии) по дебиторской задолженности, связанной с банковской деятельностью</v>
      </c>
      <c r="E338" s="2" t="str">
        <f t="shared" si="58"/>
        <v>1</v>
      </c>
      <c r="F338" s="2" t="str">
        <f>"4"</f>
        <v>4</v>
      </c>
      <c r="G338" s="2" t="str">
        <f>"1"</f>
        <v>1</v>
      </c>
      <c r="H338" s="3">
        <v>-287395580.20999998</v>
      </c>
    </row>
    <row r="339" spans="1:8" x14ac:dyDescent="0.3">
      <c r="A339" s="4">
        <v>44834</v>
      </c>
      <c r="B339" s="2">
        <v>36</v>
      </c>
      <c r="C339" s="2" t="str">
        <f t="shared" si="56"/>
        <v>1877</v>
      </c>
      <c r="D339" s="2" t="str">
        <f t="shared" si="57"/>
        <v>Резервы (провизии) по дебиторской задолженности, связанной с банковской деятельностью</v>
      </c>
      <c r="E339" s="2" t="str">
        <f t="shared" si="58"/>
        <v>1</v>
      </c>
      <c r="F339" s="2" t="str">
        <f>"9"</f>
        <v>9</v>
      </c>
      <c r="G339" s="2" t="str">
        <f>"1"</f>
        <v>1</v>
      </c>
      <c r="H339" s="3">
        <v>-7633695376.9099998</v>
      </c>
    </row>
    <row r="340" spans="1:8" x14ac:dyDescent="0.3">
      <c r="A340" s="4">
        <v>44834</v>
      </c>
      <c r="B340" s="2">
        <v>36</v>
      </c>
      <c r="C340" s="2" t="str">
        <f t="shared" si="56"/>
        <v>1877</v>
      </c>
      <c r="D340" s="2" t="str">
        <f t="shared" si="57"/>
        <v>Резервы (провизии) по дебиторской задолженности, связанной с банковской деятельностью</v>
      </c>
      <c r="E340" s="2" t="str">
        <f t="shared" si="58"/>
        <v>1</v>
      </c>
      <c r="F340" s="2" t="str">
        <f>"9"</f>
        <v>9</v>
      </c>
      <c r="G340" s="2" t="str">
        <f>"2"</f>
        <v>2</v>
      </c>
      <c r="H340" s="3">
        <v>-607644428.41999996</v>
      </c>
    </row>
    <row r="341" spans="1:8" x14ac:dyDescent="0.3">
      <c r="A341" s="4">
        <v>44834</v>
      </c>
      <c r="B341" s="2">
        <v>36</v>
      </c>
      <c r="C341" s="2" t="str">
        <f t="shared" si="56"/>
        <v>1877</v>
      </c>
      <c r="D341" s="2" t="str">
        <f t="shared" si="57"/>
        <v>Резервы (провизии) по дебиторской задолженности, связанной с банковской деятельностью</v>
      </c>
      <c r="E341" s="2" t="str">
        <f t="shared" si="58"/>
        <v>1</v>
      </c>
      <c r="F341" s="2" t="str">
        <f>"9"</f>
        <v>9</v>
      </c>
      <c r="G341" s="2" t="str">
        <f>"3"</f>
        <v>3</v>
      </c>
      <c r="H341" s="3">
        <v>-671308</v>
      </c>
    </row>
    <row r="342" spans="1:8" x14ac:dyDescent="0.3">
      <c r="A342" s="4">
        <v>44834</v>
      </c>
      <c r="B342" s="2">
        <v>36</v>
      </c>
      <c r="C342" s="2" t="str">
        <f t="shared" si="56"/>
        <v>1877</v>
      </c>
      <c r="D342" s="2" t="str">
        <f t="shared" si="57"/>
        <v>Резервы (провизии) по дебиторской задолженности, связанной с банковской деятельностью</v>
      </c>
      <c r="E342" s="2" t="str">
        <f>"2"</f>
        <v>2</v>
      </c>
      <c r="F342" s="2" t="str">
        <f>"9"</f>
        <v>9</v>
      </c>
      <c r="G342" s="2" t="str">
        <f>"1"</f>
        <v>1</v>
      </c>
      <c r="H342" s="3">
        <v>-4193417.49</v>
      </c>
    </row>
    <row r="343" spans="1:8" x14ac:dyDescent="0.3">
      <c r="A343" s="4">
        <v>44834</v>
      </c>
      <c r="B343" s="2">
        <v>36</v>
      </c>
      <c r="C343" s="2" t="str">
        <f t="shared" si="56"/>
        <v>1877</v>
      </c>
      <c r="D343" s="2" t="str">
        <f t="shared" si="57"/>
        <v>Резервы (провизии) по дебиторской задолженности, связанной с банковской деятельностью</v>
      </c>
      <c r="E343" s="2" t="str">
        <f>"2"</f>
        <v>2</v>
      </c>
      <c r="F343" s="2" t="str">
        <f>"7"</f>
        <v>7</v>
      </c>
      <c r="G343" s="2" t="str">
        <f>"2"</f>
        <v>2</v>
      </c>
      <c r="H343" s="3">
        <v>-12894622244.23</v>
      </c>
    </row>
    <row r="344" spans="1:8" x14ac:dyDescent="0.3">
      <c r="A344" s="4">
        <v>44834</v>
      </c>
      <c r="B344" s="2">
        <v>36</v>
      </c>
      <c r="C344" s="2" t="str">
        <f t="shared" si="56"/>
        <v>1877</v>
      </c>
      <c r="D344" s="2" t="str">
        <f t="shared" si="57"/>
        <v>Резервы (провизии) по дебиторской задолженности, связанной с банковской деятельностью</v>
      </c>
      <c r="E344" s="2" t="str">
        <f>"1"</f>
        <v>1</v>
      </c>
      <c r="F344" s="2" t="str">
        <f>"7"</f>
        <v>7</v>
      </c>
      <c r="G344" s="2" t="str">
        <f>"1"</f>
        <v>1</v>
      </c>
      <c r="H344" s="3">
        <v>-5318407521.1300001</v>
      </c>
    </row>
    <row r="345" spans="1:8" x14ac:dyDescent="0.3">
      <c r="A345" s="4">
        <v>44834</v>
      </c>
      <c r="B345" s="2">
        <v>36</v>
      </c>
      <c r="C345" s="2" t="str">
        <f t="shared" si="56"/>
        <v>1877</v>
      </c>
      <c r="D345" s="2" t="str">
        <f t="shared" si="57"/>
        <v>Резервы (провизии) по дебиторской задолженности, связанной с банковской деятельностью</v>
      </c>
      <c r="E345" s="2" t="str">
        <f>"2"</f>
        <v>2</v>
      </c>
      <c r="F345" s="2" t="str">
        <f>"5"</f>
        <v>5</v>
      </c>
      <c r="G345" s="2" t="str">
        <f>"2"</f>
        <v>2</v>
      </c>
      <c r="H345" s="3">
        <v>-5649.01</v>
      </c>
    </row>
    <row r="346" spans="1:8" x14ac:dyDescent="0.3">
      <c r="A346" s="4">
        <v>44834</v>
      </c>
      <c r="B346" s="2">
        <v>36</v>
      </c>
      <c r="C346" s="2" t="str">
        <f t="shared" si="56"/>
        <v>1877</v>
      </c>
      <c r="D346" s="2" t="str">
        <f t="shared" si="57"/>
        <v>Резервы (провизии) по дебиторской задолженности, связанной с банковской деятельностью</v>
      </c>
      <c r="E346" s="2" t="str">
        <f>"1"</f>
        <v>1</v>
      </c>
      <c r="F346" s="2" t="str">
        <f>"7"</f>
        <v>7</v>
      </c>
      <c r="G346" s="2" t="str">
        <f>"3"</f>
        <v>3</v>
      </c>
      <c r="H346" s="3">
        <v>-65655.179999999993</v>
      </c>
    </row>
    <row r="347" spans="1:8" x14ac:dyDescent="0.3">
      <c r="A347" s="4">
        <v>44834</v>
      </c>
      <c r="B347" s="2">
        <v>36</v>
      </c>
      <c r="C347" s="2" t="str">
        <f t="shared" ref="C347:C354" si="59">"1878"</f>
        <v>1878</v>
      </c>
      <c r="D347" s="2" t="str">
        <f t="shared" ref="D347:D354" si="60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47" s="2" t="str">
        <f>"2"</f>
        <v>2</v>
      </c>
      <c r="F347" s="2" t="str">
        <f>"7"</f>
        <v>7</v>
      </c>
      <c r="G347" s="2" t="str">
        <f t="shared" ref="G347:G354" si="61">"1"</f>
        <v>1</v>
      </c>
      <c r="H347" s="3">
        <v>-902318205.53999996</v>
      </c>
    </row>
    <row r="348" spans="1:8" x14ac:dyDescent="0.3">
      <c r="A348" s="4">
        <v>44834</v>
      </c>
      <c r="B348" s="2">
        <v>36</v>
      </c>
      <c r="C348" s="2" t="str">
        <f t="shared" si="59"/>
        <v>1878</v>
      </c>
      <c r="D348" s="2" t="str">
        <f t="shared" si="60"/>
        <v>Резервы (провизии) по дебиторской задолженности, связанной с неосновной деятельностью</v>
      </c>
      <c r="E348" s="2" t="str">
        <f>"1"</f>
        <v>1</v>
      </c>
      <c r="F348" s="2" t="str">
        <f>"7"</f>
        <v>7</v>
      </c>
      <c r="G348" s="2" t="str">
        <f t="shared" si="61"/>
        <v>1</v>
      </c>
      <c r="H348" s="3">
        <v>-1387312712.51</v>
      </c>
    </row>
    <row r="349" spans="1:8" x14ac:dyDescent="0.3">
      <c r="A349" s="4">
        <v>44834</v>
      </c>
      <c r="B349" s="2">
        <v>36</v>
      </c>
      <c r="C349" s="2" t="str">
        <f t="shared" si="59"/>
        <v>1878</v>
      </c>
      <c r="D349" s="2" t="str">
        <f t="shared" si="60"/>
        <v>Резервы (провизии) по дебиторской задолженности, связанной с неосновной деятельностью</v>
      </c>
      <c r="E349" s="2" t="str">
        <f>"1"</f>
        <v>1</v>
      </c>
      <c r="F349" s="2" t="str">
        <f>"5"</f>
        <v>5</v>
      </c>
      <c r="G349" s="2" t="str">
        <f t="shared" si="61"/>
        <v>1</v>
      </c>
      <c r="H349" s="3">
        <v>-1453625976.8</v>
      </c>
    </row>
    <row r="350" spans="1:8" x14ac:dyDescent="0.3">
      <c r="A350" s="4">
        <v>44834</v>
      </c>
      <c r="B350" s="2">
        <v>36</v>
      </c>
      <c r="C350" s="2" t="str">
        <f t="shared" si="59"/>
        <v>1878</v>
      </c>
      <c r="D350" s="2" t="str">
        <f t="shared" si="60"/>
        <v>Резервы (провизии) по дебиторской задолженности, связанной с неосновной деятельностью</v>
      </c>
      <c r="E350" s="2" t="str">
        <f>"1"</f>
        <v>1</v>
      </c>
      <c r="F350" s="2" t="str">
        <f>"1"</f>
        <v>1</v>
      </c>
      <c r="G350" s="2" t="str">
        <f t="shared" si="61"/>
        <v>1</v>
      </c>
      <c r="H350" s="3">
        <v>-2729230.22</v>
      </c>
    </row>
    <row r="351" spans="1:8" x14ac:dyDescent="0.3">
      <c r="A351" s="4">
        <v>44834</v>
      </c>
      <c r="B351" s="2">
        <v>36</v>
      </c>
      <c r="C351" s="2" t="str">
        <f t="shared" si="59"/>
        <v>1878</v>
      </c>
      <c r="D351" s="2" t="str">
        <f t="shared" si="60"/>
        <v>Резервы (провизии) по дебиторской задолженности, связанной с неосновной деятельностью</v>
      </c>
      <c r="E351" s="2" t="str">
        <f>"1"</f>
        <v>1</v>
      </c>
      <c r="F351" s="2" t="str">
        <f>"9"</f>
        <v>9</v>
      </c>
      <c r="G351" s="2" t="str">
        <f t="shared" si="61"/>
        <v>1</v>
      </c>
      <c r="H351" s="3">
        <v>-87293316.930000007</v>
      </c>
    </row>
    <row r="352" spans="1:8" x14ac:dyDescent="0.3">
      <c r="A352" s="4">
        <v>44834</v>
      </c>
      <c r="B352" s="2">
        <v>36</v>
      </c>
      <c r="C352" s="2" t="str">
        <f t="shared" si="59"/>
        <v>1878</v>
      </c>
      <c r="D352" s="2" t="str">
        <f t="shared" si="60"/>
        <v>Резервы (провизии) по дебиторской задолженности, связанной с неосновной деятельностью</v>
      </c>
      <c r="E352" s="2" t="str">
        <f>"2"</f>
        <v>2</v>
      </c>
      <c r="F352" s="2" t="str">
        <f>"2"</f>
        <v>2</v>
      </c>
      <c r="G352" s="2" t="str">
        <f t="shared" si="61"/>
        <v>1</v>
      </c>
      <c r="H352" s="3">
        <v>-1042200</v>
      </c>
    </row>
    <row r="353" spans="1:8" x14ac:dyDescent="0.3">
      <c r="A353" s="4">
        <v>44834</v>
      </c>
      <c r="B353" s="2">
        <v>36</v>
      </c>
      <c r="C353" s="2" t="str">
        <f t="shared" si="59"/>
        <v>1878</v>
      </c>
      <c r="D353" s="2" t="str">
        <f t="shared" si="60"/>
        <v>Резервы (провизии) по дебиторской задолженности, связанной с неосновной деятельностью</v>
      </c>
      <c r="E353" s="2" t="str">
        <f>"1"</f>
        <v>1</v>
      </c>
      <c r="F353" s="2" t="str">
        <f>"6"</f>
        <v>6</v>
      </c>
      <c r="G353" s="2" t="str">
        <f t="shared" si="61"/>
        <v>1</v>
      </c>
      <c r="H353" s="3">
        <v>-4253582.41</v>
      </c>
    </row>
    <row r="354" spans="1:8" x14ac:dyDescent="0.3">
      <c r="A354" s="4">
        <v>44834</v>
      </c>
      <c r="B354" s="2">
        <v>36</v>
      </c>
      <c r="C354" s="2" t="str">
        <f t="shared" si="59"/>
        <v>1878</v>
      </c>
      <c r="D354" s="2" t="str">
        <f t="shared" si="60"/>
        <v>Резервы (провизии) по дебиторской задолженности, связанной с неосновной деятельностью</v>
      </c>
      <c r="E354" s="2" t="str">
        <f>"1"</f>
        <v>1</v>
      </c>
      <c r="F354" s="2" t="str">
        <f>"8"</f>
        <v>8</v>
      </c>
      <c r="G354" s="2" t="str">
        <f t="shared" si="61"/>
        <v>1</v>
      </c>
      <c r="H354" s="3">
        <v>-6817.7</v>
      </c>
    </row>
    <row r="355" spans="1:8" x14ac:dyDescent="0.3">
      <c r="A355" s="4">
        <v>44834</v>
      </c>
      <c r="B355" s="2">
        <v>36</v>
      </c>
      <c r="C355" s="2" t="str">
        <f t="shared" ref="C355:C361" si="62">"1879"</f>
        <v>1879</v>
      </c>
      <c r="D355" s="2" t="str">
        <f t="shared" ref="D355:D361" si="63">"Начисленная неустойка (штраф, пеня)"</f>
        <v>Начисленная неустойка (штраф, пеня)</v>
      </c>
      <c r="E355" s="2" t="str">
        <f>"1"</f>
        <v>1</v>
      </c>
      <c r="F355" s="2" t="str">
        <f>"9"</f>
        <v>9</v>
      </c>
      <c r="G355" s="2" t="str">
        <f>"2"</f>
        <v>2</v>
      </c>
      <c r="H355" s="3">
        <v>9081980.2699999996</v>
      </c>
    </row>
    <row r="356" spans="1:8" x14ac:dyDescent="0.3">
      <c r="A356" s="4">
        <v>44834</v>
      </c>
      <c r="B356" s="2">
        <v>36</v>
      </c>
      <c r="C356" s="2" t="str">
        <f t="shared" si="62"/>
        <v>1879</v>
      </c>
      <c r="D356" s="2" t="str">
        <f t="shared" si="63"/>
        <v>Начисленная неустойка (штраф, пеня)</v>
      </c>
      <c r="E356" s="2" t="str">
        <f>"1"</f>
        <v>1</v>
      </c>
      <c r="F356" s="2" t="str">
        <f>"7"</f>
        <v>7</v>
      </c>
      <c r="G356" s="2" t="str">
        <f>"1"</f>
        <v>1</v>
      </c>
      <c r="H356" s="3">
        <v>1779123678.72</v>
      </c>
    </row>
    <row r="357" spans="1:8" x14ac:dyDescent="0.3">
      <c r="A357" s="4">
        <v>44834</v>
      </c>
      <c r="B357" s="2">
        <v>36</v>
      </c>
      <c r="C357" s="2" t="str">
        <f t="shared" si="62"/>
        <v>1879</v>
      </c>
      <c r="D357" s="2" t="str">
        <f t="shared" si="63"/>
        <v>Начисленная неустойка (штраф, пеня)</v>
      </c>
      <c r="E357" s="2" t="str">
        <f>"2"</f>
        <v>2</v>
      </c>
      <c r="F357" s="2" t="str">
        <f>"9"</f>
        <v>9</v>
      </c>
      <c r="G357" s="2" t="str">
        <f>"2"</f>
        <v>2</v>
      </c>
      <c r="H357" s="3">
        <v>45356.9</v>
      </c>
    </row>
    <row r="358" spans="1:8" x14ac:dyDescent="0.3">
      <c r="A358" s="4">
        <v>44834</v>
      </c>
      <c r="B358" s="2">
        <v>36</v>
      </c>
      <c r="C358" s="2" t="str">
        <f t="shared" si="62"/>
        <v>1879</v>
      </c>
      <c r="D358" s="2" t="str">
        <f t="shared" si="63"/>
        <v>Начисленная неустойка (штраф, пеня)</v>
      </c>
      <c r="E358" s="2" t="str">
        <f>"1"</f>
        <v>1</v>
      </c>
      <c r="F358" s="2" t="str">
        <f>"7"</f>
        <v>7</v>
      </c>
      <c r="G358" s="2" t="str">
        <f>"2"</f>
        <v>2</v>
      </c>
      <c r="H358" s="3">
        <v>6228.64</v>
      </c>
    </row>
    <row r="359" spans="1:8" x14ac:dyDescent="0.3">
      <c r="A359" s="4">
        <v>44834</v>
      </c>
      <c r="B359" s="2">
        <v>36</v>
      </c>
      <c r="C359" s="2" t="str">
        <f t="shared" si="62"/>
        <v>1879</v>
      </c>
      <c r="D359" s="2" t="str">
        <f t="shared" si="63"/>
        <v>Начисленная неустойка (штраф, пеня)</v>
      </c>
      <c r="E359" s="2" t="str">
        <f>"2"</f>
        <v>2</v>
      </c>
      <c r="F359" s="2" t="str">
        <f>"9"</f>
        <v>9</v>
      </c>
      <c r="G359" s="2" t="str">
        <f t="shared" ref="G359:G367" si="64">"1"</f>
        <v>1</v>
      </c>
      <c r="H359" s="3">
        <v>186484.42</v>
      </c>
    </row>
    <row r="360" spans="1:8" x14ac:dyDescent="0.3">
      <c r="A360" s="4">
        <v>44834</v>
      </c>
      <c r="B360" s="2">
        <v>36</v>
      </c>
      <c r="C360" s="2" t="str">
        <f t="shared" si="62"/>
        <v>1879</v>
      </c>
      <c r="D360" s="2" t="str">
        <f t="shared" si="63"/>
        <v>Начисленная неустойка (штраф, пеня)</v>
      </c>
      <c r="E360" s="2" t="str">
        <f>"1"</f>
        <v>1</v>
      </c>
      <c r="F360" s="2" t="str">
        <f>"5"</f>
        <v>5</v>
      </c>
      <c r="G360" s="2" t="str">
        <f t="shared" si="64"/>
        <v>1</v>
      </c>
      <c r="H360" s="3">
        <v>11760</v>
      </c>
    </row>
    <row r="361" spans="1:8" x14ac:dyDescent="0.3">
      <c r="A361" s="4">
        <v>44834</v>
      </c>
      <c r="B361" s="2">
        <v>36</v>
      </c>
      <c r="C361" s="2" t="str">
        <f t="shared" si="62"/>
        <v>1879</v>
      </c>
      <c r="D361" s="2" t="str">
        <f t="shared" si="63"/>
        <v>Начисленная неустойка (штраф, пеня)</v>
      </c>
      <c r="E361" s="2" t="str">
        <f>"1"</f>
        <v>1</v>
      </c>
      <c r="F361" s="2" t="str">
        <f>"9"</f>
        <v>9</v>
      </c>
      <c r="G361" s="2" t="str">
        <f t="shared" si="64"/>
        <v>1</v>
      </c>
      <c r="H361" s="3">
        <v>592823779.73000002</v>
      </c>
    </row>
    <row r="362" spans="1:8" x14ac:dyDescent="0.3">
      <c r="A362" s="4">
        <v>44834</v>
      </c>
      <c r="B362" s="2">
        <v>36</v>
      </c>
      <c r="C362" s="2" t="str">
        <f>"1894"</f>
        <v>1894</v>
      </c>
      <c r="D362" s="2" t="str">
        <f>"Требования по операциям спот"</f>
        <v>Требования по операциям спот</v>
      </c>
      <c r="E362" s="2" t="str">
        <f>"1"</f>
        <v>1</v>
      </c>
      <c r="F362" s="2" t="str">
        <f>"5"</f>
        <v>5</v>
      </c>
      <c r="G362" s="2" t="str">
        <f t="shared" si="64"/>
        <v>1</v>
      </c>
      <c r="H362" s="3">
        <v>156603970</v>
      </c>
    </row>
    <row r="363" spans="1:8" x14ac:dyDescent="0.3">
      <c r="A363" s="4">
        <v>44834</v>
      </c>
      <c r="B363" s="2">
        <v>36</v>
      </c>
      <c r="C363" s="2" t="str">
        <f>"1894"</f>
        <v>1894</v>
      </c>
      <c r="D363" s="2" t="str">
        <f>"Требования по операциям спот"</f>
        <v>Требования по операциям спот</v>
      </c>
      <c r="E363" s="2" t="str">
        <f>"1"</f>
        <v>1</v>
      </c>
      <c r="F363" s="2" t="str">
        <f>"4"</f>
        <v>4</v>
      </c>
      <c r="G363" s="2" t="str">
        <f t="shared" si="64"/>
        <v>1</v>
      </c>
      <c r="H363" s="3">
        <v>17820000</v>
      </c>
    </row>
    <row r="364" spans="1:8" x14ac:dyDescent="0.3">
      <c r="A364" s="4">
        <v>44834</v>
      </c>
      <c r="B364" s="2">
        <v>36</v>
      </c>
      <c r="C364" s="2" t="str">
        <f>"1894"</f>
        <v>1894</v>
      </c>
      <c r="D364" s="2" t="str">
        <f>"Требования по операциям спот"</f>
        <v>Требования по операциям спот</v>
      </c>
      <c r="E364" s="2" t="str">
        <f>"2"</f>
        <v>2</v>
      </c>
      <c r="F364" s="2" t="str">
        <f>"4"</f>
        <v>4</v>
      </c>
      <c r="G364" s="2" t="str">
        <f t="shared" si="64"/>
        <v>1</v>
      </c>
      <c r="H364" s="3">
        <v>292437115.19999999</v>
      </c>
    </row>
    <row r="365" spans="1:8" x14ac:dyDescent="0.3">
      <c r="A365" s="4">
        <v>44834</v>
      </c>
      <c r="B365" s="2">
        <v>36</v>
      </c>
      <c r="C365" s="2" t="str">
        <f>"1895"</f>
        <v>1895</v>
      </c>
      <c r="D365" s="2" t="str">
        <f>"Требования по операциям своп"</f>
        <v>Требования по операциям своп</v>
      </c>
      <c r="E365" s="2" t="str">
        <f>"2"</f>
        <v>2</v>
      </c>
      <c r="F365" s="2" t="str">
        <f>"5"</f>
        <v>5</v>
      </c>
      <c r="G365" s="2" t="str">
        <f t="shared" si="64"/>
        <v>1</v>
      </c>
      <c r="H365" s="3">
        <v>1257382451.8099999</v>
      </c>
    </row>
    <row r="366" spans="1:8" x14ac:dyDescent="0.3">
      <c r="A366" s="4">
        <v>44834</v>
      </c>
      <c r="B366" s="2">
        <v>36</v>
      </c>
      <c r="C366" s="2" t="str">
        <f>"1895"</f>
        <v>1895</v>
      </c>
      <c r="D366" s="2" t="str">
        <f>"Требования по операциям своп"</f>
        <v>Требования по операциям своп</v>
      </c>
      <c r="E366" s="2" t="str">
        <f>"1"</f>
        <v>1</v>
      </c>
      <c r="F366" s="2" t="str">
        <f>"5"</f>
        <v>5</v>
      </c>
      <c r="G366" s="2" t="str">
        <f t="shared" si="64"/>
        <v>1</v>
      </c>
      <c r="H366" s="3">
        <v>85559460</v>
      </c>
    </row>
    <row r="367" spans="1:8" x14ac:dyDescent="0.3">
      <c r="A367" s="4">
        <v>44834</v>
      </c>
      <c r="B367" s="2">
        <v>36</v>
      </c>
      <c r="C367" s="2" t="str">
        <f>"2013"</f>
        <v>2013</v>
      </c>
      <c r="D367" s="2" t="str">
        <f>"Корреспондентские счета других банков"</f>
        <v>Корреспондентские счета других банков</v>
      </c>
      <c r="E367" s="2" t="str">
        <f>"2"</f>
        <v>2</v>
      </c>
      <c r="F367" s="2" t="str">
        <f>"4"</f>
        <v>4</v>
      </c>
      <c r="G367" s="2" t="str">
        <f t="shared" si="64"/>
        <v>1</v>
      </c>
      <c r="H367" s="3">
        <v>4214631565.0999999</v>
      </c>
    </row>
    <row r="368" spans="1:8" x14ac:dyDescent="0.3">
      <c r="A368" s="4">
        <v>44834</v>
      </c>
      <c r="B368" s="2">
        <v>36</v>
      </c>
      <c r="C368" s="2" t="str">
        <f>"2013"</f>
        <v>2013</v>
      </c>
      <c r="D368" s="2" t="str">
        <f>"Корреспондентские счета других банков"</f>
        <v>Корреспондентские счета других банков</v>
      </c>
      <c r="E368" s="2" t="str">
        <f>"2"</f>
        <v>2</v>
      </c>
      <c r="F368" s="2" t="str">
        <f>"4"</f>
        <v>4</v>
      </c>
      <c r="G368" s="2" t="str">
        <f>"2"</f>
        <v>2</v>
      </c>
      <c r="H368" s="3">
        <v>8580441275.79</v>
      </c>
    </row>
    <row r="369" spans="1:8" x14ac:dyDescent="0.3">
      <c r="A369" s="4">
        <v>44834</v>
      </c>
      <c r="B369" s="2">
        <v>36</v>
      </c>
      <c r="C369" s="2" t="str">
        <f>"2013"</f>
        <v>2013</v>
      </c>
      <c r="D369" s="2" t="str">
        <f>"Корреспондентские счета других банков"</f>
        <v>Корреспондентские счета других банков</v>
      </c>
      <c r="E369" s="2" t="str">
        <f>"2"</f>
        <v>2</v>
      </c>
      <c r="F369" s="2" t="str">
        <f>"4"</f>
        <v>4</v>
      </c>
      <c r="G369" s="2" t="str">
        <f>"3"</f>
        <v>3</v>
      </c>
      <c r="H369" s="3">
        <v>140233.48000000001</v>
      </c>
    </row>
    <row r="370" spans="1:8" x14ac:dyDescent="0.3">
      <c r="A370" s="4">
        <v>44834</v>
      </c>
      <c r="B370" s="2">
        <v>36</v>
      </c>
      <c r="C370" s="2" t="str">
        <f>"2013"</f>
        <v>2013</v>
      </c>
      <c r="D370" s="2" t="str">
        <f>"Корреспондентские счета других банков"</f>
        <v>Корреспондентские счета других банков</v>
      </c>
      <c r="E370" s="2" t="str">
        <f>"1"</f>
        <v>1</v>
      </c>
      <c r="F370" s="2" t="str">
        <f>"4"</f>
        <v>4</v>
      </c>
      <c r="G370" s="2" t="str">
        <f>"3"</f>
        <v>3</v>
      </c>
      <c r="H370" s="3">
        <v>100319911.38</v>
      </c>
    </row>
    <row r="371" spans="1:8" x14ac:dyDescent="0.3">
      <c r="A371" s="4">
        <v>44834</v>
      </c>
      <c r="B371" s="2">
        <v>36</v>
      </c>
      <c r="C371" s="2" t="str">
        <f>"2014"</f>
        <v>2014</v>
      </c>
      <c r="D371" s="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1" s="2" t="str">
        <f>"2"</f>
        <v>2</v>
      </c>
      <c r="F371" s="2" t="str">
        <f>"5"</f>
        <v>5</v>
      </c>
      <c r="G371" s="2" t="str">
        <f>"2"</f>
        <v>2</v>
      </c>
      <c r="H371" s="3">
        <v>1434897100</v>
      </c>
    </row>
    <row r="372" spans="1:8" x14ac:dyDescent="0.3">
      <c r="A372" s="4">
        <v>44834</v>
      </c>
      <c r="B372" s="2">
        <v>36</v>
      </c>
      <c r="C372" s="2" t="str">
        <f>"2056"</f>
        <v>2056</v>
      </c>
      <c r="D372" s="2" t="str">
        <f>"Долгосрочные займы, полученные от других банков"</f>
        <v>Долгосрочные займы, полученные от других банков</v>
      </c>
      <c r="E372" s="2" t="str">
        <f>"1"</f>
        <v>1</v>
      </c>
      <c r="F372" s="2" t="str">
        <f>"4"</f>
        <v>4</v>
      </c>
      <c r="G372" s="2" t="str">
        <f>"1"</f>
        <v>1</v>
      </c>
      <c r="H372" s="3">
        <v>10715048359.23</v>
      </c>
    </row>
    <row r="373" spans="1:8" x14ac:dyDescent="0.3">
      <c r="A373" s="4">
        <v>44834</v>
      </c>
      <c r="B373" s="2">
        <v>36</v>
      </c>
      <c r="C373" s="2" t="str">
        <f>"2064"</f>
        <v>2064</v>
      </c>
      <c r="D373" s="2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E373" s="2" t="str">
        <f>"1"</f>
        <v>1</v>
      </c>
      <c r="F373" s="2" t="str">
        <f>"5"</f>
        <v>5</v>
      </c>
      <c r="G373" s="2" t="str">
        <f>"1"</f>
        <v>1</v>
      </c>
      <c r="H373" s="3">
        <v>3099228000</v>
      </c>
    </row>
    <row r="374" spans="1:8" x14ac:dyDescent="0.3">
      <c r="A374" s="4">
        <v>44834</v>
      </c>
      <c r="B374" s="2">
        <v>36</v>
      </c>
      <c r="C374" s="2" t="str">
        <f>"2066"</f>
        <v>2066</v>
      </c>
      <c r="D374" s="2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E374" s="2" t="str">
        <f>"1"</f>
        <v>1</v>
      </c>
      <c r="F374" s="2" t="str">
        <f>"5"</f>
        <v>5</v>
      </c>
      <c r="G374" s="2" t="str">
        <f>"1"</f>
        <v>1</v>
      </c>
      <c r="H374" s="3">
        <v>20516532286.279999</v>
      </c>
    </row>
    <row r="375" spans="1:8" x14ac:dyDescent="0.3">
      <c r="A375" s="4">
        <v>44834</v>
      </c>
      <c r="B375" s="2">
        <v>36</v>
      </c>
      <c r="C375" s="2" t="str">
        <f>"2070"</f>
        <v>2070</v>
      </c>
      <c r="D375" s="2" t="str">
        <f>"Дисконт по полученным займам"</f>
        <v>Дисконт по полученным займам</v>
      </c>
      <c r="E375" s="2" t="str">
        <f>"1"</f>
        <v>1</v>
      </c>
      <c r="F375" s="2" t="str">
        <f>"4"</f>
        <v>4</v>
      </c>
      <c r="G375" s="2" t="str">
        <f>"1"</f>
        <v>1</v>
      </c>
      <c r="H375" s="3">
        <v>-6121292040.0799999</v>
      </c>
    </row>
    <row r="376" spans="1:8" x14ac:dyDescent="0.3">
      <c r="A376" s="4">
        <v>44834</v>
      </c>
      <c r="B376" s="2">
        <v>36</v>
      </c>
      <c r="C376" s="2" t="str">
        <f>"2070"</f>
        <v>2070</v>
      </c>
      <c r="D376" s="2" t="str">
        <f>"Дисконт по полученным займам"</f>
        <v>Дисконт по полученным займам</v>
      </c>
      <c r="E376" s="2" t="str">
        <f>"1"</f>
        <v>1</v>
      </c>
      <c r="F376" s="2" t="str">
        <f>"5"</f>
        <v>5</v>
      </c>
      <c r="G376" s="2" t="str">
        <f>"1"</f>
        <v>1</v>
      </c>
      <c r="H376" s="3">
        <v>-14617254229.299999</v>
      </c>
    </row>
    <row r="377" spans="1:8" x14ac:dyDescent="0.3">
      <c r="A377" s="4">
        <v>44834</v>
      </c>
      <c r="B377" s="2">
        <v>36</v>
      </c>
      <c r="C377" s="2" t="str">
        <f>"2123"</f>
        <v>2123</v>
      </c>
      <c r="D377" s="2" t="str">
        <f>"Краткосрочные вклады других банков (до одного месяца)"</f>
        <v>Краткосрочные вклады других банков (до одного месяца)</v>
      </c>
      <c r="E377" s="2" t="str">
        <f>"2"</f>
        <v>2</v>
      </c>
      <c r="F377" s="2" t="str">
        <f>"4"</f>
        <v>4</v>
      </c>
      <c r="G377" s="2" t="str">
        <f>"2"</f>
        <v>2</v>
      </c>
      <c r="H377" s="3">
        <v>7627360000</v>
      </c>
    </row>
    <row r="378" spans="1:8" x14ac:dyDescent="0.3">
      <c r="A378" s="4">
        <v>44834</v>
      </c>
      <c r="B378" s="2">
        <v>36</v>
      </c>
      <c r="C378" s="2" t="str">
        <f>"2125"</f>
        <v>2125</v>
      </c>
      <c r="D378" s="2" t="str">
        <f>"Вклады, привлеченные от других банков на одну ночь"</f>
        <v>Вклады, привлеченные от других банков на одну ночь</v>
      </c>
      <c r="E378" s="2" t="str">
        <f>"1"</f>
        <v>1</v>
      </c>
      <c r="F378" s="2" t="str">
        <f>"6"</f>
        <v>6</v>
      </c>
      <c r="G378" s="2" t="str">
        <f>"1"</f>
        <v>1</v>
      </c>
      <c r="H378" s="3">
        <v>1500000000</v>
      </c>
    </row>
    <row r="379" spans="1:8" x14ac:dyDescent="0.3">
      <c r="A379" s="4">
        <v>44834</v>
      </c>
      <c r="B379" s="2">
        <v>36</v>
      </c>
      <c r="C379" s="2" t="str">
        <f>"2130"</f>
        <v>2130</v>
      </c>
      <c r="D379" s="2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79" s="2" t="str">
        <f>"1"</f>
        <v>1</v>
      </c>
      <c r="F379" s="2" t="str">
        <f>"4"</f>
        <v>4</v>
      </c>
      <c r="G379" s="2" t="str">
        <f>"2"</f>
        <v>2</v>
      </c>
      <c r="H379" s="3">
        <v>10487620000</v>
      </c>
    </row>
    <row r="380" spans="1:8" x14ac:dyDescent="0.3">
      <c r="A380" s="4">
        <v>44834</v>
      </c>
      <c r="B380" s="2">
        <v>36</v>
      </c>
      <c r="C380" s="2" t="str">
        <f>"2130"</f>
        <v>2130</v>
      </c>
      <c r="D380" s="2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80" s="2" t="str">
        <f>"2"</f>
        <v>2</v>
      </c>
      <c r="F380" s="2" t="str">
        <f>"5"</f>
        <v>5</v>
      </c>
      <c r="G380" s="2" t="str">
        <f>"2"</f>
        <v>2</v>
      </c>
      <c r="H380" s="3">
        <v>505312600</v>
      </c>
    </row>
    <row r="381" spans="1:8" x14ac:dyDescent="0.3">
      <c r="A381" s="4">
        <v>44834</v>
      </c>
      <c r="B381" s="2">
        <v>36</v>
      </c>
      <c r="C381" s="2" t="str">
        <f>"2202"</f>
        <v>2202</v>
      </c>
      <c r="D381" s="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1" s="2" t="str">
        <f>"1"</f>
        <v>1</v>
      </c>
      <c r="F381" s="2" t="str">
        <f>"5"</f>
        <v>5</v>
      </c>
      <c r="G381" s="2" t="str">
        <f>"1"</f>
        <v>1</v>
      </c>
      <c r="H381" s="3">
        <v>1107032200.5699999</v>
      </c>
    </row>
    <row r="382" spans="1:8" x14ac:dyDescent="0.3">
      <c r="A382" s="4">
        <v>44834</v>
      </c>
      <c r="B382" s="2">
        <v>36</v>
      </c>
      <c r="C382" s="2" t="str">
        <f>"2202"</f>
        <v>2202</v>
      </c>
      <c r="D382" s="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2" s="2" t="str">
        <f>"1"</f>
        <v>1</v>
      </c>
      <c r="F382" s="2" t="str">
        <f>"5"</f>
        <v>5</v>
      </c>
      <c r="G382" s="2" t="str">
        <f>"2"</f>
        <v>2</v>
      </c>
      <c r="H382" s="3">
        <v>278078056.88</v>
      </c>
    </row>
    <row r="383" spans="1:8" x14ac:dyDescent="0.3">
      <c r="A383" s="4">
        <v>44834</v>
      </c>
      <c r="B383" s="2">
        <v>36</v>
      </c>
      <c r="C383" s="2" t="str">
        <f t="shared" ref="C383:C406" si="65">"2203"</f>
        <v>2203</v>
      </c>
      <c r="D383" s="2" t="str">
        <f t="shared" ref="D383:D406" si="66">"Текущие счета юридических лиц"</f>
        <v>Текущие счета юридических лиц</v>
      </c>
      <c r="E383" s="2" t="str">
        <f>"1"</f>
        <v>1</v>
      </c>
      <c r="F383" s="2" t="str">
        <f>"7"</f>
        <v>7</v>
      </c>
      <c r="G383" s="2" t="str">
        <f>"2"</f>
        <v>2</v>
      </c>
      <c r="H383" s="3">
        <v>56618507207.839996</v>
      </c>
    </row>
    <row r="384" spans="1:8" x14ac:dyDescent="0.3">
      <c r="A384" s="4">
        <v>44834</v>
      </c>
      <c r="B384" s="2">
        <v>36</v>
      </c>
      <c r="C384" s="2" t="str">
        <f t="shared" si="65"/>
        <v>2203</v>
      </c>
      <c r="D384" s="2" t="str">
        <f t="shared" si="66"/>
        <v>Текущие счета юридических лиц</v>
      </c>
      <c r="E384" s="2" t="str">
        <f>"2"</f>
        <v>2</v>
      </c>
      <c r="F384" s="2" t="str">
        <f>"1"</f>
        <v>1</v>
      </c>
      <c r="G384" s="2" t="str">
        <f>"1"</f>
        <v>1</v>
      </c>
      <c r="H384" s="3">
        <v>183421476.63</v>
      </c>
    </row>
    <row r="385" spans="1:8" x14ac:dyDescent="0.3">
      <c r="A385" s="4">
        <v>44834</v>
      </c>
      <c r="B385" s="2">
        <v>36</v>
      </c>
      <c r="C385" s="2" t="str">
        <f t="shared" si="65"/>
        <v>2203</v>
      </c>
      <c r="D385" s="2" t="str">
        <f t="shared" si="66"/>
        <v>Текущие счета юридических лиц</v>
      </c>
      <c r="E385" s="2" t="str">
        <f>"2"</f>
        <v>2</v>
      </c>
      <c r="F385" s="2" t="str">
        <f>"8"</f>
        <v>8</v>
      </c>
      <c r="G385" s="2" t="str">
        <f>"2"</f>
        <v>2</v>
      </c>
      <c r="H385" s="3">
        <v>52408852.920000002</v>
      </c>
    </row>
    <row r="386" spans="1:8" x14ac:dyDescent="0.3">
      <c r="A386" s="4">
        <v>44834</v>
      </c>
      <c r="B386" s="2">
        <v>36</v>
      </c>
      <c r="C386" s="2" t="str">
        <f t="shared" si="65"/>
        <v>2203</v>
      </c>
      <c r="D386" s="2" t="str">
        <f t="shared" si="66"/>
        <v>Текущие счета юридических лиц</v>
      </c>
      <c r="E386" s="2" t="str">
        <f>"2"</f>
        <v>2</v>
      </c>
      <c r="F386" s="2" t="str">
        <f>"3"</f>
        <v>3</v>
      </c>
      <c r="G386" s="2" t="str">
        <f>"2"</f>
        <v>2</v>
      </c>
      <c r="H386" s="3">
        <v>3050419.62</v>
      </c>
    </row>
    <row r="387" spans="1:8" x14ac:dyDescent="0.3">
      <c r="A387" s="4">
        <v>44834</v>
      </c>
      <c r="B387" s="2">
        <v>36</v>
      </c>
      <c r="C387" s="2" t="str">
        <f t="shared" si="65"/>
        <v>2203</v>
      </c>
      <c r="D387" s="2" t="str">
        <f t="shared" si="66"/>
        <v>Текущие счета юридических лиц</v>
      </c>
      <c r="E387" s="2" t="str">
        <f>"1"</f>
        <v>1</v>
      </c>
      <c r="F387" s="2" t="str">
        <f>"6"</f>
        <v>6</v>
      </c>
      <c r="G387" s="2" t="str">
        <f>"3"</f>
        <v>3</v>
      </c>
      <c r="H387" s="3">
        <v>141630720.62</v>
      </c>
    </row>
    <row r="388" spans="1:8" x14ac:dyDescent="0.3">
      <c r="A388" s="4">
        <v>44834</v>
      </c>
      <c r="B388" s="2">
        <v>36</v>
      </c>
      <c r="C388" s="2" t="str">
        <f t="shared" si="65"/>
        <v>2203</v>
      </c>
      <c r="D388" s="2" t="str">
        <f t="shared" si="66"/>
        <v>Текущие счета юридических лиц</v>
      </c>
      <c r="E388" s="2" t="str">
        <f>"2"</f>
        <v>2</v>
      </c>
      <c r="F388" s="2" t="str">
        <f>"7"</f>
        <v>7</v>
      </c>
      <c r="G388" s="2" t="str">
        <f>"1"</f>
        <v>1</v>
      </c>
      <c r="H388" s="3">
        <v>1943450472.79</v>
      </c>
    </row>
    <row r="389" spans="1:8" x14ac:dyDescent="0.3">
      <c r="A389" s="4">
        <v>44834</v>
      </c>
      <c r="B389" s="2">
        <v>36</v>
      </c>
      <c r="C389" s="2" t="str">
        <f t="shared" si="65"/>
        <v>2203</v>
      </c>
      <c r="D389" s="2" t="str">
        <f t="shared" si="66"/>
        <v>Текущие счета юридических лиц</v>
      </c>
      <c r="E389" s="2" t="str">
        <f>"1"</f>
        <v>1</v>
      </c>
      <c r="F389" s="2" t="str">
        <f>"2"</f>
        <v>2</v>
      </c>
      <c r="G389" s="2" t="str">
        <f>"1"</f>
        <v>1</v>
      </c>
      <c r="H389" s="3">
        <v>4290624.5199999996</v>
      </c>
    </row>
    <row r="390" spans="1:8" x14ac:dyDescent="0.3">
      <c r="A390" s="4">
        <v>44834</v>
      </c>
      <c r="B390" s="2">
        <v>36</v>
      </c>
      <c r="C390" s="2" t="str">
        <f t="shared" si="65"/>
        <v>2203</v>
      </c>
      <c r="D390" s="2" t="str">
        <f t="shared" si="66"/>
        <v>Текущие счета юридических лиц</v>
      </c>
      <c r="E390" s="2" t="str">
        <f>"2"</f>
        <v>2</v>
      </c>
      <c r="F390" s="2" t="str">
        <f>"5"</f>
        <v>5</v>
      </c>
      <c r="G390" s="2" t="str">
        <f>"2"</f>
        <v>2</v>
      </c>
      <c r="H390" s="3">
        <v>200382333.66999999</v>
      </c>
    </row>
    <row r="391" spans="1:8" x14ac:dyDescent="0.3">
      <c r="A391" s="4">
        <v>44834</v>
      </c>
      <c r="B391" s="2">
        <v>36</v>
      </c>
      <c r="C391" s="2" t="str">
        <f t="shared" si="65"/>
        <v>2203</v>
      </c>
      <c r="D391" s="2" t="str">
        <f t="shared" si="66"/>
        <v>Текущие счета юридических лиц</v>
      </c>
      <c r="E391" s="2" t="str">
        <f>"1"</f>
        <v>1</v>
      </c>
      <c r="F391" s="2" t="str">
        <f>"8"</f>
        <v>8</v>
      </c>
      <c r="G391" s="2" t="str">
        <f>"2"</f>
        <v>2</v>
      </c>
      <c r="H391" s="3">
        <v>40238749939.919998</v>
      </c>
    </row>
    <row r="392" spans="1:8" x14ac:dyDescent="0.3">
      <c r="A392" s="4">
        <v>44834</v>
      </c>
      <c r="B392" s="2">
        <v>36</v>
      </c>
      <c r="C392" s="2" t="str">
        <f t="shared" si="65"/>
        <v>2203</v>
      </c>
      <c r="D392" s="2" t="str">
        <f t="shared" si="66"/>
        <v>Текущие счета юридических лиц</v>
      </c>
      <c r="E392" s="2" t="str">
        <f>"1"</f>
        <v>1</v>
      </c>
      <c r="F392" s="2" t="str">
        <f>"8"</f>
        <v>8</v>
      </c>
      <c r="G392" s="2" t="str">
        <f>"3"</f>
        <v>3</v>
      </c>
      <c r="H392" s="3">
        <v>35184997.009999998</v>
      </c>
    </row>
    <row r="393" spans="1:8" x14ac:dyDescent="0.3">
      <c r="A393" s="4">
        <v>44834</v>
      </c>
      <c r="B393" s="2">
        <v>36</v>
      </c>
      <c r="C393" s="2" t="str">
        <f t="shared" si="65"/>
        <v>2203</v>
      </c>
      <c r="D393" s="2" t="str">
        <f t="shared" si="66"/>
        <v>Текущие счета юридических лиц</v>
      </c>
      <c r="E393" s="2" t="str">
        <f>"1"</f>
        <v>1</v>
      </c>
      <c r="F393" s="2" t="str">
        <f>"6"</f>
        <v>6</v>
      </c>
      <c r="G393" s="2" t="str">
        <f>"1"</f>
        <v>1</v>
      </c>
      <c r="H393" s="3">
        <v>25304141572.220001</v>
      </c>
    </row>
    <row r="394" spans="1:8" x14ac:dyDescent="0.3">
      <c r="A394" s="4">
        <v>44834</v>
      </c>
      <c r="B394" s="2">
        <v>36</v>
      </c>
      <c r="C394" s="2" t="str">
        <f t="shared" si="65"/>
        <v>2203</v>
      </c>
      <c r="D394" s="2" t="str">
        <f t="shared" si="66"/>
        <v>Текущие счета юридических лиц</v>
      </c>
      <c r="E394" s="2" t="str">
        <f>"1"</f>
        <v>1</v>
      </c>
      <c r="F394" s="2" t="str">
        <f>"6"</f>
        <v>6</v>
      </c>
      <c r="G394" s="2" t="str">
        <f>"2"</f>
        <v>2</v>
      </c>
      <c r="H394" s="3">
        <v>104193670.92</v>
      </c>
    </row>
    <row r="395" spans="1:8" x14ac:dyDescent="0.3">
      <c r="A395" s="4">
        <v>44834</v>
      </c>
      <c r="B395" s="2">
        <v>36</v>
      </c>
      <c r="C395" s="2" t="str">
        <f t="shared" si="65"/>
        <v>2203</v>
      </c>
      <c r="D395" s="2" t="str">
        <f t="shared" si="66"/>
        <v>Текущие счета юридических лиц</v>
      </c>
      <c r="E395" s="2" t="str">
        <f>"2"</f>
        <v>2</v>
      </c>
      <c r="F395" s="2" t="str">
        <f>"1"</f>
        <v>1</v>
      </c>
      <c r="G395" s="2" t="str">
        <f>"2"</f>
        <v>2</v>
      </c>
      <c r="H395" s="3">
        <v>1238536834.74</v>
      </c>
    </row>
    <row r="396" spans="1:8" x14ac:dyDescent="0.3">
      <c r="A396" s="4">
        <v>44834</v>
      </c>
      <c r="B396" s="2">
        <v>36</v>
      </c>
      <c r="C396" s="2" t="str">
        <f t="shared" si="65"/>
        <v>2203</v>
      </c>
      <c r="D396" s="2" t="str">
        <f t="shared" si="66"/>
        <v>Текущие счета юридических лиц</v>
      </c>
      <c r="E396" s="2" t="str">
        <f>"2"</f>
        <v>2</v>
      </c>
      <c r="F396" s="2" t="str">
        <f>"5"</f>
        <v>5</v>
      </c>
      <c r="G396" s="2" t="str">
        <f>"1"</f>
        <v>1</v>
      </c>
      <c r="H396" s="3">
        <v>6485241.6200000001</v>
      </c>
    </row>
    <row r="397" spans="1:8" x14ac:dyDescent="0.3">
      <c r="A397" s="4">
        <v>44834</v>
      </c>
      <c r="B397" s="2">
        <v>36</v>
      </c>
      <c r="C397" s="2" t="str">
        <f t="shared" si="65"/>
        <v>2203</v>
      </c>
      <c r="D397" s="2" t="str">
        <f t="shared" si="66"/>
        <v>Текущие счета юридических лиц</v>
      </c>
      <c r="E397" s="2" t="str">
        <f>"1"</f>
        <v>1</v>
      </c>
      <c r="F397" s="2" t="str">
        <f>"5"</f>
        <v>5</v>
      </c>
      <c r="G397" s="2" t="str">
        <f>"2"</f>
        <v>2</v>
      </c>
      <c r="H397" s="3">
        <v>9871694367.4500008</v>
      </c>
    </row>
    <row r="398" spans="1:8" x14ac:dyDescent="0.3">
      <c r="A398" s="4">
        <v>44834</v>
      </c>
      <c r="B398" s="2">
        <v>36</v>
      </c>
      <c r="C398" s="2" t="str">
        <f t="shared" si="65"/>
        <v>2203</v>
      </c>
      <c r="D398" s="2" t="str">
        <f t="shared" si="66"/>
        <v>Текущие счета юридических лиц</v>
      </c>
      <c r="E398" s="2" t="str">
        <f>"1"</f>
        <v>1</v>
      </c>
      <c r="F398" s="2" t="str">
        <f>"5"</f>
        <v>5</v>
      </c>
      <c r="G398" s="2" t="str">
        <f>"1"</f>
        <v>1</v>
      </c>
      <c r="H398" s="3">
        <v>2004786816.54</v>
      </c>
    </row>
    <row r="399" spans="1:8" x14ac:dyDescent="0.3">
      <c r="A399" s="4">
        <v>44834</v>
      </c>
      <c r="B399" s="2">
        <v>36</v>
      </c>
      <c r="C399" s="2" t="str">
        <f t="shared" si="65"/>
        <v>2203</v>
      </c>
      <c r="D399" s="2" t="str">
        <f t="shared" si="66"/>
        <v>Текущие счета юридических лиц</v>
      </c>
      <c r="E399" s="2" t="str">
        <f>"2"</f>
        <v>2</v>
      </c>
      <c r="F399" s="2" t="str">
        <f>"3"</f>
        <v>3</v>
      </c>
      <c r="G399" s="2" t="str">
        <f>"1"</f>
        <v>1</v>
      </c>
      <c r="H399" s="3">
        <v>45926.58</v>
      </c>
    </row>
    <row r="400" spans="1:8" x14ac:dyDescent="0.3">
      <c r="A400" s="4">
        <v>44834</v>
      </c>
      <c r="B400" s="2">
        <v>36</v>
      </c>
      <c r="C400" s="2" t="str">
        <f t="shared" si="65"/>
        <v>2203</v>
      </c>
      <c r="D400" s="2" t="str">
        <f t="shared" si="66"/>
        <v>Текущие счета юридических лиц</v>
      </c>
      <c r="E400" s="2" t="str">
        <f>"1"</f>
        <v>1</v>
      </c>
      <c r="F400" s="2" t="str">
        <f>"8"</f>
        <v>8</v>
      </c>
      <c r="G400" s="2" t="str">
        <f>"1"</f>
        <v>1</v>
      </c>
      <c r="H400" s="3">
        <v>4401527153.6599998</v>
      </c>
    </row>
    <row r="401" spans="1:8" x14ac:dyDescent="0.3">
      <c r="A401" s="4">
        <v>44834</v>
      </c>
      <c r="B401" s="2">
        <v>36</v>
      </c>
      <c r="C401" s="2" t="str">
        <f t="shared" si="65"/>
        <v>2203</v>
      </c>
      <c r="D401" s="2" t="str">
        <f t="shared" si="66"/>
        <v>Текущие счета юридических лиц</v>
      </c>
      <c r="E401" s="2" t="str">
        <f>"2"</f>
        <v>2</v>
      </c>
      <c r="F401" s="2" t="str">
        <f>"8"</f>
        <v>8</v>
      </c>
      <c r="G401" s="2" t="str">
        <f>"1"</f>
        <v>1</v>
      </c>
      <c r="H401" s="3">
        <v>1902139.34</v>
      </c>
    </row>
    <row r="402" spans="1:8" x14ac:dyDescent="0.3">
      <c r="A402" s="4">
        <v>44834</v>
      </c>
      <c r="B402" s="2">
        <v>36</v>
      </c>
      <c r="C402" s="2" t="str">
        <f t="shared" si="65"/>
        <v>2203</v>
      </c>
      <c r="D402" s="2" t="str">
        <f t="shared" si="66"/>
        <v>Текущие счета юридических лиц</v>
      </c>
      <c r="E402" s="2" t="str">
        <f>"1"</f>
        <v>1</v>
      </c>
      <c r="F402" s="2" t="str">
        <f>"5"</f>
        <v>5</v>
      </c>
      <c r="G402" s="2" t="str">
        <f>"3"</f>
        <v>3</v>
      </c>
      <c r="H402" s="3">
        <v>15896128.939999999</v>
      </c>
    </row>
    <row r="403" spans="1:8" x14ac:dyDescent="0.3">
      <c r="A403" s="4">
        <v>44834</v>
      </c>
      <c r="B403" s="2">
        <v>36</v>
      </c>
      <c r="C403" s="2" t="str">
        <f t="shared" si="65"/>
        <v>2203</v>
      </c>
      <c r="D403" s="2" t="str">
        <f t="shared" si="66"/>
        <v>Текущие счета юридических лиц</v>
      </c>
      <c r="E403" s="2" t="str">
        <f>"1"</f>
        <v>1</v>
      </c>
      <c r="F403" s="2" t="str">
        <f>"7"</f>
        <v>7</v>
      </c>
      <c r="G403" s="2" t="str">
        <f>"1"</f>
        <v>1</v>
      </c>
      <c r="H403" s="3">
        <v>121126259400.89</v>
      </c>
    </row>
    <row r="404" spans="1:8" x14ac:dyDescent="0.3">
      <c r="A404" s="4">
        <v>44834</v>
      </c>
      <c r="B404" s="2">
        <v>36</v>
      </c>
      <c r="C404" s="2" t="str">
        <f t="shared" si="65"/>
        <v>2203</v>
      </c>
      <c r="D404" s="2" t="str">
        <f t="shared" si="66"/>
        <v>Текущие счета юридических лиц</v>
      </c>
      <c r="E404" s="2" t="str">
        <f>"2"</f>
        <v>2</v>
      </c>
      <c r="F404" s="2" t="str">
        <f>"7"</f>
        <v>7</v>
      </c>
      <c r="G404" s="2" t="str">
        <f>"3"</f>
        <v>3</v>
      </c>
      <c r="H404" s="3">
        <v>90046026.060000002</v>
      </c>
    </row>
    <row r="405" spans="1:8" x14ac:dyDescent="0.3">
      <c r="A405" s="4">
        <v>44834</v>
      </c>
      <c r="B405" s="2">
        <v>36</v>
      </c>
      <c r="C405" s="2" t="str">
        <f t="shared" si="65"/>
        <v>2203</v>
      </c>
      <c r="D405" s="2" t="str">
        <f t="shared" si="66"/>
        <v>Текущие счета юридических лиц</v>
      </c>
      <c r="E405" s="2" t="str">
        <f>"2"</f>
        <v>2</v>
      </c>
      <c r="F405" s="2" t="str">
        <f>"7"</f>
        <v>7</v>
      </c>
      <c r="G405" s="2" t="str">
        <f>"2"</f>
        <v>2</v>
      </c>
      <c r="H405" s="3">
        <v>6079748007.7799997</v>
      </c>
    </row>
    <row r="406" spans="1:8" x14ac:dyDescent="0.3">
      <c r="A406" s="4">
        <v>44834</v>
      </c>
      <c r="B406" s="2">
        <v>36</v>
      </c>
      <c r="C406" s="2" t="str">
        <f t="shared" si="65"/>
        <v>2203</v>
      </c>
      <c r="D406" s="2" t="str">
        <f t="shared" si="66"/>
        <v>Текущие счета юридических лиц</v>
      </c>
      <c r="E406" s="2" t="str">
        <f>"1"</f>
        <v>1</v>
      </c>
      <c r="F406" s="2" t="str">
        <f>"7"</f>
        <v>7</v>
      </c>
      <c r="G406" s="2" t="str">
        <f>"3"</f>
        <v>3</v>
      </c>
      <c r="H406" s="3">
        <v>9130873350.7000008</v>
      </c>
    </row>
    <row r="407" spans="1:8" x14ac:dyDescent="0.3">
      <c r="A407" s="4">
        <v>44834</v>
      </c>
      <c r="B407" s="2">
        <v>36</v>
      </c>
      <c r="C407" s="2" t="str">
        <f t="shared" ref="C407:C412" si="67">"2204"</f>
        <v>2204</v>
      </c>
      <c r="D407" s="2" t="str">
        <f t="shared" ref="D407:D412" si="68">"Текущие счета физических лиц"</f>
        <v>Текущие счета физических лиц</v>
      </c>
      <c r="E407" s="2" t="str">
        <f>"2"</f>
        <v>2</v>
      </c>
      <c r="F407" s="2" t="str">
        <f t="shared" ref="F407:F432" si="69">"9"</f>
        <v>9</v>
      </c>
      <c r="G407" s="2" t="str">
        <f>"1"</f>
        <v>1</v>
      </c>
      <c r="H407" s="3">
        <v>2286038821.0100002</v>
      </c>
    </row>
    <row r="408" spans="1:8" x14ac:dyDescent="0.3">
      <c r="A408" s="4">
        <v>44834</v>
      </c>
      <c r="B408" s="2">
        <v>36</v>
      </c>
      <c r="C408" s="2" t="str">
        <f t="shared" si="67"/>
        <v>2204</v>
      </c>
      <c r="D408" s="2" t="str">
        <f t="shared" si="68"/>
        <v>Текущие счета физических лиц</v>
      </c>
      <c r="E408" s="2" t="str">
        <f>"1"</f>
        <v>1</v>
      </c>
      <c r="F408" s="2" t="str">
        <f t="shared" si="69"/>
        <v>9</v>
      </c>
      <c r="G408" s="2" t="str">
        <f>"1"</f>
        <v>1</v>
      </c>
      <c r="H408" s="3">
        <v>66231253939.050003</v>
      </c>
    </row>
    <row r="409" spans="1:8" x14ac:dyDescent="0.3">
      <c r="A409" s="4">
        <v>44834</v>
      </c>
      <c r="B409" s="2">
        <v>36</v>
      </c>
      <c r="C409" s="2" t="str">
        <f t="shared" si="67"/>
        <v>2204</v>
      </c>
      <c r="D409" s="2" t="str">
        <f t="shared" si="68"/>
        <v>Текущие счета физических лиц</v>
      </c>
      <c r="E409" s="2" t="str">
        <f>"2"</f>
        <v>2</v>
      </c>
      <c r="F409" s="2" t="str">
        <f t="shared" si="69"/>
        <v>9</v>
      </c>
      <c r="G409" s="2" t="str">
        <f>"2"</f>
        <v>2</v>
      </c>
      <c r="H409" s="3">
        <v>13294693896.370001</v>
      </c>
    </row>
    <row r="410" spans="1:8" x14ac:dyDescent="0.3">
      <c r="A410" s="4">
        <v>44834</v>
      </c>
      <c r="B410" s="2">
        <v>36</v>
      </c>
      <c r="C410" s="2" t="str">
        <f t="shared" si="67"/>
        <v>2204</v>
      </c>
      <c r="D410" s="2" t="str">
        <f t="shared" si="68"/>
        <v>Текущие счета физических лиц</v>
      </c>
      <c r="E410" s="2" t="str">
        <f>"1"</f>
        <v>1</v>
      </c>
      <c r="F410" s="2" t="str">
        <f t="shared" si="69"/>
        <v>9</v>
      </c>
      <c r="G410" s="2" t="str">
        <f>"3"</f>
        <v>3</v>
      </c>
      <c r="H410" s="3">
        <v>1193310145.3099999</v>
      </c>
    </row>
    <row r="411" spans="1:8" x14ac:dyDescent="0.3">
      <c r="A411" s="4">
        <v>44834</v>
      </c>
      <c r="B411" s="2">
        <v>36</v>
      </c>
      <c r="C411" s="2" t="str">
        <f t="shared" si="67"/>
        <v>2204</v>
      </c>
      <c r="D411" s="2" t="str">
        <f t="shared" si="68"/>
        <v>Текущие счета физических лиц</v>
      </c>
      <c r="E411" s="2" t="str">
        <f>"1"</f>
        <v>1</v>
      </c>
      <c r="F411" s="2" t="str">
        <f t="shared" si="69"/>
        <v>9</v>
      </c>
      <c r="G411" s="2" t="str">
        <f>"2"</f>
        <v>2</v>
      </c>
      <c r="H411" s="3">
        <v>32851040451.57</v>
      </c>
    </row>
    <row r="412" spans="1:8" x14ac:dyDescent="0.3">
      <c r="A412" s="4">
        <v>44834</v>
      </c>
      <c r="B412" s="2">
        <v>36</v>
      </c>
      <c r="C412" s="2" t="str">
        <f t="shared" si="67"/>
        <v>2204</v>
      </c>
      <c r="D412" s="2" t="str">
        <f t="shared" si="68"/>
        <v>Текущие счета физических лиц</v>
      </c>
      <c r="E412" s="2" t="str">
        <f>"2"</f>
        <v>2</v>
      </c>
      <c r="F412" s="2" t="str">
        <f t="shared" si="69"/>
        <v>9</v>
      </c>
      <c r="G412" s="2" t="str">
        <f>"3"</f>
        <v>3</v>
      </c>
      <c r="H412" s="3">
        <v>292311335.88</v>
      </c>
    </row>
    <row r="413" spans="1:8" x14ac:dyDescent="0.3">
      <c r="A413" s="4">
        <v>44834</v>
      </c>
      <c r="B413" s="2">
        <v>36</v>
      </c>
      <c r="C413" s="2" t="str">
        <f t="shared" ref="C413:C418" si="70">"2205"</f>
        <v>2205</v>
      </c>
      <c r="D413" s="2" t="str">
        <f t="shared" ref="D413:D418" si="71">"Вклады до востребования физических лиц"</f>
        <v>Вклады до востребования физических лиц</v>
      </c>
      <c r="E413" s="2" t="str">
        <f>"1"</f>
        <v>1</v>
      </c>
      <c r="F413" s="2" t="str">
        <f t="shared" si="69"/>
        <v>9</v>
      </c>
      <c r="G413" s="2" t="str">
        <f>"1"</f>
        <v>1</v>
      </c>
      <c r="H413" s="3">
        <v>1108948701.27</v>
      </c>
    </row>
    <row r="414" spans="1:8" x14ac:dyDescent="0.3">
      <c r="A414" s="4">
        <v>44834</v>
      </c>
      <c r="B414" s="2">
        <v>36</v>
      </c>
      <c r="C414" s="2" t="str">
        <f t="shared" si="70"/>
        <v>2205</v>
      </c>
      <c r="D414" s="2" t="str">
        <f t="shared" si="71"/>
        <v>Вклады до востребования физических лиц</v>
      </c>
      <c r="E414" s="2" t="str">
        <f>"1"</f>
        <v>1</v>
      </c>
      <c r="F414" s="2" t="str">
        <f t="shared" si="69"/>
        <v>9</v>
      </c>
      <c r="G414" s="2" t="str">
        <f>"2"</f>
        <v>2</v>
      </c>
      <c r="H414" s="3">
        <v>2378735308.21</v>
      </c>
    </row>
    <row r="415" spans="1:8" x14ac:dyDescent="0.3">
      <c r="A415" s="4">
        <v>44834</v>
      </c>
      <c r="B415" s="2">
        <v>36</v>
      </c>
      <c r="C415" s="2" t="str">
        <f t="shared" si="70"/>
        <v>2205</v>
      </c>
      <c r="D415" s="2" t="str">
        <f t="shared" si="71"/>
        <v>Вклады до востребования физических лиц</v>
      </c>
      <c r="E415" s="2" t="str">
        <f>"2"</f>
        <v>2</v>
      </c>
      <c r="F415" s="2" t="str">
        <f t="shared" si="69"/>
        <v>9</v>
      </c>
      <c r="G415" s="2" t="str">
        <f>"3"</f>
        <v>3</v>
      </c>
      <c r="H415" s="3">
        <v>435033.66</v>
      </c>
    </row>
    <row r="416" spans="1:8" x14ac:dyDescent="0.3">
      <c r="A416" s="4">
        <v>44834</v>
      </c>
      <c r="B416" s="2">
        <v>36</v>
      </c>
      <c r="C416" s="2" t="str">
        <f t="shared" si="70"/>
        <v>2205</v>
      </c>
      <c r="D416" s="2" t="str">
        <f t="shared" si="71"/>
        <v>Вклады до востребования физических лиц</v>
      </c>
      <c r="E416" s="2" t="str">
        <f>"1"</f>
        <v>1</v>
      </c>
      <c r="F416" s="2" t="str">
        <f t="shared" si="69"/>
        <v>9</v>
      </c>
      <c r="G416" s="2" t="str">
        <f>"3"</f>
        <v>3</v>
      </c>
      <c r="H416" s="3">
        <v>80966962.280000001</v>
      </c>
    </row>
    <row r="417" spans="1:8" x14ac:dyDescent="0.3">
      <c r="A417" s="4">
        <v>44834</v>
      </c>
      <c r="B417" s="2">
        <v>36</v>
      </c>
      <c r="C417" s="2" t="str">
        <f t="shared" si="70"/>
        <v>2205</v>
      </c>
      <c r="D417" s="2" t="str">
        <f t="shared" si="71"/>
        <v>Вклады до востребования физических лиц</v>
      </c>
      <c r="E417" s="2" t="str">
        <f>"2"</f>
        <v>2</v>
      </c>
      <c r="F417" s="2" t="str">
        <f t="shared" si="69"/>
        <v>9</v>
      </c>
      <c r="G417" s="2" t="str">
        <f>"2"</f>
        <v>2</v>
      </c>
      <c r="H417" s="3">
        <v>143751881.24000001</v>
      </c>
    </row>
    <row r="418" spans="1:8" x14ac:dyDescent="0.3">
      <c r="A418" s="4">
        <v>44834</v>
      </c>
      <c r="B418" s="2">
        <v>36</v>
      </c>
      <c r="C418" s="2" t="str">
        <f t="shared" si="70"/>
        <v>2205</v>
      </c>
      <c r="D418" s="2" t="str">
        <f t="shared" si="71"/>
        <v>Вклады до востребования физических лиц</v>
      </c>
      <c r="E418" s="2" t="str">
        <f>"2"</f>
        <v>2</v>
      </c>
      <c r="F418" s="2" t="str">
        <f t="shared" si="69"/>
        <v>9</v>
      </c>
      <c r="G418" s="2" t="str">
        <f>"1"</f>
        <v>1</v>
      </c>
      <c r="H418" s="3">
        <v>16894325.190000001</v>
      </c>
    </row>
    <row r="419" spans="1:8" x14ac:dyDescent="0.3">
      <c r="A419" s="4">
        <v>44834</v>
      </c>
      <c r="B419" s="2">
        <v>36</v>
      </c>
      <c r="C419" s="2" t="str">
        <f t="shared" ref="C419:C424" si="72">"2206"</f>
        <v>2206</v>
      </c>
      <c r="D419" s="2" t="str">
        <f t="shared" ref="D419:D424" si="73">"Краткосрочные вклады физических лиц"</f>
        <v>Краткосрочные вклады физических лиц</v>
      </c>
      <c r="E419" s="2" t="str">
        <f>"1"</f>
        <v>1</v>
      </c>
      <c r="F419" s="2" t="str">
        <f t="shared" si="69"/>
        <v>9</v>
      </c>
      <c r="G419" s="2" t="str">
        <f>"2"</f>
        <v>2</v>
      </c>
      <c r="H419" s="3">
        <v>121393792844.78999</v>
      </c>
    </row>
    <row r="420" spans="1:8" x14ac:dyDescent="0.3">
      <c r="A420" s="4">
        <v>44834</v>
      </c>
      <c r="B420" s="2">
        <v>36</v>
      </c>
      <c r="C420" s="2" t="str">
        <f t="shared" si="72"/>
        <v>2206</v>
      </c>
      <c r="D420" s="2" t="str">
        <f t="shared" si="73"/>
        <v>Краткосрочные вклады физических лиц</v>
      </c>
      <c r="E420" s="2" t="str">
        <f>"1"</f>
        <v>1</v>
      </c>
      <c r="F420" s="2" t="str">
        <f t="shared" si="69"/>
        <v>9</v>
      </c>
      <c r="G420" s="2" t="str">
        <f>"1"</f>
        <v>1</v>
      </c>
      <c r="H420" s="3">
        <v>249837985701.29001</v>
      </c>
    </row>
    <row r="421" spans="1:8" x14ac:dyDescent="0.3">
      <c r="A421" s="4">
        <v>44834</v>
      </c>
      <c r="B421" s="2">
        <v>36</v>
      </c>
      <c r="C421" s="2" t="str">
        <f t="shared" si="72"/>
        <v>2206</v>
      </c>
      <c r="D421" s="2" t="str">
        <f t="shared" si="73"/>
        <v>Краткосрочные вклады физических лиц</v>
      </c>
      <c r="E421" s="2" t="str">
        <f>"2"</f>
        <v>2</v>
      </c>
      <c r="F421" s="2" t="str">
        <f t="shared" si="69"/>
        <v>9</v>
      </c>
      <c r="G421" s="2" t="str">
        <f>"1"</f>
        <v>1</v>
      </c>
      <c r="H421" s="3">
        <v>3326037687.2399998</v>
      </c>
    </row>
    <row r="422" spans="1:8" x14ac:dyDescent="0.3">
      <c r="A422" s="4">
        <v>44834</v>
      </c>
      <c r="B422" s="2">
        <v>36</v>
      </c>
      <c r="C422" s="2" t="str">
        <f t="shared" si="72"/>
        <v>2206</v>
      </c>
      <c r="D422" s="2" t="str">
        <f t="shared" si="73"/>
        <v>Краткосрочные вклады физических лиц</v>
      </c>
      <c r="E422" s="2" t="str">
        <f>"2"</f>
        <v>2</v>
      </c>
      <c r="F422" s="2" t="str">
        <f t="shared" si="69"/>
        <v>9</v>
      </c>
      <c r="G422" s="2" t="str">
        <f>"3"</f>
        <v>3</v>
      </c>
      <c r="H422" s="3">
        <v>20638174.649999999</v>
      </c>
    </row>
    <row r="423" spans="1:8" x14ac:dyDescent="0.3">
      <c r="A423" s="4">
        <v>44834</v>
      </c>
      <c r="B423" s="2">
        <v>36</v>
      </c>
      <c r="C423" s="2" t="str">
        <f t="shared" si="72"/>
        <v>2206</v>
      </c>
      <c r="D423" s="2" t="str">
        <f t="shared" si="73"/>
        <v>Краткосрочные вклады физических лиц</v>
      </c>
      <c r="E423" s="2" t="str">
        <f>"1"</f>
        <v>1</v>
      </c>
      <c r="F423" s="2" t="str">
        <f t="shared" si="69"/>
        <v>9</v>
      </c>
      <c r="G423" s="2" t="str">
        <f>"3"</f>
        <v>3</v>
      </c>
      <c r="H423" s="3">
        <v>1115704801.4100001</v>
      </c>
    </row>
    <row r="424" spans="1:8" x14ac:dyDescent="0.3">
      <c r="A424" s="4">
        <v>44834</v>
      </c>
      <c r="B424" s="2">
        <v>36</v>
      </c>
      <c r="C424" s="2" t="str">
        <f t="shared" si="72"/>
        <v>2206</v>
      </c>
      <c r="D424" s="2" t="str">
        <f t="shared" si="73"/>
        <v>Краткосрочные вклады физических лиц</v>
      </c>
      <c r="E424" s="2" t="str">
        <f>"2"</f>
        <v>2</v>
      </c>
      <c r="F424" s="2" t="str">
        <f t="shared" si="69"/>
        <v>9</v>
      </c>
      <c r="G424" s="2" t="str">
        <f>"2"</f>
        <v>2</v>
      </c>
      <c r="H424" s="3">
        <v>6457431397.4300003</v>
      </c>
    </row>
    <row r="425" spans="1:8" x14ac:dyDescent="0.3">
      <c r="A425" s="4">
        <v>44834</v>
      </c>
      <c r="B425" s="2">
        <v>36</v>
      </c>
      <c r="C425" s="2" t="str">
        <f t="shared" ref="C425:C430" si="74">"2207"</f>
        <v>2207</v>
      </c>
      <c r="D425" s="2" t="str">
        <f t="shared" ref="D425:D430" si="75">"Долгосрочные вклады физических лиц"</f>
        <v>Долгосрочные вклады физических лиц</v>
      </c>
      <c r="E425" s="2" t="str">
        <f>"2"</f>
        <v>2</v>
      </c>
      <c r="F425" s="2" t="str">
        <f t="shared" si="69"/>
        <v>9</v>
      </c>
      <c r="G425" s="2" t="str">
        <f>"2"</f>
        <v>2</v>
      </c>
      <c r="H425" s="3">
        <v>184321796.97</v>
      </c>
    </row>
    <row r="426" spans="1:8" x14ac:dyDescent="0.3">
      <c r="A426" s="4">
        <v>44834</v>
      </c>
      <c r="B426" s="2">
        <v>36</v>
      </c>
      <c r="C426" s="2" t="str">
        <f t="shared" si="74"/>
        <v>2207</v>
      </c>
      <c r="D426" s="2" t="str">
        <f t="shared" si="75"/>
        <v>Долгосрочные вклады физических лиц</v>
      </c>
      <c r="E426" s="2" t="str">
        <f>"1"</f>
        <v>1</v>
      </c>
      <c r="F426" s="2" t="str">
        <f t="shared" si="69"/>
        <v>9</v>
      </c>
      <c r="G426" s="2" t="str">
        <f>"3"</f>
        <v>3</v>
      </c>
      <c r="H426" s="3">
        <v>319318874.55000001</v>
      </c>
    </row>
    <row r="427" spans="1:8" x14ac:dyDescent="0.3">
      <c r="A427" s="4">
        <v>44834</v>
      </c>
      <c r="B427" s="2">
        <v>36</v>
      </c>
      <c r="C427" s="2" t="str">
        <f t="shared" si="74"/>
        <v>2207</v>
      </c>
      <c r="D427" s="2" t="str">
        <f t="shared" si="75"/>
        <v>Долгосрочные вклады физических лиц</v>
      </c>
      <c r="E427" s="2" t="str">
        <f>"1"</f>
        <v>1</v>
      </c>
      <c r="F427" s="2" t="str">
        <f t="shared" si="69"/>
        <v>9</v>
      </c>
      <c r="G427" s="2" t="str">
        <f>"1"</f>
        <v>1</v>
      </c>
      <c r="H427" s="3">
        <v>15996678309.65</v>
      </c>
    </row>
    <row r="428" spans="1:8" x14ac:dyDescent="0.3">
      <c r="A428" s="4">
        <v>44834</v>
      </c>
      <c r="B428" s="2">
        <v>36</v>
      </c>
      <c r="C428" s="2" t="str">
        <f t="shared" si="74"/>
        <v>2207</v>
      </c>
      <c r="D428" s="2" t="str">
        <f t="shared" si="75"/>
        <v>Долгосрочные вклады физических лиц</v>
      </c>
      <c r="E428" s="2" t="str">
        <f>"1"</f>
        <v>1</v>
      </c>
      <c r="F428" s="2" t="str">
        <f t="shared" si="69"/>
        <v>9</v>
      </c>
      <c r="G428" s="2" t="str">
        <f>"2"</f>
        <v>2</v>
      </c>
      <c r="H428" s="3">
        <v>56540087322.879997</v>
      </c>
    </row>
    <row r="429" spans="1:8" x14ac:dyDescent="0.3">
      <c r="A429" s="4">
        <v>44834</v>
      </c>
      <c r="B429" s="2">
        <v>36</v>
      </c>
      <c r="C429" s="2" t="str">
        <f t="shared" si="74"/>
        <v>2207</v>
      </c>
      <c r="D429" s="2" t="str">
        <f t="shared" si="75"/>
        <v>Долгосрочные вклады физических лиц</v>
      </c>
      <c r="E429" s="2" t="str">
        <f>"2"</f>
        <v>2</v>
      </c>
      <c r="F429" s="2" t="str">
        <f t="shared" si="69"/>
        <v>9</v>
      </c>
      <c r="G429" s="2" t="str">
        <f>"1"</f>
        <v>1</v>
      </c>
      <c r="H429" s="3">
        <v>124374848.56</v>
      </c>
    </row>
    <row r="430" spans="1:8" x14ac:dyDescent="0.3">
      <c r="A430" s="4">
        <v>44834</v>
      </c>
      <c r="B430" s="2">
        <v>36</v>
      </c>
      <c r="C430" s="2" t="str">
        <f t="shared" si="74"/>
        <v>2207</v>
      </c>
      <c r="D430" s="2" t="str">
        <f t="shared" si="75"/>
        <v>Долгосрочные вклады физических лиц</v>
      </c>
      <c r="E430" s="2" t="str">
        <f>"2"</f>
        <v>2</v>
      </c>
      <c r="F430" s="2" t="str">
        <f t="shared" si="69"/>
        <v>9</v>
      </c>
      <c r="G430" s="2" t="str">
        <f>"3"</f>
        <v>3</v>
      </c>
      <c r="H430" s="3">
        <v>359535.34</v>
      </c>
    </row>
    <row r="431" spans="1:8" x14ac:dyDescent="0.3">
      <c r="A431" s="4">
        <v>44834</v>
      </c>
      <c r="B431" s="2">
        <v>36</v>
      </c>
      <c r="C431" s="2" t="str">
        <f>"2208"</f>
        <v>2208</v>
      </c>
      <c r="D431" s="2" t="str">
        <f>"Условные вклады физических лиц"</f>
        <v>Условные вклады физических лиц</v>
      </c>
      <c r="E431" s="2" t="str">
        <f>"1"</f>
        <v>1</v>
      </c>
      <c r="F431" s="2" t="str">
        <f t="shared" si="69"/>
        <v>9</v>
      </c>
      <c r="G431" s="2" t="str">
        <f>"1"</f>
        <v>1</v>
      </c>
      <c r="H431" s="3">
        <v>18840035.940000001</v>
      </c>
    </row>
    <row r="432" spans="1:8" x14ac:dyDescent="0.3">
      <c r="A432" s="4">
        <v>44834</v>
      </c>
      <c r="B432" s="2">
        <v>36</v>
      </c>
      <c r="C432" s="2" t="str">
        <f>"2208"</f>
        <v>2208</v>
      </c>
      <c r="D432" s="2" t="str">
        <f>"Условные вклады физических лиц"</f>
        <v>Условные вклады физических лиц</v>
      </c>
      <c r="E432" s="2" t="str">
        <f>"2"</f>
        <v>2</v>
      </c>
      <c r="F432" s="2" t="str">
        <f t="shared" si="69"/>
        <v>9</v>
      </c>
      <c r="G432" s="2" t="str">
        <f>"1"</f>
        <v>1</v>
      </c>
      <c r="H432" s="3">
        <v>461402</v>
      </c>
    </row>
    <row r="433" spans="1:8" x14ac:dyDescent="0.3">
      <c r="A433" s="4">
        <v>44834</v>
      </c>
      <c r="B433" s="2">
        <v>36</v>
      </c>
      <c r="C433" s="2" t="str">
        <f>"2211"</f>
        <v>2211</v>
      </c>
      <c r="D433" s="2" t="str">
        <f>"Вклады до востребования юридических лиц"</f>
        <v>Вклады до востребования юридических лиц</v>
      </c>
      <c r="E433" s="2" t="str">
        <f>"1"</f>
        <v>1</v>
      </c>
      <c r="F433" s="2" t="str">
        <f>"6"</f>
        <v>6</v>
      </c>
      <c r="G433" s="2" t="str">
        <f>"1"</f>
        <v>1</v>
      </c>
      <c r="H433" s="3">
        <v>37168</v>
      </c>
    </row>
    <row r="434" spans="1:8" x14ac:dyDescent="0.3">
      <c r="A434" s="4">
        <v>44834</v>
      </c>
      <c r="B434" s="2">
        <v>36</v>
      </c>
      <c r="C434" s="2" t="str">
        <f>"2211"</f>
        <v>2211</v>
      </c>
      <c r="D434" s="2" t="str">
        <f>"Вклады до востребования юридических лиц"</f>
        <v>Вклады до востребования юридических лиц</v>
      </c>
      <c r="E434" s="2" t="str">
        <f>"1"</f>
        <v>1</v>
      </c>
      <c r="F434" s="2" t="str">
        <f>"7"</f>
        <v>7</v>
      </c>
      <c r="G434" s="2" t="str">
        <f>"1"</f>
        <v>1</v>
      </c>
      <c r="H434" s="3">
        <v>570571.81999999995</v>
      </c>
    </row>
    <row r="435" spans="1:8" x14ac:dyDescent="0.3">
      <c r="A435" s="4">
        <v>44834</v>
      </c>
      <c r="B435" s="2">
        <v>36</v>
      </c>
      <c r="C435" s="2" t="str">
        <f>"2212"</f>
        <v>2212</v>
      </c>
      <c r="D435" s="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35" s="2" t="str">
        <f>"1"</f>
        <v>1</v>
      </c>
      <c r="F435" s="2" t="str">
        <f t="shared" ref="F435:F441" si="76">"9"</f>
        <v>9</v>
      </c>
      <c r="G435" s="2" t="str">
        <f>""</f>
        <v/>
      </c>
      <c r="H435" s="3">
        <v>290260458.94</v>
      </c>
    </row>
    <row r="436" spans="1:8" x14ac:dyDescent="0.3">
      <c r="A436" s="4">
        <v>44834</v>
      </c>
      <c r="B436" s="2">
        <v>36</v>
      </c>
      <c r="C436" s="2" t="str">
        <f>"2213"</f>
        <v>2213</v>
      </c>
      <c r="D436" s="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36" s="2" t="str">
        <f>"1"</f>
        <v>1</v>
      </c>
      <c r="F436" s="2" t="str">
        <f t="shared" si="76"/>
        <v>9</v>
      </c>
      <c r="G436" s="2" t="str">
        <f>"2"</f>
        <v>2</v>
      </c>
      <c r="H436" s="3">
        <v>6961364998.0799999</v>
      </c>
    </row>
    <row r="437" spans="1:8" x14ac:dyDescent="0.3">
      <c r="A437" s="4">
        <v>44834</v>
      </c>
      <c r="B437" s="2">
        <v>36</v>
      </c>
      <c r="C437" s="2" t="str">
        <f>"2213"</f>
        <v>2213</v>
      </c>
      <c r="D437" s="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37" s="2" t="str">
        <f>"1"</f>
        <v>1</v>
      </c>
      <c r="F437" s="2" t="str">
        <f t="shared" si="76"/>
        <v>9</v>
      </c>
      <c r="G437" s="2" t="str">
        <f>"1"</f>
        <v>1</v>
      </c>
      <c r="H437" s="3">
        <v>5143439017.1000004</v>
      </c>
    </row>
    <row r="438" spans="1:8" x14ac:dyDescent="0.3">
      <c r="A438" s="4">
        <v>44834</v>
      </c>
      <c r="B438" s="2">
        <v>36</v>
      </c>
      <c r="C438" s="2" t="str">
        <f>"2213"</f>
        <v>2213</v>
      </c>
      <c r="D438" s="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38" s="2" t="str">
        <f>"2"</f>
        <v>2</v>
      </c>
      <c r="F438" s="2" t="str">
        <f t="shared" si="76"/>
        <v>9</v>
      </c>
      <c r="G438" s="2" t="str">
        <f>"2"</f>
        <v>2</v>
      </c>
      <c r="H438" s="3">
        <v>175303447.63</v>
      </c>
    </row>
    <row r="439" spans="1:8" x14ac:dyDescent="0.3">
      <c r="A439" s="4">
        <v>44834</v>
      </c>
      <c r="B439" s="2">
        <v>36</v>
      </c>
      <c r="C439" s="2" t="str">
        <f>"2214"</f>
        <v>2214</v>
      </c>
      <c r="D439" s="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39" s="2" t="str">
        <f>"2"</f>
        <v>2</v>
      </c>
      <c r="F439" s="2" t="str">
        <f t="shared" si="76"/>
        <v>9</v>
      </c>
      <c r="G439" s="2" t="str">
        <f>"1"</f>
        <v>1</v>
      </c>
      <c r="H439" s="3">
        <v>85460750.109999999</v>
      </c>
    </row>
    <row r="440" spans="1:8" x14ac:dyDescent="0.3">
      <c r="A440" s="4">
        <v>44834</v>
      </c>
      <c r="B440" s="2">
        <v>36</v>
      </c>
      <c r="C440" s="2" t="str">
        <f>"2214"</f>
        <v>2214</v>
      </c>
      <c r="D440" s="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0" s="2" t="str">
        <f t="shared" ref="E440:E449" si="77">"1"</f>
        <v>1</v>
      </c>
      <c r="F440" s="2" t="str">
        <f t="shared" si="76"/>
        <v>9</v>
      </c>
      <c r="G440" s="2" t="str">
        <f>"2"</f>
        <v>2</v>
      </c>
      <c r="H440" s="3">
        <v>11679533.25</v>
      </c>
    </row>
    <row r="441" spans="1:8" x14ac:dyDescent="0.3">
      <c r="A441" s="4">
        <v>44834</v>
      </c>
      <c r="B441" s="2">
        <v>36</v>
      </c>
      <c r="C441" s="2" t="str">
        <f>"2214"</f>
        <v>2214</v>
      </c>
      <c r="D441" s="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1" s="2" t="str">
        <f t="shared" si="77"/>
        <v>1</v>
      </c>
      <c r="F441" s="2" t="str">
        <f t="shared" si="76"/>
        <v>9</v>
      </c>
      <c r="G441" s="2" t="str">
        <f>"1"</f>
        <v>1</v>
      </c>
      <c r="H441" s="3">
        <v>19418058436.880001</v>
      </c>
    </row>
    <row r="442" spans="1:8" x14ac:dyDescent="0.3">
      <c r="A442" s="4">
        <v>44834</v>
      </c>
      <c r="B442" s="2">
        <v>36</v>
      </c>
      <c r="C442" s="2" t="str">
        <f t="shared" ref="C442:C450" si="78">"2215"</f>
        <v>2215</v>
      </c>
      <c r="D442" s="2" t="str">
        <f t="shared" ref="D442:D450" si="79">"Краткосрочные вклады юридических лиц"</f>
        <v>Краткосрочные вклады юридических лиц</v>
      </c>
      <c r="E442" s="2" t="str">
        <f t="shared" si="77"/>
        <v>1</v>
      </c>
      <c r="F442" s="2" t="str">
        <f>"5"</f>
        <v>5</v>
      </c>
      <c r="G442" s="2" t="str">
        <f>"1"</f>
        <v>1</v>
      </c>
      <c r="H442" s="3">
        <v>2053406032.7</v>
      </c>
    </row>
    <row r="443" spans="1:8" x14ac:dyDescent="0.3">
      <c r="A443" s="4">
        <v>44834</v>
      </c>
      <c r="B443" s="2">
        <v>36</v>
      </c>
      <c r="C443" s="2" t="str">
        <f t="shared" si="78"/>
        <v>2215</v>
      </c>
      <c r="D443" s="2" t="str">
        <f t="shared" si="79"/>
        <v>Краткосрочные вклады юридических лиц</v>
      </c>
      <c r="E443" s="2" t="str">
        <f t="shared" si="77"/>
        <v>1</v>
      </c>
      <c r="F443" s="2" t="str">
        <f>"7"</f>
        <v>7</v>
      </c>
      <c r="G443" s="2" t="str">
        <f>"3"</f>
        <v>3</v>
      </c>
      <c r="H443" s="3">
        <v>93781000.439999998</v>
      </c>
    </row>
    <row r="444" spans="1:8" x14ac:dyDescent="0.3">
      <c r="A444" s="4">
        <v>44834</v>
      </c>
      <c r="B444" s="2">
        <v>36</v>
      </c>
      <c r="C444" s="2" t="str">
        <f t="shared" si="78"/>
        <v>2215</v>
      </c>
      <c r="D444" s="2" t="str">
        <f t="shared" si="79"/>
        <v>Краткосрочные вклады юридических лиц</v>
      </c>
      <c r="E444" s="2" t="str">
        <f t="shared" si="77"/>
        <v>1</v>
      </c>
      <c r="F444" s="2" t="str">
        <f>"5"</f>
        <v>5</v>
      </c>
      <c r="G444" s="2" t="str">
        <f>"2"</f>
        <v>2</v>
      </c>
      <c r="H444" s="3">
        <v>169573750.96000001</v>
      </c>
    </row>
    <row r="445" spans="1:8" x14ac:dyDescent="0.3">
      <c r="A445" s="4">
        <v>44834</v>
      </c>
      <c r="B445" s="2">
        <v>36</v>
      </c>
      <c r="C445" s="2" t="str">
        <f t="shared" si="78"/>
        <v>2215</v>
      </c>
      <c r="D445" s="2" t="str">
        <f t="shared" si="79"/>
        <v>Краткосрочные вклады юридических лиц</v>
      </c>
      <c r="E445" s="2" t="str">
        <f t="shared" si="77"/>
        <v>1</v>
      </c>
      <c r="F445" s="2" t="str">
        <f>"8"</f>
        <v>8</v>
      </c>
      <c r="G445" s="2" t="str">
        <f>"2"</f>
        <v>2</v>
      </c>
      <c r="H445" s="3">
        <v>39072769696.75</v>
      </c>
    </row>
    <row r="446" spans="1:8" x14ac:dyDescent="0.3">
      <c r="A446" s="4">
        <v>44834</v>
      </c>
      <c r="B446" s="2">
        <v>36</v>
      </c>
      <c r="C446" s="2" t="str">
        <f t="shared" si="78"/>
        <v>2215</v>
      </c>
      <c r="D446" s="2" t="str">
        <f t="shared" si="79"/>
        <v>Краткосрочные вклады юридических лиц</v>
      </c>
      <c r="E446" s="2" t="str">
        <f t="shared" si="77"/>
        <v>1</v>
      </c>
      <c r="F446" s="2" t="str">
        <f>"7"</f>
        <v>7</v>
      </c>
      <c r="G446" s="2" t="str">
        <f>"1"</f>
        <v>1</v>
      </c>
      <c r="H446" s="3">
        <v>119576055910.31</v>
      </c>
    </row>
    <row r="447" spans="1:8" x14ac:dyDescent="0.3">
      <c r="A447" s="4">
        <v>44834</v>
      </c>
      <c r="B447" s="2">
        <v>36</v>
      </c>
      <c r="C447" s="2" t="str">
        <f t="shared" si="78"/>
        <v>2215</v>
      </c>
      <c r="D447" s="2" t="str">
        <f t="shared" si="79"/>
        <v>Краткосрочные вклады юридических лиц</v>
      </c>
      <c r="E447" s="2" t="str">
        <f t="shared" si="77"/>
        <v>1</v>
      </c>
      <c r="F447" s="2" t="str">
        <f>"6"</f>
        <v>6</v>
      </c>
      <c r="G447" s="2" t="str">
        <f>"1"</f>
        <v>1</v>
      </c>
      <c r="H447" s="3">
        <v>20956810566.689999</v>
      </c>
    </row>
    <row r="448" spans="1:8" x14ac:dyDescent="0.3">
      <c r="A448" s="4">
        <v>44834</v>
      </c>
      <c r="B448" s="2">
        <v>36</v>
      </c>
      <c r="C448" s="2" t="str">
        <f t="shared" si="78"/>
        <v>2215</v>
      </c>
      <c r="D448" s="2" t="str">
        <f t="shared" si="79"/>
        <v>Краткосрочные вклады юридических лиц</v>
      </c>
      <c r="E448" s="2" t="str">
        <f t="shared" si="77"/>
        <v>1</v>
      </c>
      <c r="F448" s="2" t="str">
        <f>"8"</f>
        <v>8</v>
      </c>
      <c r="G448" s="2" t="str">
        <f>"1"</f>
        <v>1</v>
      </c>
      <c r="H448" s="3">
        <v>105453689732.13</v>
      </c>
    </row>
    <row r="449" spans="1:8" x14ac:dyDescent="0.3">
      <c r="A449" s="4">
        <v>44834</v>
      </c>
      <c r="B449" s="2">
        <v>36</v>
      </c>
      <c r="C449" s="2" t="str">
        <f t="shared" si="78"/>
        <v>2215</v>
      </c>
      <c r="D449" s="2" t="str">
        <f t="shared" si="79"/>
        <v>Краткосрочные вклады юридических лиц</v>
      </c>
      <c r="E449" s="2" t="str">
        <f t="shared" si="77"/>
        <v>1</v>
      </c>
      <c r="F449" s="2" t="str">
        <f>"7"</f>
        <v>7</v>
      </c>
      <c r="G449" s="2" t="str">
        <f>"2"</f>
        <v>2</v>
      </c>
      <c r="H449" s="3">
        <v>44017229492.25</v>
      </c>
    </row>
    <row r="450" spans="1:8" x14ac:dyDescent="0.3">
      <c r="A450" s="4">
        <v>44834</v>
      </c>
      <c r="B450" s="2">
        <v>36</v>
      </c>
      <c r="C450" s="2" t="str">
        <f t="shared" si="78"/>
        <v>2215</v>
      </c>
      <c r="D450" s="2" t="str">
        <f t="shared" si="79"/>
        <v>Краткосрочные вклады юридических лиц</v>
      </c>
      <c r="E450" s="2" t="str">
        <f>"2"</f>
        <v>2</v>
      </c>
      <c r="F450" s="2" t="str">
        <f>"7"</f>
        <v>7</v>
      </c>
      <c r="G450" s="2" t="str">
        <f>"2"</f>
        <v>2</v>
      </c>
      <c r="H450" s="3">
        <v>23835500</v>
      </c>
    </row>
    <row r="451" spans="1:8" x14ac:dyDescent="0.3">
      <c r="A451" s="4">
        <v>44834</v>
      </c>
      <c r="B451" s="2">
        <v>36</v>
      </c>
      <c r="C451" s="2" t="str">
        <f t="shared" ref="C451:C457" si="80">"2217"</f>
        <v>2217</v>
      </c>
      <c r="D451" s="2" t="str">
        <f t="shared" ref="D451:D457" si="81">"Долгосрочные вклады юридических лиц"</f>
        <v>Долгосрочные вклады юридических лиц</v>
      </c>
      <c r="E451" s="2" t="str">
        <f>"2"</f>
        <v>2</v>
      </c>
      <c r="F451" s="2" t="str">
        <f>"7"</f>
        <v>7</v>
      </c>
      <c r="G451" s="2" t="str">
        <f>"2"</f>
        <v>2</v>
      </c>
      <c r="H451" s="3">
        <v>476710</v>
      </c>
    </row>
    <row r="452" spans="1:8" x14ac:dyDescent="0.3">
      <c r="A452" s="4">
        <v>44834</v>
      </c>
      <c r="B452" s="2">
        <v>36</v>
      </c>
      <c r="C452" s="2" t="str">
        <f t="shared" si="80"/>
        <v>2217</v>
      </c>
      <c r="D452" s="2" t="str">
        <f t="shared" si="81"/>
        <v>Долгосрочные вклады юридических лиц</v>
      </c>
      <c r="E452" s="2" t="str">
        <f t="shared" ref="E452:E457" si="82">"1"</f>
        <v>1</v>
      </c>
      <c r="F452" s="2" t="str">
        <f>"8"</f>
        <v>8</v>
      </c>
      <c r="G452" s="2" t="str">
        <f>"2"</f>
        <v>2</v>
      </c>
      <c r="H452" s="3">
        <v>5149421.42</v>
      </c>
    </row>
    <row r="453" spans="1:8" x14ac:dyDescent="0.3">
      <c r="A453" s="4">
        <v>44834</v>
      </c>
      <c r="B453" s="2">
        <v>36</v>
      </c>
      <c r="C453" s="2" t="str">
        <f t="shared" si="80"/>
        <v>2217</v>
      </c>
      <c r="D453" s="2" t="str">
        <f t="shared" si="81"/>
        <v>Долгосрочные вклады юридических лиц</v>
      </c>
      <c r="E453" s="2" t="str">
        <f t="shared" si="82"/>
        <v>1</v>
      </c>
      <c r="F453" s="2" t="str">
        <f>"6"</f>
        <v>6</v>
      </c>
      <c r="G453" s="2" t="str">
        <f>"1"</f>
        <v>1</v>
      </c>
      <c r="H453" s="3">
        <v>27782912962.82</v>
      </c>
    </row>
    <row r="454" spans="1:8" x14ac:dyDescent="0.3">
      <c r="A454" s="4">
        <v>44834</v>
      </c>
      <c r="B454" s="2">
        <v>36</v>
      </c>
      <c r="C454" s="2" t="str">
        <f t="shared" si="80"/>
        <v>2217</v>
      </c>
      <c r="D454" s="2" t="str">
        <f t="shared" si="81"/>
        <v>Долгосрочные вклады юридических лиц</v>
      </c>
      <c r="E454" s="2" t="str">
        <f t="shared" si="82"/>
        <v>1</v>
      </c>
      <c r="F454" s="2" t="str">
        <f>"7"</f>
        <v>7</v>
      </c>
      <c r="G454" s="2" t="str">
        <f>"2"</f>
        <v>2</v>
      </c>
      <c r="H454" s="3">
        <v>446885215.36000001</v>
      </c>
    </row>
    <row r="455" spans="1:8" x14ac:dyDescent="0.3">
      <c r="A455" s="4">
        <v>44834</v>
      </c>
      <c r="B455" s="2">
        <v>36</v>
      </c>
      <c r="C455" s="2" t="str">
        <f t="shared" si="80"/>
        <v>2217</v>
      </c>
      <c r="D455" s="2" t="str">
        <f t="shared" si="81"/>
        <v>Долгосрочные вклады юридических лиц</v>
      </c>
      <c r="E455" s="2" t="str">
        <f t="shared" si="82"/>
        <v>1</v>
      </c>
      <c r="F455" s="2" t="str">
        <f>"8"</f>
        <v>8</v>
      </c>
      <c r="G455" s="2" t="str">
        <f>"1"</f>
        <v>1</v>
      </c>
      <c r="H455" s="3">
        <v>61780913</v>
      </c>
    </row>
    <row r="456" spans="1:8" x14ac:dyDescent="0.3">
      <c r="A456" s="4">
        <v>44834</v>
      </c>
      <c r="B456" s="2">
        <v>36</v>
      </c>
      <c r="C456" s="2" t="str">
        <f t="shared" si="80"/>
        <v>2217</v>
      </c>
      <c r="D456" s="2" t="str">
        <f t="shared" si="81"/>
        <v>Долгосрочные вклады юридических лиц</v>
      </c>
      <c r="E456" s="2" t="str">
        <f t="shared" si="82"/>
        <v>1</v>
      </c>
      <c r="F456" s="2" t="str">
        <f>"7"</f>
        <v>7</v>
      </c>
      <c r="G456" s="2" t="str">
        <f>"1"</f>
        <v>1</v>
      </c>
      <c r="H456" s="3">
        <v>2436278017.9499998</v>
      </c>
    </row>
    <row r="457" spans="1:8" x14ac:dyDescent="0.3">
      <c r="A457" s="4">
        <v>44834</v>
      </c>
      <c r="B457" s="2">
        <v>36</v>
      </c>
      <c r="C457" s="2" t="str">
        <f t="shared" si="80"/>
        <v>2217</v>
      </c>
      <c r="D457" s="2" t="str">
        <f t="shared" si="81"/>
        <v>Долгосрочные вклады юридических лиц</v>
      </c>
      <c r="E457" s="2" t="str">
        <f t="shared" si="82"/>
        <v>1</v>
      </c>
      <c r="F457" s="2" t="str">
        <f>"5"</f>
        <v>5</v>
      </c>
      <c r="G457" s="2" t="str">
        <f>"1"</f>
        <v>1</v>
      </c>
      <c r="H457" s="3">
        <v>65779383409.760002</v>
      </c>
    </row>
    <row r="458" spans="1:8" x14ac:dyDescent="0.3">
      <c r="A458" s="4">
        <v>44834</v>
      </c>
      <c r="B458" s="2">
        <v>36</v>
      </c>
      <c r="C458" s="2" t="str">
        <f t="shared" ref="C458:C464" si="83">"2219"</f>
        <v>2219</v>
      </c>
      <c r="D458" s="2" t="str">
        <f t="shared" ref="D458:D464" si="84">"Условные вклады юридических лиц"</f>
        <v>Условные вклады юридических лиц</v>
      </c>
      <c r="E458" s="2" t="str">
        <f>"2"</f>
        <v>2</v>
      </c>
      <c r="F458" s="2" t="str">
        <f>"7"</f>
        <v>7</v>
      </c>
      <c r="G458" s="2" t="str">
        <f>"1"</f>
        <v>1</v>
      </c>
      <c r="H458" s="3">
        <v>213756.1</v>
      </c>
    </row>
    <row r="459" spans="1:8" x14ac:dyDescent="0.3">
      <c r="A459" s="4">
        <v>44834</v>
      </c>
      <c r="B459" s="2">
        <v>36</v>
      </c>
      <c r="C459" s="2" t="str">
        <f t="shared" si="83"/>
        <v>2219</v>
      </c>
      <c r="D459" s="2" t="str">
        <f t="shared" si="84"/>
        <v>Условные вклады юридических лиц</v>
      </c>
      <c r="E459" s="2" t="str">
        <f>"1"</f>
        <v>1</v>
      </c>
      <c r="F459" s="2" t="str">
        <f>"7"</f>
        <v>7</v>
      </c>
      <c r="G459" s="2" t="str">
        <f>"1"</f>
        <v>1</v>
      </c>
      <c r="H459" s="3">
        <v>6203751087.0500002</v>
      </c>
    </row>
    <row r="460" spans="1:8" x14ac:dyDescent="0.3">
      <c r="A460" s="4">
        <v>44834</v>
      </c>
      <c r="B460" s="2">
        <v>36</v>
      </c>
      <c r="C460" s="2" t="str">
        <f t="shared" si="83"/>
        <v>2219</v>
      </c>
      <c r="D460" s="2" t="str">
        <f t="shared" si="84"/>
        <v>Условные вклады юридических лиц</v>
      </c>
      <c r="E460" s="2" t="str">
        <f>"2"</f>
        <v>2</v>
      </c>
      <c r="F460" s="2" t="str">
        <f>"7"</f>
        <v>7</v>
      </c>
      <c r="G460" s="2" t="str">
        <f>"2"</f>
        <v>2</v>
      </c>
      <c r="H460" s="3">
        <v>14803104.310000001</v>
      </c>
    </row>
    <row r="461" spans="1:8" x14ac:dyDescent="0.3">
      <c r="A461" s="4">
        <v>44834</v>
      </c>
      <c r="B461" s="2">
        <v>36</v>
      </c>
      <c r="C461" s="2" t="str">
        <f t="shared" si="83"/>
        <v>2219</v>
      </c>
      <c r="D461" s="2" t="str">
        <f t="shared" si="84"/>
        <v>Условные вклады юридических лиц</v>
      </c>
      <c r="E461" s="2" t="str">
        <f t="shared" ref="E461:E478" si="85">"1"</f>
        <v>1</v>
      </c>
      <c r="F461" s="2" t="str">
        <f>"8"</f>
        <v>8</v>
      </c>
      <c r="G461" s="2" t="str">
        <f>"1"</f>
        <v>1</v>
      </c>
      <c r="H461" s="3">
        <v>824893954.09000003</v>
      </c>
    </row>
    <row r="462" spans="1:8" x14ac:dyDescent="0.3">
      <c r="A462" s="4">
        <v>44834</v>
      </c>
      <c r="B462" s="2">
        <v>36</v>
      </c>
      <c r="C462" s="2" t="str">
        <f t="shared" si="83"/>
        <v>2219</v>
      </c>
      <c r="D462" s="2" t="str">
        <f t="shared" si="84"/>
        <v>Условные вклады юридических лиц</v>
      </c>
      <c r="E462" s="2" t="str">
        <f t="shared" si="85"/>
        <v>1</v>
      </c>
      <c r="F462" s="2" t="str">
        <f>"7"</f>
        <v>7</v>
      </c>
      <c r="G462" s="2" t="str">
        <f>"2"</f>
        <v>2</v>
      </c>
      <c r="H462" s="3">
        <v>54939097.039999999</v>
      </c>
    </row>
    <row r="463" spans="1:8" x14ac:dyDescent="0.3">
      <c r="A463" s="4">
        <v>44834</v>
      </c>
      <c r="B463" s="2">
        <v>36</v>
      </c>
      <c r="C463" s="2" t="str">
        <f t="shared" si="83"/>
        <v>2219</v>
      </c>
      <c r="D463" s="2" t="str">
        <f t="shared" si="84"/>
        <v>Условные вклады юридических лиц</v>
      </c>
      <c r="E463" s="2" t="str">
        <f t="shared" si="85"/>
        <v>1</v>
      </c>
      <c r="F463" s="2" t="str">
        <f>"5"</f>
        <v>5</v>
      </c>
      <c r="G463" s="2" t="str">
        <f>"1"</f>
        <v>1</v>
      </c>
      <c r="H463" s="3">
        <v>1219044673.0799999</v>
      </c>
    </row>
    <row r="464" spans="1:8" x14ac:dyDescent="0.3">
      <c r="A464" s="4">
        <v>44834</v>
      </c>
      <c r="B464" s="2">
        <v>36</v>
      </c>
      <c r="C464" s="2" t="str">
        <f t="shared" si="83"/>
        <v>2219</v>
      </c>
      <c r="D464" s="2" t="str">
        <f t="shared" si="84"/>
        <v>Условные вклады юридических лиц</v>
      </c>
      <c r="E464" s="2" t="str">
        <f t="shared" si="85"/>
        <v>1</v>
      </c>
      <c r="F464" s="2" t="str">
        <f>"6"</f>
        <v>6</v>
      </c>
      <c r="G464" s="2" t="str">
        <f>"1"</f>
        <v>1</v>
      </c>
      <c r="H464" s="3">
        <v>51409343.990000002</v>
      </c>
    </row>
    <row r="465" spans="1:8" x14ac:dyDescent="0.3">
      <c r="A465" s="4">
        <v>44834</v>
      </c>
      <c r="B465" s="2">
        <v>36</v>
      </c>
      <c r="C465" s="2" t="str">
        <f>"2220"</f>
        <v>2220</v>
      </c>
      <c r="D465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5" s="2" t="str">
        <f t="shared" si="85"/>
        <v>1</v>
      </c>
      <c r="F465" s="2" t="str">
        <f>"7"</f>
        <v>7</v>
      </c>
      <c r="G465" s="2" t="str">
        <f>"1"</f>
        <v>1</v>
      </c>
      <c r="H465" s="3">
        <v>1590729185.9100001</v>
      </c>
    </row>
    <row r="466" spans="1:8" x14ac:dyDescent="0.3">
      <c r="A466" s="4">
        <v>44834</v>
      </c>
      <c r="B466" s="2">
        <v>36</v>
      </c>
      <c r="C466" s="2" t="str">
        <f>"2220"</f>
        <v>2220</v>
      </c>
      <c r="D466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6" s="2" t="str">
        <f t="shared" si="85"/>
        <v>1</v>
      </c>
      <c r="F466" s="2" t="str">
        <f>"6"</f>
        <v>6</v>
      </c>
      <c r="G466" s="2" t="str">
        <f>"1"</f>
        <v>1</v>
      </c>
      <c r="H466" s="3">
        <v>11490700000</v>
      </c>
    </row>
    <row r="467" spans="1:8" x14ac:dyDescent="0.3">
      <c r="A467" s="4">
        <v>44834</v>
      </c>
      <c r="B467" s="2">
        <v>36</v>
      </c>
      <c r="C467" s="2" t="str">
        <f>"2220"</f>
        <v>2220</v>
      </c>
      <c r="D467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7" s="2" t="str">
        <f t="shared" si="85"/>
        <v>1</v>
      </c>
      <c r="F467" s="2" t="str">
        <f>"7"</f>
        <v>7</v>
      </c>
      <c r="G467" s="2" t="str">
        <f>"2"</f>
        <v>2</v>
      </c>
      <c r="H467" s="3">
        <v>513733000</v>
      </c>
    </row>
    <row r="468" spans="1:8" x14ac:dyDescent="0.3">
      <c r="A468" s="4">
        <v>44834</v>
      </c>
      <c r="B468" s="2">
        <v>36</v>
      </c>
      <c r="C468" s="2" t="str">
        <f>"2220"</f>
        <v>2220</v>
      </c>
      <c r="D468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8" s="2" t="str">
        <f t="shared" si="85"/>
        <v>1</v>
      </c>
      <c r="F468" s="2" t="str">
        <f>"8"</f>
        <v>8</v>
      </c>
      <c r="G468" s="2" t="str">
        <f>"2"</f>
        <v>2</v>
      </c>
      <c r="H468" s="3">
        <v>30263947621.610001</v>
      </c>
    </row>
    <row r="469" spans="1:8" x14ac:dyDescent="0.3">
      <c r="A469" s="4">
        <v>44834</v>
      </c>
      <c r="B469" s="2">
        <v>36</v>
      </c>
      <c r="C469" s="2" t="str">
        <f>"2220"</f>
        <v>2220</v>
      </c>
      <c r="D469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9" s="2" t="str">
        <f t="shared" si="85"/>
        <v>1</v>
      </c>
      <c r="F469" s="2" t="str">
        <f>"8"</f>
        <v>8</v>
      </c>
      <c r="G469" s="2" t="str">
        <f>"1"</f>
        <v>1</v>
      </c>
      <c r="H469" s="3">
        <v>3667040685.23</v>
      </c>
    </row>
    <row r="470" spans="1:8" x14ac:dyDescent="0.3">
      <c r="A470" s="4">
        <v>44834</v>
      </c>
      <c r="B470" s="2">
        <v>36</v>
      </c>
      <c r="C470" s="2" t="str">
        <f>"2223"</f>
        <v>2223</v>
      </c>
      <c r="D470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0" s="2" t="str">
        <f t="shared" si="85"/>
        <v>1</v>
      </c>
      <c r="F470" s="2" t="str">
        <f>"7"</f>
        <v>7</v>
      </c>
      <c r="G470" s="2" t="str">
        <f>"1"</f>
        <v>1</v>
      </c>
      <c r="H470" s="3">
        <v>408308700.74000001</v>
      </c>
    </row>
    <row r="471" spans="1:8" x14ac:dyDescent="0.3">
      <c r="A471" s="4">
        <v>44834</v>
      </c>
      <c r="B471" s="2">
        <v>36</v>
      </c>
      <c r="C471" s="2" t="str">
        <f>"2223"</f>
        <v>2223</v>
      </c>
      <c r="D471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1" s="2" t="str">
        <f t="shared" si="85"/>
        <v>1</v>
      </c>
      <c r="F471" s="2" t="str">
        <f>"5"</f>
        <v>5</v>
      </c>
      <c r="G471" s="2" t="str">
        <f>"1"</f>
        <v>1</v>
      </c>
      <c r="H471" s="3">
        <v>1000000</v>
      </c>
    </row>
    <row r="472" spans="1:8" x14ac:dyDescent="0.3">
      <c r="A472" s="4">
        <v>44834</v>
      </c>
      <c r="B472" s="2">
        <v>36</v>
      </c>
      <c r="C472" s="2" t="str">
        <f>"2223"</f>
        <v>2223</v>
      </c>
      <c r="D472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2" s="2" t="str">
        <f t="shared" si="85"/>
        <v>1</v>
      </c>
      <c r="F472" s="2" t="str">
        <f>"7"</f>
        <v>7</v>
      </c>
      <c r="G472" s="2" t="str">
        <f>"2"</f>
        <v>2</v>
      </c>
      <c r="H472" s="3">
        <v>2003153744.73</v>
      </c>
    </row>
    <row r="473" spans="1:8" x14ac:dyDescent="0.3">
      <c r="A473" s="4">
        <v>44834</v>
      </c>
      <c r="B473" s="2">
        <v>36</v>
      </c>
      <c r="C473" s="2" t="str">
        <f>"2227"</f>
        <v>2227</v>
      </c>
      <c r="D473" s="2" t="str">
        <f>"Обязательства по аренде"</f>
        <v>Обязательства по аренде</v>
      </c>
      <c r="E473" s="2" t="str">
        <f t="shared" si="85"/>
        <v>1</v>
      </c>
      <c r="F473" s="2" t="str">
        <f>"9"</f>
        <v>9</v>
      </c>
      <c r="G473" s="2" t="str">
        <f>"1"</f>
        <v>1</v>
      </c>
      <c r="H473" s="3">
        <v>573814177.60000002</v>
      </c>
    </row>
    <row r="474" spans="1:8" x14ac:dyDescent="0.3">
      <c r="A474" s="4">
        <v>44834</v>
      </c>
      <c r="B474" s="2">
        <v>36</v>
      </c>
      <c r="C474" s="2" t="str">
        <f>"2227"</f>
        <v>2227</v>
      </c>
      <c r="D474" s="2" t="str">
        <f>"Обязательства по аренде"</f>
        <v>Обязательства по аренде</v>
      </c>
      <c r="E474" s="2" t="str">
        <f t="shared" si="85"/>
        <v>1</v>
      </c>
      <c r="F474" s="2" t="str">
        <f>"7"</f>
        <v>7</v>
      </c>
      <c r="G474" s="2" t="str">
        <f>"1"</f>
        <v>1</v>
      </c>
      <c r="H474" s="3">
        <v>1790979508.6900001</v>
      </c>
    </row>
    <row r="475" spans="1:8" x14ac:dyDescent="0.3">
      <c r="A475" s="4">
        <v>44834</v>
      </c>
      <c r="B475" s="2">
        <v>36</v>
      </c>
      <c r="C475" s="2" t="str">
        <f>"2227"</f>
        <v>2227</v>
      </c>
      <c r="D475" s="2" t="str">
        <f>"Обязательства по аренде"</f>
        <v>Обязательства по аренде</v>
      </c>
      <c r="E475" s="2" t="str">
        <f t="shared" si="85"/>
        <v>1</v>
      </c>
      <c r="F475" s="2" t="str">
        <f>"5"</f>
        <v>5</v>
      </c>
      <c r="G475" s="2" t="str">
        <f>"1"</f>
        <v>1</v>
      </c>
      <c r="H475" s="3">
        <v>5676821.2000000002</v>
      </c>
    </row>
    <row r="476" spans="1:8" x14ac:dyDescent="0.3">
      <c r="A476" s="4">
        <v>44834</v>
      </c>
      <c r="B476" s="2">
        <v>36</v>
      </c>
      <c r="C476" s="2" t="str">
        <f>"2227"</f>
        <v>2227</v>
      </c>
      <c r="D476" s="2" t="str">
        <f>"Обязательства по аренде"</f>
        <v>Обязательства по аренде</v>
      </c>
      <c r="E476" s="2" t="str">
        <f t="shared" si="85"/>
        <v>1</v>
      </c>
      <c r="F476" s="2" t="str">
        <f>"2"</f>
        <v>2</v>
      </c>
      <c r="G476" s="2" t="str">
        <f>"1"</f>
        <v>1</v>
      </c>
      <c r="H476" s="3">
        <v>1533494.68</v>
      </c>
    </row>
    <row r="477" spans="1:8" x14ac:dyDescent="0.3">
      <c r="A477" s="4">
        <v>44834</v>
      </c>
      <c r="B477" s="2">
        <v>36</v>
      </c>
      <c r="C477" s="2" t="str">
        <f>"2227"</f>
        <v>2227</v>
      </c>
      <c r="D477" s="2" t="str">
        <f>"Обязательства по аренде"</f>
        <v>Обязательства по аренде</v>
      </c>
      <c r="E477" s="2" t="str">
        <f t="shared" si="85"/>
        <v>1</v>
      </c>
      <c r="F477" s="2" t="str">
        <f>"1"</f>
        <v>1</v>
      </c>
      <c r="G477" s="2" t="str">
        <f>"1"</f>
        <v>1</v>
      </c>
      <c r="H477" s="3">
        <v>2286043.35</v>
      </c>
    </row>
    <row r="478" spans="1:8" x14ac:dyDescent="0.3">
      <c r="A478" s="4">
        <v>44834</v>
      </c>
      <c r="B478" s="2">
        <v>36</v>
      </c>
      <c r="C478" s="2" t="str">
        <f>"2229"</f>
        <v>2229</v>
      </c>
      <c r="D478" s="2" t="str">
        <f>"Сберегательные вклады физических лиц (более одного года)"</f>
        <v>Сберегательные вклады физических лиц (более одного года)</v>
      </c>
      <c r="E478" s="2" t="str">
        <f t="shared" si="85"/>
        <v>1</v>
      </c>
      <c r="F478" s="2" t="str">
        <f>"9"</f>
        <v>9</v>
      </c>
      <c r="G478" s="2" t="str">
        <f>"2"</f>
        <v>2</v>
      </c>
      <c r="H478" s="3">
        <v>144137668.53</v>
      </c>
    </row>
    <row r="479" spans="1:8" x14ac:dyDescent="0.3">
      <c r="A479" s="4">
        <v>44834</v>
      </c>
      <c r="B479" s="2">
        <v>36</v>
      </c>
      <c r="C479" s="2" t="str">
        <f>"2229"</f>
        <v>2229</v>
      </c>
      <c r="D479" s="2" t="str">
        <f>"Сберегательные вклады физических лиц (более одного года)"</f>
        <v>Сберегательные вклады физических лиц (более одного года)</v>
      </c>
      <c r="E479" s="2" t="str">
        <f>"2"</f>
        <v>2</v>
      </c>
      <c r="F479" s="2" t="str">
        <f>"9"</f>
        <v>9</v>
      </c>
      <c r="G479" s="2" t="str">
        <f>"1"</f>
        <v>1</v>
      </c>
      <c r="H479" s="3">
        <v>89440388.450000003</v>
      </c>
    </row>
    <row r="480" spans="1:8" x14ac:dyDescent="0.3">
      <c r="A480" s="4">
        <v>44834</v>
      </c>
      <c r="B480" s="2">
        <v>36</v>
      </c>
      <c r="C480" s="2" t="str">
        <f>"2229"</f>
        <v>2229</v>
      </c>
      <c r="D480" s="2" t="str">
        <f>"Сберегательные вклады физических лиц (более одного года)"</f>
        <v>Сберегательные вклады физических лиц (более одного года)</v>
      </c>
      <c r="E480" s="2" t="str">
        <f>"2"</f>
        <v>2</v>
      </c>
      <c r="F480" s="2" t="str">
        <f>"9"</f>
        <v>9</v>
      </c>
      <c r="G480" s="2" t="str">
        <f>"2"</f>
        <v>2</v>
      </c>
      <c r="H480" s="3">
        <v>501702951.88</v>
      </c>
    </row>
    <row r="481" spans="1:8" x14ac:dyDescent="0.3">
      <c r="A481" s="4">
        <v>44834</v>
      </c>
      <c r="B481" s="2">
        <v>36</v>
      </c>
      <c r="C481" s="2" t="str">
        <f>"2229"</f>
        <v>2229</v>
      </c>
      <c r="D481" s="2" t="str">
        <f>"Сберегательные вклады физических лиц (более одного года)"</f>
        <v>Сберегательные вклады физических лиц (более одного года)</v>
      </c>
      <c r="E481" s="2" t="str">
        <f>"1"</f>
        <v>1</v>
      </c>
      <c r="F481" s="2" t="str">
        <f>"9"</f>
        <v>9</v>
      </c>
      <c r="G481" s="2" t="str">
        <f>"1"</f>
        <v>1</v>
      </c>
      <c r="H481" s="3">
        <v>4037350835.8600001</v>
      </c>
    </row>
    <row r="482" spans="1:8" x14ac:dyDescent="0.3">
      <c r="A482" s="4">
        <v>44834</v>
      </c>
      <c r="B482" s="2">
        <v>36</v>
      </c>
      <c r="C482" s="2" t="str">
        <f t="shared" ref="C482:C501" si="86">"2237"</f>
        <v>2237</v>
      </c>
      <c r="D482" s="2" t="str">
        <f t="shared" ref="D482:D501" si="87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82" s="2" t="str">
        <f>"1"</f>
        <v>1</v>
      </c>
      <c r="F482" s="2" t="str">
        <f>"9"</f>
        <v>9</v>
      </c>
      <c r="G482" s="2" t="str">
        <f>"2"</f>
        <v>2</v>
      </c>
      <c r="H482" s="3">
        <v>256958439.59999999</v>
      </c>
    </row>
    <row r="483" spans="1:8" x14ac:dyDescent="0.3">
      <c r="A483" s="4">
        <v>44834</v>
      </c>
      <c r="B483" s="2">
        <v>36</v>
      </c>
      <c r="C483" s="2" t="str">
        <f t="shared" si="86"/>
        <v>2237</v>
      </c>
      <c r="D483" s="2" t="str">
        <f t="shared" si="87"/>
        <v>Счет хранения указаний отправителя в соответствии с валютным законодательством Республики Казахстан</v>
      </c>
      <c r="E483" s="2" t="str">
        <f>"2"</f>
        <v>2</v>
      </c>
      <c r="F483" s="2" t="str">
        <f>"7"</f>
        <v>7</v>
      </c>
      <c r="G483" s="2" t="str">
        <f>"1"</f>
        <v>1</v>
      </c>
      <c r="H483" s="3">
        <v>2312450681.3899999</v>
      </c>
    </row>
    <row r="484" spans="1:8" x14ac:dyDescent="0.3">
      <c r="A484" s="4">
        <v>44834</v>
      </c>
      <c r="B484" s="2">
        <v>36</v>
      </c>
      <c r="C484" s="2" t="str">
        <f t="shared" si="86"/>
        <v>2237</v>
      </c>
      <c r="D484" s="2" t="str">
        <f t="shared" si="87"/>
        <v>Счет хранения указаний отправителя в соответствии с валютным законодательством Республики Казахстан</v>
      </c>
      <c r="E484" s="2" t="str">
        <f>"1"</f>
        <v>1</v>
      </c>
      <c r="F484" s="2" t="str">
        <f>"6"</f>
        <v>6</v>
      </c>
      <c r="G484" s="2" t="str">
        <f>"1"</f>
        <v>1</v>
      </c>
      <c r="H484" s="3">
        <v>134781.42000000001</v>
      </c>
    </row>
    <row r="485" spans="1:8" x14ac:dyDescent="0.3">
      <c r="A485" s="4">
        <v>44834</v>
      </c>
      <c r="B485" s="2">
        <v>36</v>
      </c>
      <c r="C485" s="2" t="str">
        <f t="shared" si="86"/>
        <v>2237</v>
      </c>
      <c r="D485" s="2" t="str">
        <f t="shared" si="87"/>
        <v>Счет хранения указаний отправителя в соответствии с валютным законодательством Республики Казахстан</v>
      </c>
      <c r="E485" s="2" t="str">
        <f>"2"</f>
        <v>2</v>
      </c>
      <c r="F485" s="2" t="str">
        <f>"7"</f>
        <v>7</v>
      </c>
      <c r="G485" s="2" t="str">
        <f>"2"</f>
        <v>2</v>
      </c>
      <c r="H485" s="3">
        <v>392107594.35000002</v>
      </c>
    </row>
    <row r="486" spans="1:8" x14ac:dyDescent="0.3">
      <c r="A486" s="4">
        <v>44834</v>
      </c>
      <c r="B486" s="2">
        <v>36</v>
      </c>
      <c r="C486" s="2" t="str">
        <f t="shared" si="86"/>
        <v>2237</v>
      </c>
      <c r="D486" s="2" t="str">
        <f t="shared" si="87"/>
        <v>Счет хранения указаний отправителя в соответствии с валютным законодательством Республики Казахстан</v>
      </c>
      <c r="E486" s="2" t="str">
        <f t="shared" ref="E486:E492" si="88">"1"</f>
        <v>1</v>
      </c>
      <c r="F486" s="2" t="str">
        <f>"8"</f>
        <v>8</v>
      </c>
      <c r="G486" s="2" t="str">
        <f>"2"</f>
        <v>2</v>
      </c>
      <c r="H486" s="3">
        <v>72285165.569999993</v>
      </c>
    </row>
    <row r="487" spans="1:8" x14ac:dyDescent="0.3">
      <c r="A487" s="4">
        <v>44834</v>
      </c>
      <c r="B487" s="2">
        <v>36</v>
      </c>
      <c r="C487" s="2" t="str">
        <f t="shared" si="86"/>
        <v>2237</v>
      </c>
      <c r="D487" s="2" t="str">
        <f t="shared" si="87"/>
        <v>Счет хранения указаний отправителя в соответствии с валютным законодательством Республики Казахстан</v>
      </c>
      <c r="E487" s="2" t="str">
        <f t="shared" si="88"/>
        <v>1</v>
      </c>
      <c r="F487" s="2" t="str">
        <f>"9"</f>
        <v>9</v>
      </c>
      <c r="G487" s="2" t="str">
        <f>"1"</f>
        <v>1</v>
      </c>
      <c r="H487" s="3">
        <v>33275548.850000001</v>
      </c>
    </row>
    <row r="488" spans="1:8" x14ac:dyDescent="0.3">
      <c r="A488" s="4">
        <v>44834</v>
      </c>
      <c r="B488" s="2">
        <v>36</v>
      </c>
      <c r="C488" s="2" t="str">
        <f t="shared" si="86"/>
        <v>2237</v>
      </c>
      <c r="D488" s="2" t="str">
        <f t="shared" si="87"/>
        <v>Счет хранения указаний отправителя в соответствии с валютным законодательством Республики Казахстан</v>
      </c>
      <c r="E488" s="2" t="str">
        <f t="shared" si="88"/>
        <v>1</v>
      </c>
      <c r="F488" s="2" t="str">
        <f>"6"</f>
        <v>6</v>
      </c>
      <c r="G488" s="2" t="str">
        <f>"2"</f>
        <v>2</v>
      </c>
      <c r="H488" s="3">
        <v>45492098.520000003</v>
      </c>
    </row>
    <row r="489" spans="1:8" x14ac:dyDescent="0.3">
      <c r="A489" s="4">
        <v>44834</v>
      </c>
      <c r="B489" s="2">
        <v>36</v>
      </c>
      <c r="C489" s="2" t="str">
        <f t="shared" si="86"/>
        <v>2237</v>
      </c>
      <c r="D489" s="2" t="str">
        <f t="shared" si="87"/>
        <v>Счет хранения указаний отправителя в соответствии с валютным законодательством Республики Казахстан</v>
      </c>
      <c r="E489" s="2" t="str">
        <f t="shared" si="88"/>
        <v>1</v>
      </c>
      <c r="F489" s="2" t="str">
        <f>"8"</f>
        <v>8</v>
      </c>
      <c r="G489" s="2" t="str">
        <f>"1"</f>
        <v>1</v>
      </c>
      <c r="H489" s="3">
        <v>20737949.41</v>
      </c>
    </row>
    <row r="490" spans="1:8" x14ac:dyDescent="0.3">
      <c r="A490" s="4">
        <v>44834</v>
      </c>
      <c r="B490" s="2">
        <v>36</v>
      </c>
      <c r="C490" s="2" t="str">
        <f t="shared" si="86"/>
        <v>2237</v>
      </c>
      <c r="D490" s="2" t="str">
        <f t="shared" si="87"/>
        <v>Счет хранения указаний отправителя в соответствии с валютным законодательством Республики Казахстан</v>
      </c>
      <c r="E490" s="2" t="str">
        <f t="shared" si="88"/>
        <v>1</v>
      </c>
      <c r="F490" s="2" t="str">
        <f>"7"</f>
        <v>7</v>
      </c>
      <c r="G490" s="2" t="str">
        <f>"1"</f>
        <v>1</v>
      </c>
      <c r="H490" s="3">
        <v>2773361705.6500001</v>
      </c>
    </row>
    <row r="491" spans="1:8" x14ac:dyDescent="0.3">
      <c r="A491" s="4">
        <v>44834</v>
      </c>
      <c r="B491" s="2">
        <v>36</v>
      </c>
      <c r="C491" s="2" t="str">
        <f t="shared" si="86"/>
        <v>2237</v>
      </c>
      <c r="D491" s="2" t="str">
        <f t="shared" si="87"/>
        <v>Счет хранения указаний отправителя в соответствии с валютным законодательством Республики Казахстан</v>
      </c>
      <c r="E491" s="2" t="str">
        <f t="shared" si="88"/>
        <v>1</v>
      </c>
      <c r="F491" s="2" t="str">
        <f>"5"</f>
        <v>5</v>
      </c>
      <c r="G491" s="2" t="str">
        <f>"2"</f>
        <v>2</v>
      </c>
      <c r="H491" s="3">
        <v>282732282.57999998</v>
      </c>
    </row>
    <row r="492" spans="1:8" x14ac:dyDescent="0.3">
      <c r="A492" s="4">
        <v>44834</v>
      </c>
      <c r="B492" s="2">
        <v>36</v>
      </c>
      <c r="C492" s="2" t="str">
        <f t="shared" si="86"/>
        <v>2237</v>
      </c>
      <c r="D492" s="2" t="str">
        <f t="shared" si="87"/>
        <v>Счет хранения указаний отправителя в соответствии с валютным законодательством Республики Казахстан</v>
      </c>
      <c r="E492" s="2" t="str">
        <f t="shared" si="88"/>
        <v>1</v>
      </c>
      <c r="F492" s="2" t="str">
        <f>"7"</f>
        <v>7</v>
      </c>
      <c r="G492" s="2" t="str">
        <f>"2"</f>
        <v>2</v>
      </c>
      <c r="H492" s="3">
        <v>5050418992.5799999</v>
      </c>
    </row>
    <row r="493" spans="1:8" x14ac:dyDescent="0.3">
      <c r="A493" s="4">
        <v>44834</v>
      </c>
      <c r="B493" s="2">
        <v>36</v>
      </c>
      <c r="C493" s="2" t="str">
        <f t="shared" si="86"/>
        <v>2237</v>
      </c>
      <c r="D493" s="2" t="str">
        <f t="shared" si="87"/>
        <v>Счет хранения указаний отправителя в соответствии с валютным законодательством Республики Казахстан</v>
      </c>
      <c r="E493" s="2" t="str">
        <f>"2"</f>
        <v>2</v>
      </c>
      <c r="F493" s="2" t="str">
        <f>"9"</f>
        <v>9</v>
      </c>
      <c r="G493" s="2" t="str">
        <f>"2"</f>
        <v>2</v>
      </c>
      <c r="H493" s="3">
        <v>7963121.0800000001</v>
      </c>
    </row>
    <row r="494" spans="1:8" x14ac:dyDescent="0.3">
      <c r="A494" s="4">
        <v>44834</v>
      </c>
      <c r="B494" s="2">
        <v>36</v>
      </c>
      <c r="C494" s="2" t="str">
        <f t="shared" si="86"/>
        <v>2237</v>
      </c>
      <c r="D494" s="2" t="str">
        <f t="shared" si="87"/>
        <v>Счет хранения указаний отправителя в соответствии с валютным законодательством Республики Казахстан</v>
      </c>
      <c r="E494" s="2" t="str">
        <f>"2"</f>
        <v>2</v>
      </c>
      <c r="F494" s="2" t="str">
        <f>"9"</f>
        <v>9</v>
      </c>
      <c r="G494" s="2" t="str">
        <f>"1"</f>
        <v>1</v>
      </c>
      <c r="H494" s="3">
        <v>54476203</v>
      </c>
    </row>
    <row r="495" spans="1:8" x14ac:dyDescent="0.3">
      <c r="A495" s="4">
        <v>44834</v>
      </c>
      <c r="B495" s="2">
        <v>36</v>
      </c>
      <c r="C495" s="2" t="str">
        <f t="shared" si="86"/>
        <v>2237</v>
      </c>
      <c r="D495" s="2" t="str">
        <f t="shared" si="87"/>
        <v>Счет хранения указаний отправителя в соответствии с валютным законодательством Республики Казахстан</v>
      </c>
      <c r="E495" s="2" t="str">
        <f>"1"</f>
        <v>1</v>
      </c>
      <c r="F495" s="2" t="str">
        <f>"5"</f>
        <v>5</v>
      </c>
      <c r="G495" s="2" t="str">
        <f>"1"</f>
        <v>1</v>
      </c>
      <c r="H495" s="3">
        <v>18661440</v>
      </c>
    </row>
    <row r="496" spans="1:8" x14ac:dyDescent="0.3">
      <c r="A496" s="4">
        <v>44834</v>
      </c>
      <c r="B496" s="2">
        <v>36</v>
      </c>
      <c r="C496" s="2" t="str">
        <f t="shared" si="86"/>
        <v>2237</v>
      </c>
      <c r="D496" s="2" t="str">
        <f t="shared" si="87"/>
        <v>Счет хранения указаний отправителя в соответствии с валютным законодательством Республики Казахстан</v>
      </c>
      <c r="E496" s="2" t="str">
        <f>"2"</f>
        <v>2</v>
      </c>
      <c r="F496" s="2" t="str">
        <f>"7"</f>
        <v>7</v>
      </c>
      <c r="G496" s="2" t="str">
        <f>"3"</f>
        <v>3</v>
      </c>
      <c r="H496" s="3">
        <v>12540000</v>
      </c>
    </row>
    <row r="497" spans="1:8" x14ac:dyDescent="0.3">
      <c r="A497" s="4">
        <v>44834</v>
      </c>
      <c r="B497" s="2">
        <v>36</v>
      </c>
      <c r="C497" s="2" t="str">
        <f t="shared" si="86"/>
        <v>2237</v>
      </c>
      <c r="D497" s="2" t="str">
        <f t="shared" si="87"/>
        <v>Счет хранения указаний отправителя в соответствии с валютным законодательством Республики Казахстан</v>
      </c>
      <c r="E497" s="2" t="str">
        <f>"2"</f>
        <v>2</v>
      </c>
      <c r="F497" s="2" t="str">
        <f>"9"</f>
        <v>9</v>
      </c>
      <c r="G497" s="2" t="str">
        <f>"3"</f>
        <v>3</v>
      </c>
      <c r="H497" s="3">
        <v>12540000</v>
      </c>
    </row>
    <row r="498" spans="1:8" x14ac:dyDescent="0.3">
      <c r="A498" s="4">
        <v>44834</v>
      </c>
      <c r="B498" s="2">
        <v>36</v>
      </c>
      <c r="C498" s="2" t="str">
        <f t="shared" si="86"/>
        <v>2237</v>
      </c>
      <c r="D498" s="2" t="str">
        <f t="shared" si="87"/>
        <v>Счет хранения указаний отправителя в соответствии с валютным законодательством Республики Казахстан</v>
      </c>
      <c r="E498" s="2" t="str">
        <f t="shared" ref="E498:E508" si="89">"1"</f>
        <v>1</v>
      </c>
      <c r="F498" s="2" t="str">
        <f>"7"</f>
        <v>7</v>
      </c>
      <c r="G498" s="2" t="str">
        <f>"3"</f>
        <v>3</v>
      </c>
      <c r="H498" s="3">
        <v>851133477.99000001</v>
      </c>
    </row>
    <row r="499" spans="1:8" x14ac:dyDescent="0.3">
      <c r="A499" s="4">
        <v>44834</v>
      </c>
      <c r="B499" s="2">
        <v>36</v>
      </c>
      <c r="C499" s="2" t="str">
        <f t="shared" si="86"/>
        <v>2237</v>
      </c>
      <c r="D499" s="2" t="str">
        <f t="shared" si="87"/>
        <v>Счет хранения указаний отправителя в соответствии с валютным законодательством Республики Казахстан</v>
      </c>
      <c r="E499" s="2" t="str">
        <f t="shared" si="89"/>
        <v>1</v>
      </c>
      <c r="F499" s="2" t="str">
        <f>"9"</f>
        <v>9</v>
      </c>
      <c r="G499" s="2" t="str">
        <f>"3"</f>
        <v>3</v>
      </c>
      <c r="H499" s="3">
        <v>60325361.729999997</v>
      </c>
    </row>
    <row r="500" spans="1:8" x14ac:dyDescent="0.3">
      <c r="A500" s="4">
        <v>44834</v>
      </c>
      <c r="B500" s="2">
        <v>36</v>
      </c>
      <c r="C500" s="2" t="str">
        <f t="shared" si="86"/>
        <v>2237</v>
      </c>
      <c r="D500" s="2" t="str">
        <f t="shared" si="87"/>
        <v>Счет хранения указаний отправителя в соответствии с валютным законодательством Республики Казахстан</v>
      </c>
      <c r="E500" s="2" t="str">
        <f t="shared" si="89"/>
        <v>1</v>
      </c>
      <c r="F500" s="2" t="str">
        <f>"4"</f>
        <v>4</v>
      </c>
      <c r="G500" s="2" t="str">
        <f>"2"</f>
        <v>2</v>
      </c>
      <c r="H500" s="3">
        <v>608488428.50999999</v>
      </c>
    </row>
    <row r="501" spans="1:8" x14ac:dyDescent="0.3">
      <c r="A501" s="4">
        <v>44834</v>
      </c>
      <c r="B501" s="2">
        <v>36</v>
      </c>
      <c r="C501" s="2" t="str">
        <f t="shared" si="86"/>
        <v>2237</v>
      </c>
      <c r="D501" s="2" t="str">
        <f t="shared" si="87"/>
        <v>Счет хранения указаний отправителя в соответствии с валютным законодательством Республики Казахстан</v>
      </c>
      <c r="E501" s="2" t="str">
        <f t="shared" si="89"/>
        <v>1</v>
      </c>
      <c r="F501" s="2" t="str">
        <f>"4"</f>
        <v>4</v>
      </c>
      <c r="G501" s="2" t="str">
        <f>"3"</f>
        <v>3</v>
      </c>
      <c r="H501" s="3">
        <v>8360000</v>
      </c>
    </row>
    <row r="502" spans="1:8" x14ac:dyDescent="0.3">
      <c r="A502" s="4">
        <v>44834</v>
      </c>
      <c r="B502" s="2">
        <v>36</v>
      </c>
      <c r="C502" s="2" t="str">
        <f>"2239"</f>
        <v>2239</v>
      </c>
      <c r="D502" s="2" t="str">
        <f>"Дисконт по вкладам, привлеченным от клиентов"</f>
        <v>Дисконт по вкладам, привлеченным от клиентов</v>
      </c>
      <c r="E502" s="2" t="str">
        <f t="shared" si="89"/>
        <v>1</v>
      </c>
      <c r="F502" s="2" t="str">
        <f>"5"</f>
        <v>5</v>
      </c>
      <c r="G502" s="2" t="str">
        <f>"1"</f>
        <v>1</v>
      </c>
      <c r="H502" s="3">
        <v>-28567807313.439999</v>
      </c>
    </row>
    <row r="503" spans="1:8" x14ac:dyDescent="0.3">
      <c r="A503" s="4">
        <v>44834</v>
      </c>
      <c r="B503" s="2">
        <v>36</v>
      </c>
      <c r="C503" s="2" t="str">
        <f t="shared" ref="C503:C509" si="90">"2240"</f>
        <v>2240</v>
      </c>
      <c r="D503" s="2" t="str">
        <f t="shared" ref="D503:D509" si="91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03" s="2" t="str">
        <f t="shared" si="89"/>
        <v>1</v>
      </c>
      <c r="F503" s="2" t="str">
        <f>"1"</f>
        <v>1</v>
      </c>
      <c r="G503" s="2" t="str">
        <f>"2"</f>
        <v>2</v>
      </c>
      <c r="H503" s="3">
        <v>1863449700</v>
      </c>
    </row>
    <row r="504" spans="1:8" x14ac:dyDescent="0.3">
      <c r="A504" s="4">
        <v>44834</v>
      </c>
      <c r="B504" s="2">
        <v>36</v>
      </c>
      <c r="C504" s="2" t="str">
        <f t="shared" si="90"/>
        <v>2240</v>
      </c>
      <c r="D504" s="2" t="str">
        <f t="shared" si="91"/>
        <v>Счет хранения денег, принятых в качестве обеспечения (заклад, задаток) обязательств клиентов</v>
      </c>
      <c r="E504" s="2" t="str">
        <f t="shared" si="89"/>
        <v>1</v>
      </c>
      <c r="F504" s="2" t="str">
        <f>"6"</f>
        <v>6</v>
      </c>
      <c r="G504" s="2" t="str">
        <f>"1"</f>
        <v>1</v>
      </c>
      <c r="H504" s="3">
        <v>96621848.849999994</v>
      </c>
    </row>
    <row r="505" spans="1:8" x14ac:dyDescent="0.3">
      <c r="A505" s="4">
        <v>44834</v>
      </c>
      <c r="B505" s="2">
        <v>36</v>
      </c>
      <c r="C505" s="2" t="str">
        <f t="shared" si="90"/>
        <v>2240</v>
      </c>
      <c r="D505" s="2" t="str">
        <f t="shared" si="91"/>
        <v>Счет хранения денег, принятых в качестве обеспечения (заклад, задаток) обязательств клиентов</v>
      </c>
      <c r="E505" s="2" t="str">
        <f t="shared" si="89"/>
        <v>1</v>
      </c>
      <c r="F505" s="2" t="str">
        <f>"9"</f>
        <v>9</v>
      </c>
      <c r="G505" s="2" t="str">
        <f>"2"</f>
        <v>2</v>
      </c>
      <c r="H505" s="3">
        <v>117528898.56999999</v>
      </c>
    </row>
    <row r="506" spans="1:8" x14ac:dyDescent="0.3">
      <c r="A506" s="4">
        <v>44834</v>
      </c>
      <c r="B506" s="2">
        <v>36</v>
      </c>
      <c r="C506" s="2" t="str">
        <f t="shared" si="90"/>
        <v>2240</v>
      </c>
      <c r="D506" s="2" t="str">
        <f t="shared" si="91"/>
        <v>Счет хранения денег, принятых в качестве обеспечения (заклад, задаток) обязательств клиентов</v>
      </c>
      <c r="E506" s="2" t="str">
        <f t="shared" si="89"/>
        <v>1</v>
      </c>
      <c r="F506" s="2" t="str">
        <f>"7"</f>
        <v>7</v>
      </c>
      <c r="G506" s="2" t="str">
        <f>"2"</f>
        <v>2</v>
      </c>
      <c r="H506" s="3">
        <v>435927459.5</v>
      </c>
    </row>
    <row r="507" spans="1:8" x14ac:dyDescent="0.3">
      <c r="A507" s="4">
        <v>44834</v>
      </c>
      <c r="B507" s="2">
        <v>36</v>
      </c>
      <c r="C507" s="2" t="str">
        <f t="shared" si="90"/>
        <v>2240</v>
      </c>
      <c r="D507" s="2" t="str">
        <f t="shared" si="91"/>
        <v>Счет хранения денег, принятых в качестве обеспечения (заклад, задаток) обязательств клиентов</v>
      </c>
      <c r="E507" s="2" t="str">
        <f t="shared" si="89"/>
        <v>1</v>
      </c>
      <c r="F507" s="2" t="str">
        <f>"7"</f>
        <v>7</v>
      </c>
      <c r="G507" s="2" t="str">
        <f>"1"</f>
        <v>1</v>
      </c>
      <c r="H507" s="3">
        <v>7467934534.5299997</v>
      </c>
    </row>
    <row r="508" spans="1:8" x14ac:dyDescent="0.3">
      <c r="A508" s="4">
        <v>44834</v>
      </c>
      <c r="B508" s="2">
        <v>36</v>
      </c>
      <c r="C508" s="2" t="str">
        <f t="shared" si="90"/>
        <v>2240</v>
      </c>
      <c r="D508" s="2" t="str">
        <f t="shared" si="91"/>
        <v>Счет хранения денег, принятых в качестве обеспечения (заклад, задаток) обязательств клиентов</v>
      </c>
      <c r="E508" s="2" t="str">
        <f t="shared" si="89"/>
        <v>1</v>
      </c>
      <c r="F508" s="2" t="str">
        <f>"9"</f>
        <v>9</v>
      </c>
      <c r="G508" s="2" t="str">
        <f>"1"</f>
        <v>1</v>
      </c>
      <c r="H508" s="3">
        <v>2350719943.7800002</v>
      </c>
    </row>
    <row r="509" spans="1:8" x14ac:dyDescent="0.3">
      <c r="A509" s="4">
        <v>44834</v>
      </c>
      <c r="B509" s="2">
        <v>36</v>
      </c>
      <c r="C509" s="2" t="str">
        <f t="shared" si="90"/>
        <v>2240</v>
      </c>
      <c r="D509" s="2" t="str">
        <f t="shared" si="91"/>
        <v>Счет хранения денег, принятых в качестве обеспечения (заклад, задаток) обязательств клиентов</v>
      </c>
      <c r="E509" s="2" t="str">
        <f>"2"</f>
        <v>2</v>
      </c>
      <c r="F509" s="2" t="str">
        <f>"7"</f>
        <v>7</v>
      </c>
      <c r="G509" s="2" t="str">
        <f>"2"</f>
        <v>2</v>
      </c>
      <c r="H509" s="3">
        <v>6197230000</v>
      </c>
    </row>
    <row r="510" spans="1:8" x14ac:dyDescent="0.3">
      <c r="A510" s="4">
        <v>44834</v>
      </c>
      <c r="B510" s="2">
        <v>36</v>
      </c>
      <c r="C510" s="2" t="str">
        <f>"2255"</f>
        <v>2255</v>
      </c>
      <c r="D510" s="2" t="str">
        <f>"Операции «РЕПО» с ценными бумагами"</f>
        <v>Операции «РЕПО» с ценными бумагами</v>
      </c>
      <c r="E510" s="2" t="str">
        <f t="shared" ref="E510:E520" si="92">"1"</f>
        <v>1</v>
      </c>
      <c r="F510" s="2" t="str">
        <f t="shared" ref="F510:F520" si="93">"5"</f>
        <v>5</v>
      </c>
      <c r="G510" s="2" t="str">
        <f>"2"</f>
        <v>2</v>
      </c>
      <c r="H510" s="3">
        <v>21495795497.59</v>
      </c>
    </row>
    <row r="511" spans="1:8" x14ac:dyDescent="0.3">
      <c r="A511" s="4">
        <v>44834</v>
      </c>
      <c r="B511" s="2">
        <v>36</v>
      </c>
      <c r="C511" s="2" t="str">
        <f>"2301"</f>
        <v>2301</v>
      </c>
      <c r="D511" s="2" t="str">
        <f>"Выпущенные в обращение облигации"</f>
        <v>Выпущенные в обращение облигации</v>
      </c>
      <c r="E511" s="2" t="str">
        <f t="shared" si="92"/>
        <v>1</v>
      </c>
      <c r="F511" s="2" t="str">
        <f t="shared" si="93"/>
        <v>5</v>
      </c>
      <c r="G511" s="2" t="str">
        <f>"1"</f>
        <v>1</v>
      </c>
      <c r="H511" s="3">
        <v>739746503600</v>
      </c>
    </row>
    <row r="512" spans="1:8" x14ac:dyDescent="0.3">
      <c r="A512" s="4">
        <v>44834</v>
      </c>
      <c r="B512" s="2">
        <v>36</v>
      </c>
      <c r="C512" s="2" t="str">
        <f>"2301"</f>
        <v>2301</v>
      </c>
      <c r="D512" s="2" t="str">
        <f>"Выпущенные в обращение облигации"</f>
        <v>Выпущенные в обращение облигации</v>
      </c>
      <c r="E512" s="2" t="str">
        <f t="shared" si="92"/>
        <v>1</v>
      </c>
      <c r="F512" s="2" t="str">
        <f t="shared" si="93"/>
        <v>5</v>
      </c>
      <c r="G512" s="2" t="str">
        <f>"2"</f>
        <v>2</v>
      </c>
      <c r="H512" s="3">
        <v>17495257000</v>
      </c>
    </row>
    <row r="513" spans="1:8" x14ac:dyDescent="0.3">
      <c r="A513" s="4">
        <v>44834</v>
      </c>
      <c r="B513" s="2">
        <v>36</v>
      </c>
      <c r="C513" s="2" t="str">
        <f>"2304"</f>
        <v>2304</v>
      </c>
      <c r="D513" s="2" t="str">
        <f>"Премия по выпущенным в обращение ценным бумагам"</f>
        <v>Премия по выпущенным в обращение ценным бумагам</v>
      </c>
      <c r="E513" s="2" t="str">
        <f t="shared" si="92"/>
        <v>1</v>
      </c>
      <c r="F513" s="2" t="str">
        <f t="shared" si="93"/>
        <v>5</v>
      </c>
      <c r="G513" s="2" t="str">
        <f>"1"</f>
        <v>1</v>
      </c>
      <c r="H513" s="3">
        <v>164250.26</v>
      </c>
    </row>
    <row r="514" spans="1:8" x14ac:dyDescent="0.3">
      <c r="A514" s="4">
        <v>44834</v>
      </c>
      <c r="B514" s="2">
        <v>36</v>
      </c>
      <c r="C514" s="2" t="str">
        <f>"2305"</f>
        <v>2305</v>
      </c>
      <c r="D514" s="2" t="str">
        <f>"Дисконт по выпущенным в обращение ценным бумагам"</f>
        <v>Дисконт по выпущенным в обращение ценным бумагам</v>
      </c>
      <c r="E514" s="2" t="str">
        <f t="shared" si="92"/>
        <v>1</v>
      </c>
      <c r="F514" s="2" t="str">
        <f t="shared" si="93"/>
        <v>5</v>
      </c>
      <c r="G514" s="2" t="str">
        <f>"1"</f>
        <v>1</v>
      </c>
      <c r="H514" s="3">
        <v>-500804494620.64001</v>
      </c>
    </row>
    <row r="515" spans="1:8" x14ac:dyDescent="0.3">
      <c r="A515" s="4">
        <v>44834</v>
      </c>
      <c r="B515" s="2">
        <v>36</v>
      </c>
      <c r="C515" s="2" t="str">
        <f>"2305"</f>
        <v>2305</v>
      </c>
      <c r="D515" s="2" t="str">
        <f>"Дисконт по выпущенным в обращение ценным бумагам"</f>
        <v>Дисконт по выпущенным в обращение ценным бумагам</v>
      </c>
      <c r="E515" s="2" t="str">
        <f t="shared" si="92"/>
        <v>1</v>
      </c>
      <c r="F515" s="2" t="str">
        <f t="shared" si="93"/>
        <v>5</v>
      </c>
      <c r="G515" s="2" t="str">
        <f>"2"</f>
        <v>2</v>
      </c>
      <c r="H515" s="3">
        <v>-137006.45000000001</v>
      </c>
    </row>
    <row r="516" spans="1:8" x14ac:dyDescent="0.3">
      <c r="A516" s="4">
        <v>44834</v>
      </c>
      <c r="B516" s="2">
        <v>36</v>
      </c>
      <c r="C516" s="2" t="str">
        <f>"2306"</f>
        <v>2306</v>
      </c>
      <c r="D516" s="2" t="str">
        <f>"Выкупленные облигации"</f>
        <v>Выкупленные облигации</v>
      </c>
      <c r="E516" s="2" t="str">
        <f t="shared" si="92"/>
        <v>1</v>
      </c>
      <c r="F516" s="2" t="str">
        <f t="shared" si="93"/>
        <v>5</v>
      </c>
      <c r="G516" s="2" t="str">
        <f>"1"</f>
        <v>1</v>
      </c>
      <c r="H516" s="3">
        <v>-582210000</v>
      </c>
    </row>
    <row r="517" spans="1:8" x14ac:dyDescent="0.3">
      <c r="A517" s="4">
        <v>44834</v>
      </c>
      <c r="B517" s="2">
        <v>36</v>
      </c>
      <c r="C517" s="2" t="str">
        <f>"2306"</f>
        <v>2306</v>
      </c>
      <c r="D517" s="2" t="str">
        <f>"Выкупленные облигации"</f>
        <v>Выкупленные облигации</v>
      </c>
      <c r="E517" s="2" t="str">
        <f t="shared" si="92"/>
        <v>1</v>
      </c>
      <c r="F517" s="2" t="str">
        <f t="shared" si="93"/>
        <v>5</v>
      </c>
      <c r="G517" s="2" t="str">
        <f>"2"</f>
        <v>2</v>
      </c>
      <c r="H517" s="3">
        <v>-5243810000</v>
      </c>
    </row>
    <row r="518" spans="1:8" x14ac:dyDescent="0.3">
      <c r="A518" s="4">
        <v>44834</v>
      </c>
      <c r="B518" s="2">
        <v>36</v>
      </c>
      <c r="C518" s="2" t="str">
        <f>"2404"</f>
        <v>2404</v>
      </c>
      <c r="D518" s="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18" s="2" t="str">
        <f t="shared" si="92"/>
        <v>1</v>
      </c>
      <c r="F518" s="2" t="str">
        <f t="shared" si="93"/>
        <v>5</v>
      </c>
      <c r="G518" s="2" t="str">
        <f>"1"</f>
        <v>1</v>
      </c>
      <c r="H518" s="3">
        <v>-345041984429.06</v>
      </c>
    </row>
    <row r="519" spans="1:8" x14ac:dyDescent="0.3">
      <c r="A519" s="4">
        <v>44834</v>
      </c>
      <c r="B519" s="2">
        <v>36</v>
      </c>
      <c r="C519" s="2" t="str">
        <f>"2405"</f>
        <v>2405</v>
      </c>
      <c r="D519" s="2" t="str">
        <f>"Выкупленные субординированные облигации"</f>
        <v>Выкупленные субординированные облигации</v>
      </c>
      <c r="E519" s="2" t="str">
        <f t="shared" si="92"/>
        <v>1</v>
      </c>
      <c r="F519" s="2" t="str">
        <f t="shared" si="93"/>
        <v>5</v>
      </c>
      <c r="G519" s="2" t="str">
        <f>"1"</f>
        <v>1</v>
      </c>
      <c r="H519" s="3">
        <v>-9241740000</v>
      </c>
    </row>
    <row r="520" spans="1:8" x14ac:dyDescent="0.3">
      <c r="A520" s="4">
        <v>44834</v>
      </c>
      <c r="B520" s="2">
        <v>36</v>
      </c>
      <c r="C520" s="2" t="str">
        <f>"2406"</f>
        <v>2406</v>
      </c>
      <c r="D520" s="2" t="str">
        <f>"Субординированные облигации"</f>
        <v>Субординированные облигации</v>
      </c>
      <c r="E520" s="2" t="str">
        <f t="shared" si="92"/>
        <v>1</v>
      </c>
      <c r="F520" s="2" t="str">
        <f t="shared" si="93"/>
        <v>5</v>
      </c>
      <c r="G520" s="2" t="str">
        <f>"1"</f>
        <v>1</v>
      </c>
      <c r="H520" s="3">
        <v>544774794000</v>
      </c>
    </row>
    <row r="521" spans="1:8" x14ac:dyDescent="0.3">
      <c r="A521" s="4">
        <v>44834</v>
      </c>
      <c r="B521" s="2">
        <v>36</v>
      </c>
      <c r="C521" s="2" t="str">
        <f>"2551"</f>
        <v>2551</v>
      </c>
      <c r="D521" s="2" t="str">
        <f>"Расчеты с другими банками"</f>
        <v>Расчеты с другими банками</v>
      </c>
      <c r="E521" s="2" t="str">
        <f>"2"</f>
        <v>2</v>
      </c>
      <c r="F521" s="2" t="str">
        <f>"4"</f>
        <v>4</v>
      </c>
      <c r="G521" s="2" t="str">
        <f>"3"</f>
        <v>3</v>
      </c>
      <c r="H521" s="3">
        <v>316410.03000000003</v>
      </c>
    </row>
    <row r="522" spans="1:8" x14ac:dyDescent="0.3">
      <c r="A522" s="4">
        <v>44834</v>
      </c>
      <c r="B522" s="2">
        <v>36</v>
      </c>
      <c r="C522" s="2" t="str">
        <f>"2551"</f>
        <v>2551</v>
      </c>
      <c r="D522" s="2" t="str">
        <f>"Расчеты с другими банками"</f>
        <v>Расчеты с другими банками</v>
      </c>
      <c r="E522" s="2" t="str">
        <f>"1"</f>
        <v>1</v>
      </c>
      <c r="F522" s="2" t="str">
        <f>"3"</f>
        <v>3</v>
      </c>
      <c r="G522" s="2" t="str">
        <f>"1"</f>
        <v>1</v>
      </c>
      <c r="H522" s="3">
        <v>45274033.869999997</v>
      </c>
    </row>
    <row r="523" spans="1:8" x14ac:dyDescent="0.3">
      <c r="A523" s="4">
        <v>44834</v>
      </c>
      <c r="B523" s="2">
        <v>36</v>
      </c>
      <c r="C523" s="2" t="str">
        <f>"2551"</f>
        <v>2551</v>
      </c>
      <c r="D523" s="2" t="str">
        <f>"Расчеты с другими банками"</f>
        <v>Расчеты с другими банками</v>
      </c>
      <c r="E523" s="2" t="str">
        <f>"1"</f>
        <v>1</v>
      </c>
      <c r="F523" s="2" t="str">
        <f>"4"</f>
        <v>4</v>
      </c>
      <c r="G523" s="2" t="str">
        <f>"1"</f>
        <v>1</v>
      </c>
      <c r="H523" s="3">
        <v>536113.74</v>
      </c>
    </row>
    <row r="524" spans="1:8" x14ac:dyDescent="0.3">
      <c r="A524" s="4">
        <v>44834</v>
      </c>
      <c r="B524" s="2">
        <v>36</v>
      </c>
      <c r="C524" s="2" t="str">
        <f>"2551"</f>
        <v>2551</v>
      </c>
      <c r="D524" s="2" t="str">
        <f>"Расчеты с другими банками"</f>
        <v>Расчеты с другими банками</v>
      </c>
      <c r="E524" s="2" t="str">
        <f>"1"</f>
        <v>1</v>
      </c>
      <c r="F524" s="2" t="str">
        <f>"4"</f>
        <v>4</v>
      </c>
      <c r="G524" s="2" t="str">
        <f>"2"</f>
        <v>2</v>
      </c>
      <c r="H524" s="3">
        <v>62185416.740000002</v>
      </c>
    </row>
    <row r="525" spans="1:8" x14ac:dyDescent="0.3">
      <c r="A525" s="4">
        <v>44834</v>
      </c>
      <c r="B525" s="2">
        <v>36</v>
      </c>
      <c r="C525" s="2" t="str">
        <f>"2551"</f>
        <v>2551</v>
      </c>
      <c r="D525" s="2" t="str">
        <f>"Расчеты с другими банками"</f>
        <v>Расчеты с другими банками</v>
      </c>
      <c r="E525" s="2" t="str">
        <f>"1"</f>
        <v>1</v>
      </c>
      <c r="F525" s="2" t="str">
        <f>"4"</f>
        <v>4</v>
      </c>
      <c r="G525" s="2" t="str">
        <f>"3"</f>
        <v>3</v>
      </c>
      <c r="H525" s="3">
        <v>19193706.949999999</v>
      </c>
    </row>
    <row r="526" spans="1:8" x14ac:dyDescent="0.3">
      <c r="A526" s="4">
        <v>44834</v>
      </c>
      <c r="B526" s="2">
        <v>36</v>
      </c>
      <c r="C526" s="2" t="str">
        <f>"2552"</f>
        <v>2552</v>
      </c>
      <c r="D526" s="2" t="str">
        <f>"Расчеты с клиентами"</f>
        <v>Расчеты с клиентами</v>
      </c>
      <c r="E526" s="2" t="str">
        <f>"2"</f>
        <v>2</v>
      </c>
      <c r="F526" s="2" t="str">
        <f>"5"</f>
        <v>5</v>
      </c>
      <c r="G526" s="2" t="str">
        <f>"1"</f>
        <v>1</v>
      </c>
      <c r="H526" s="3">
        <v>162222945.56</v>
      </c>
    </row>
    <row r="527" spans="1:8" x14ac:dyDescent="0.3">
      <c r="A527" s="4">
        <v>44834</v>
      </c>
      <c r="B527" s="2">
        <v>36</v>
      </c>
      <c r="C527" s="2" t="str">
        <f>"2552"</f>
        <v>2552</v>
      </c>
      <c r="D527" s="2" t="str">
        <f>"Расчеты с клиентами"</f>
        <v>Расчеты с клиентами</v>
      </c>
      <c r="E527" s="2" t="str">
        <f>"2"</f>
        <v>2</v>
      </c>
      <c r="F527" s="2" t="str">
        <f>"5"</f>
        <v>5</v>
      </c>
      <c r="G527" s="2" t="str">
        <f>"3"</f>
        <v>3</v>
      </c>
      <c r="H527" s="3">
        <v>992494.43</v>
      </c>
    </row>
    <row r="528" spans="1:8" x14ac:dyDescent="0.3">
      <c r="A528" s="4">
        <v>44834</v>
      </c>
      <c r="B528" s="2">
        <v>36</v>
      </c>
      <c r="C528" s="2" t="str">
        <f>"2552"</f>
        <v>2552</v>
      </c>
      <c r="D528" s="2" t="str">
        <f>"Расчеты с клиентами"</f>
        <v>Расчеты с клиентами</v>
      </c>
      <c r="E528" s="2" t="str">
        <f>"2"</f>
        <v>2</v>
      </c>
      <c r="F528" s="2" t="str">
        <f>"5"</f>
        <v>5</v>
      </c>
      <c r="G528" s="2" t="str">
        <f>"2"</f>
        <v>2</v>
      </c>
      <c r="H528" s="3">
        <v>290189103.66000003</v>
      </c>
    </row>
    <row r="529" spans="1:8" x14ac:dyDescent="0.3">
      <c r="A529" s="4">
        <v>44834</v>
      </c>
      <c r="B529" s="2">
        <v>36</v>
      </c>
      <c r="C529" s="2" t="str">
        <f>"2552"</f>
        <v>2552</v>
      </c>
      <c r="D529" s="2" t="str">
        <f>"Расчеты с клиентами"</f>
        <v>Расчеты с клиентами</v>
      </c>
      <c r="E529" s="2" t="str">
        <f t="shared" ref="E529:E535" si="94">"1"</f>
        <v>1</v>
      </c>
      <c r="F529" s="2" t="str">
        <f>"6"</f>
        <v>6</v>
      </c>
      <c r="G529" s="2" t="str">
        <f>"1"</f>
        <v>1</v>
      </c>
      <c r="H529" s="3">
        <v>4700</v>
      </c>
    </row>
    <row r="530" spans="1:8" x14ac:dyDescent="0.3">
      <c r="A530" s="4">
        <v>44834</v>
      </c>
      <c r="B530" s="2">
        <v>36</v>
      </c>
      <c r="C530" s="2" t="str">
        <f>"2552"</f>
        <v>2552</v>
      </c>
      <c r="D530" s="2" t="str">
        <f>"Расчеты с клиентами"</f>
        <v>Расчеты с клиентами</v>
      </c>
      <c r="E530" s="2" t="str">
        <f t="shared" si="94"/>
        <v>1</v>
      </c>
      <c r="F530" s="2" t="str">
        <f>"7"</f>
        <v>7</v>
      </c>
      <c r="G530" s="2" t="str">
        <f>"1"</f>
        <v>1</v>
      </c>
      <c r="H530" s="3">
        <v>49249533.82</v>
      </c>
    </row>
    <row r="531" spans="1:8" x14ac:dyDescent="0.3">
      <c r="A531" s="4">
        <v>44834</v>
      </c>
      <c r="B531" s="2">
        <v>36</v>
      </c>
      <c r="C531" s="2" t="str">
        <f>"2701"</f>
        <v>2701</v>
      </c>
      <c r="D531" s="2" t="str">
        <f>"Начисленные расходы по корреспондентским счетам"</f>
        <v>Начисленные расходы по корреспондентским счетам</v>
      </c>
      <c r="E531" s="2" t="str">
        <f t="shared" si="94"/>
        <v>1</v>
      </c>
      <c r="F531" s="2" t="str">
        <f>"3"</f>
        <v>3</v>
      </c>
      <c r="G531" s="2" t="str">
        <f>"2"</f>
        <v>2</v>
      </c>
      <c r="H531" s="3">
        <v>803707.26</v>
      </c>
    </row>
    <row r="532" spans="1:8" x14ac:dyDescent="0.3">
      <c r="A532" s="4">
        <v>44834</v>
      </c>
      <c r="B532" s="2">
        <v>36</v>
      </c>
      <c r="C532" s="2" t="str">
        <f>"2705"</f>
        <v>2705</v>
      </c>
      <c r="D532" s="2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32" s="2" t="str">
        <f t="shared" si="94"/>
        <v>1</v>
      </c>
      <c r="F532" s="2" t="str">
        <f>"4"</f>
        <v>4</v>
      </c>
      <c r="G532" s="2" t="str">
        <f>"1"</f>
        <v>1</v>
      </c>
      <c r="H532" s="3">
        <v>4490727.59</v>
      </c>
    </row>
    <row r="533" spans="1:8" x14ac:dyDescent="0.3">
      <c r="A533" s="4">
        <v>44834</v>
      </c>
      <c r="B533" s="2">
        <v>36</v>
      </c>
      <c r="C533" s="2" t="str">
        <f>"2706"</f>
        <v>2706</v>
      </c>
      <c r="D533" s="2" t="str">
        <f>"Начисленные расходы по займам и финансовому лизингу"</f>
        <v>Начисленные расходы по займам и финансовому лизингу</v>
      </c>
      <c r="E533" s="2" t="str">
        <f t="shared" si="94"/>
        <v>1</v>
      </c>
      <c r="F533" s="2" t="str">
        <f>"5"</f>
        <v>5</v>
      </c>
      <c r="G533" s="2" t="str">
        <f>"1"</f>
        <v>1</v>
      </c>
      <c r="H533" s="3">
        <v>27703872.690000001</v>
      </c>
    </row>
    <row r="534" spans="1:8" x14ac:dyDescent="0.3">
      <c r="A534" s="4">
        <v>44834</v>
      </c>
      <c r="B534" s="2">
        <v>36</v>
      </c>
      <c r="C534" s="2" t="str">
        <f>"2707"</f>
        <v>2707</v>
      </c>
      <c r="D534" s="2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34" s="2" t="str">
        <f t="shared" si="94"/>
        <v>1</v>
      </c>
      <c r="F534" s="2" t="str">
        <f>"9"</f>
        <v>9</v>
      </c>
      <c r="G534" s="2" t="str">
        <f>"2"</f>
        <v>2</v>
      </c>
      <c r="H534" s="3">
        <v>13896.1</v>
      </c>
    </row>
    <row r="535" spans="1:8" x14ac:dyDescent="0.3">
      <c r="A535" s="4">
        <v>44834</v>
      </c>
      <c r="B535" s="2">
        <v>36</v>
      </c>
      <c r="C535" s="2" t="str">
        <f>"2712"</f>
        <v>2712</v>
      </c>
      <c r="D535" s="2" t="str">
        <f>"Начисленные расходы по срочным вкладам других банков"</f>
        <v>Начисленные расходы по срочным вкладам других банков</v>
      </c>
      <c r="E535" s="2" t="str">
        <f t="shared" si="94"/>
        <v>1</v>
      </c>
      <c r="F535" s="2" t="str">
        <f>"6"</f>
        <v>6</v>
      </c>
      <c r="G535" s="2" t="str">
        <f>"1"</f>
        <v>1</v>
      </c>
      <c r="H535" s="3">
        <v>541666.67000000004</v>
      </c>
    </row>
    <row r="536" spans="1:8" x14ac:dyDescent="0.3">
      <c r="A536" s="4">
        <v>44834</v>
      </c>
      <c r="B536" s="2">
        <v>36</v>
      </c>
      <c r="C536" s="2" t="str">
        <f>"2712"</f>
        <v>2712</v>
      </c>
      <c r="D536" s="2" t="str">
        <f>"Начисленные расходы по срочным вкладам других банков"</f>
        <v>Начисленные расходы по срочным вкладам других банков</v>
      </c>
      <c r="E536" s="2" t="str">
        <f>"2"</f>
        <v>2</v>
      </c>
      <c r="F536" s="2" t="str">
        <f>"4"</f>
        <v>4</v>
      </c>
      <c r="G536" s="2" t="str">
        <f>"2"</f>
        <v>2</v>
      </c>
      <c r="H536" s="3">
        <v>635611.74</v>
      </c>
    </row>
    <row r="537" spans="1:8" x14ac:dyDescent="0.3">
      <c r="A537" s="4">
        <v>44834</v>
      </c>
      <c r="B537" s="2">
        <v>36</v>
      </c>
      <c r="C537" s="2" t="str">
        <f>"2713"</f>
        <v>2713</v>
      </c>
      <c r="D537" s="2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37" s="2" t="str">
        <f>"1"</f>
        <v>1</v>
      </c>
      <c r="F537" s="2" t="str">
        <f>"4"</f>
        <v>4</v>
      </c>
      <c r="G537" s="2" t="str">
        <f>"2"</f>
        <v>2</v>
      </c>
      <c r="H537" s="3">
        <v>29131.75</v>
      </c>
    </row>
    <row r="538" spans="1:8" x14ac:dyDescent="0.3">
      <c r="A538" s="4">
        <v>44834</v>
      </c>
      <c r="B538" s="2">
        <v>36</v>
      </c>
      <c r="C538" s="2" t="str">
        <f t="shared" ref="C538:C546" si="95">"2719"</f>
        <v>2719</v>
      </c>
      <c r="D538" s="2" t="str">
        <f t="shared" ref="D538:D546" si="96">"Начисленные расходы по условным вкладам клиентов"</f>
        <v>Начисленные расходы по условным вкладам клиентов</v>
      </c>
      <c r="E538" s="2" t="str">
        <f>"1"</f>
        <v>1</v>
      </c>
      <c r="F538" s="2" t="str">
        <f>"9"</f>
        <v>9</v>
      </c>
      <c r="G538" s="2" t="str">
        <f>"1"</f>
        <v>1</v>
      </c>
      <c r="H538" s="3">
        <v>472247.45</v>
      </c>
    </row>
    <row r="539" spans="1:8" x14ac:dyDescent="0.3">
      <c r="A539" s="4">
        <v>44834</v>
      </c>
      <c r="B539" s="2">
        <v>36</v>
      </c>
      <c r="C539" s="2" t="str">
        <f t="shared" si="95"/>
        <v>2719</v>
      </c>
      <c r="D539" s="2" t="str">
        <f t="shared" si="96"/>
        <v>Начисленные расходы по условным вкладам клиентов</v>
      </c>
      <c r="E539" s="2" t="str">
        <f>"1"</f>
        <v>1</v>
      </c>
      <c r="F539" s="2" t="str">
        <f>"7"</f>
        <v>7</v>
      </c>
      <c r="G539" s="2" t="str">
        <f>"1"</f>
        <v>1</v>
      </c>
      <c r="H539" s="3">
        <v>117172501.03</v>
      </c>
    </row>
    <row r="540" spans="1:8" x14ac:dyDescent="0.3">
      <c r="A540" s="4">
        <v>44834</v>
      </c>
      <c r="B540" s="2">
        <v>36</v>
      </c>
      <c r="C540" s="2" t="str">
        <f t="shared" si="95"/>
        <v>2719</v>
      </c>
      <c r="D540" s="2" t="str">
        <f t="shared" si="96"/>
        <v>Начисленные расходы по условным вкладам клиентов</v>
      </c>
      <c r="E540" s="2" t="str">
        <f>"2"</f>
        <v>2</v>
      </c>
      <c r="F540" s="2" t="str">
        <f>"7"</f>
        <v>7</v>
      </c>
      <c r="G540" s="2" t="str">
        <f>"1"</f>
        <v>1</v>
      </c>
      <c r="H540" s="3">
        <v>284349.28999999998</v>
      </c>
    </row>
    <row r="541" spans="1:8" x14ac:dyDescent="0.3">
      <c r="A541" s="4">
        <v>44834</v>
      </c>
      <c r="B541" s="2">
        <v>36</v>
      </c>
      <c r="C541" s="2" t="str">
        <f t="shared" si="95"/>
        <v>2719</v>
      </c>
      <c r="D541" s="2" t="str">
        <f t="shared" si="96"/>
        <v>Начисленные расходы по условным вкладам клиентов</v>
      </c>
      <c r="E541" s="2" t="str">
        <f>"2"</f>
        <v>2</v>
      </c>
      <c r="F541" s="2" t="str">
        <f>"9"</f>
        <v>9</v>
      </c>
      <c r="G541" s="2" t="str">
        <f>"1"</f>
        <v>1</v>
      </c>
      <c r="H541" s="3">
        <v>98204.94</v>
      </c>
    </row>
    <row r="542" spans="1:8" x14ac:dyDescent="0.3">
      <c r="A542" s="4">
        <v>44834</v>
      </c>
      <c r="B542" s="2">
        <v>36</v>
      </c>
      <c r="C542" s="2" t="str">
        <f t="shared" si="95"/>
        <v>2719</v>
      </c>
      <c r="D542" s="2" t="str">
        <f t="shared" si="96"/>
        <v>Начисленные расходы по условным вкладам клиентов</v>
      </c>
      <c r="E542" s="2" t="str">
        <f>"1"</f>
        <v>1</v>
      </c>
      <c r="F542" s="2" t="str">
        <f>"7"</f>
        <v>7</v>
      </c>
      <c r="G542" s="2" t="str">
        <f>"2"</f>
        <v>2</v>
      </c>
      <c r="H542" s="3">
        <v>59550.63</v>
      </c>
    </row>
    <row r="543" spans="1:8" x14ac:dyDescent="0.3">
      <c r="A543" s="4">
        <v>44834</v>
      </c>
      <c r="B543" s="2">
        <v>36</v>
      </c>
      <c r="C543" s="2" t="str">
        <f t="shared" si="95"/>
        <v>2719</v>
      </c>
      <c r="D543" s="2" t="str">
        <f t="shared" si="96"/>
        <v>Начисленные расходы по условным вкладам клиентов</v>
      </c>
      <c r="E543" s="2" t="str">
        <f>"1"</f>
        <v>1</v>
      </c>
      <c r="F543" s="2" t="str">
        <f>"6"</f>
        <v>6</v>
      </c>
      <c r="G543" s="2" t="str">
        <f>"1"</f>
        <v>1</v>
      </c>
      <c r="H543" s="3">
        <v>1731523.11</v>
      </c>
    </row>
    <row r="544" spans="1:8" x14ac:dyDescent="0.3">
      <c r="A544" s="4">
        <v>44834</v>
      </c>
      <c r="B544" s="2">
        <v>36</v>
      </c>
      <c r="C544" s="2" t="str">
        <f t="shared" si="95"/>
        <v>2719</v>
      </c>
      <c r="D544" s="2" t="str">
        <f t="shared" si="96"/>
        <v>Начисленные расходы по условным вкладам клиентов</v>
      </c>
      <c r="E544" s="2" t="str">
        <f>"1"</f>
        <v>1</v>
      </c>
      <c r="F544" s="2" t="str">
        <f>"5"</f>
        <v>5</v>
      </c>
      <c r="G544" s="2" t="str">
        <f>"1"</f>
        <v>1</v>
      </c>
      <c r="H544" s="3">
        <v>2402778.89</v>
      </c>
    </row>
    <row r="545" spans="1:8" x14ac:dyDescent="0.3">
      <c r="A545" s="4">
        <v>44834</v>
      </c>
      <c r="B545" s="2">
        <v>36</v>
      </c>
      <c r="C545" s="2" t="str">
        <f t="shared" si="95"/>
        <v>2719</v>
      </c>
      <c r="D545" s="2" t="str">
        <f t="shared" si="96"/>
        <v>Начисленные расходы по условным вкладам клиентов</v>
      </c>
      <c r="E545" s="2" t="str">
        <f>"1"</f>
        <v>1</v>
      </c>
      <c r="F545" s="2" t="str">
        <f>"8"</f>
        <v>8</v>
      </c>
      <c r="G545" s="2" t="str">
        <f>"1"</f>
        <v>1</v>
      </c>
      <c r="H545" s="3">
        <v>22863264.170000002</v>
      </c>
    </row>
    <row r="546" spans="1:8" x14ac:dyDescent="0.3">
      <c r="A546" s="4">
        <v>44834</v>
      </c>
      <c r="B546" s="2">
        <v>36</v>
      </c>
      <c r="C546" s="2" t="str">
        <f t="shared" si="95"/>
        <v>2719</v>
      </c>
      <c r="D546" s="2" t="str">
        <f t="shared" si="96"/>
        <v>Начисленные расходы по условным вкладам клиентов</v>
      </c>
      <c r="E546" s="2" t="str">
        <f>"2"</f>
        <v>2</v>
      </c>
      <c r="F546" s="2" t="str">
        <f>"7"</f>
        <v>7</v>
      </c>
      <c r="G546" s="2" t="str">
        <f>"2"</f>
        <v>2</v>
      </c>
      <c r="H546" s="3">
        <v>13107411.779999999</v>
      </c>
    </row>
    <row r="547" spans="1:8" x14ac:dyDescent="0.3">
      <c r="A547" s="4">
        <v>44834</v>
      </c>
      <c r="B547" s="2">
        <v>36</v>
      </c>
      <c r="C547" s="2" t="str">
        <f>"2720"</f>
        <v>2720</v>
      </c>
      <c r="D547" s="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47" s="2" t="str">
        <f>"1"</f>
        <v>1</v>
      </c>
      <c r="F547" s="2" t="str">
        <f>"9"</f>
        <v>9</v>
      </c>
      <c r="G547" s="2" t="str">
        <f>"2"</f>
        <v>2</v>
      </c>
      <c r="H547" s="3">
        <v>357.34</v>
      </c>
    </row>
    <row r="548" spans="1:8" x14ac:dyDescent="0.3">
      <c r="A548" s="4">
        <v>44834</v>
      </c>
      <c r="B548" s="2">
        <v>36</v>
      </c>
      <c r="C548" s="2" t="str">
        <f>"2720"</f>
        <v>2720</v>
      </c>
      <c r="D548" s="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48" s="2" t="str">
        <f>"1"</f>
        <v>1</v>
      </c>
      <c r="F548" s="2" t="str">
        <f>"9"</f>
        <v>9</v>
      </c>
      <c r="G548" s="2" t="str">
        <f>"1"</f>
        <v>1</v>
      </c>
      <c r="H548" s="3">
        <v>32.9</v>
      </c>
    </row>
    <row r="549" spans="1:8" x14ac:dyDescent="0.3">
      <c r="A549" s="4">
        <v>44834</v>
      </c>
      <c r="B549" s="2">
        <v>36</v>
      </c>
      <c r="C549" s="2" t="str">
        <f>"2720"</f>
        <v>2720</v>
      </c>
      <c r="D549" s="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49" s="2" t="str">
        <f>"2"</f>
        <v>2</v>
      </c>
      <c r="F549" s="2" t="str">
        <f>"9"</f>
        <v>9</v>
      </c>
      <c r="G549" s="2" t="str">
        <f>"1"</f>
        <v>1</v>
      </c>
      <c r="H549" s="3">
        <v>10.33</v>
      </c>
    </row>
    <row r="550" spans="1:8" x14ac:dyDescent="0.3">
      <c r="A550" s="4">
        <v>44834</v>
      </c>
      <c r="B550" s="2">
        <v>36</v>
      </c>
      <c r="C550" s="2" t="str">
        <f t="shared" ref="C550:C564" si="97">"2721"</f>
        <v>2721</v>
      </c>
      <c r="D550" s="2" t="str">
        <f t="shared" ref="D550:D564" si="98">"Начисленные расходы по срочным вкладам клиентов"</f>
        <v>Начисленные расходы по срочным вкладам клиентов</v>
      </c>
      <c r="E550" s="2" t="str">
        <f>"1"</f>
        <v>1</v>
      </c>
      <c r="F550" s="2" t="str">
        <f>"8"</f>
        <v>8</v>
      </c>
      <c r="G550" s="2" t="str">
        <f>"1"</f>
        <v>1</v>
      </c>
      <c r="H550" s="3">
        <v>112427939.5</v>
      </c>
    </row>
    <row r="551" spans="1:8" x14ac:dyDescent="0.3">
      <c r="A551" s="4">
        <v>44834</v>
      </c>
      <c r="B551" s="2">
        <v>36</v>
      </c>
      <c r="C551" s="2" t="str">
        <f t="shared" si="97"/>
        <v>2721</v>
      </c>
      <c r="D551" s="2" t="str">
        <f t="shared" si="98"/>
        <v>Начисленные расходы по срочным вкладам клиентов</v>
      </c>
      <c r="E551" s="2" t="str">
        <f>"1"</f>
        <v>1</v>
      </c>
      <c r="F551" s="2" t="str">
        <f>"7"</f>
        <v>7</v>
      </c>
      <c r="G551" s="2" t="str">
        <f>"1"</f>
        <v>1</v>
      </c>
      <c r="H551" s="3">
        <v>649291159.86000001</v>
      </c>
    </row>
    <row r="552" spans="1:8" x14ac:dyDescent="0.3">
      <c r="A552" s="4">
        <v>44834</v>
      </c>
      <c r="B552" s="2">
        <v>36</v>
      </c>
      <c r="C552" s="2" t="str">
        <f t="shared" si="97"/>
        <v>2721</v>
      </c>
      <c r="D552" s="2" t="str">
        <f t="shared" si="98"/>
        <v>Начисленные расходы по срочным вкладам клиентов</v>
      </c>
      <c r="E552" s="2" t="str">
        <f>"2"</f>
        <v>2</v>
      </c>
      <c r="F552" s="2" t="str">
        <f>"9"</f>
        <v>9</v>
      </c>
      <c r="G552" s="2" t="str">
        <f>"2"</f>
        <v>2</v>
      </c>
      <c r="H552" s="3">
        <v>2307441.0299999998</v>
      </c>
    </row>
    <row r="553" spans="1:8" x14ac:dyDescent="0.3">
      <c r="A553" s="4">
        <v>44834</v>
      </c>
      <c r="B553" s="2">
        <v>36</v>
      </c>
      <c r="C553" s="2" t="str">
        <f t="shared" si="97"/>
        <v>2721</v>
      </c>
      <c r="D553" s="2" t="str">
        <f t="shared" si="98"/>
        <v>Начисленные расходы по срочным вкладам клиентов</v>
      </c>
      <c r="E553" s="2" t="str">
        <f>"2"</f>
        <v>2</v>
      </c>
      <c r="F553" s="2" t="str">
        <f>"7"</f>
        <v>7</v>
      </c>
      <c r="G553" s="2" t="str">
        <f>"2"</f>
        <v>2</v>
      </c>
      <c r="H553" s="3">
        <v>595.89</v>
      </c>
    </row>
    <row r="554" spans="1:8" x14ac:dyDescent="0.3">
      <c r="A554" s="4">
        <v>44834</v>
      </c>
      <c r="B554" s="2">
        <v>36</v>
      </c>
      <c r="C554" s="2" t="str">
        <f t="shared" si="97"/>
        <v>2721</v>
      </c>
      <c r="D554" s="2" t="str">
        <f t="shared" si="98"/>
        <v>Начисленные расходы по срочным вкладам клиентов</v>
      </c>
      <c r="E554" s="2" t="str">
        <f>"1"</f>
        <v>1</v>
      </c>
      <c r="F554" s="2" t="str">
        <f>"9"</f>
        <v>9</v>
      </c>
      <c r="G554" s="2" t="str">
        <f>"1"</f>
        <v>1</v>
      </c>
      <c r="H554" s="3">
        <v>1675056746.1600001</v>
      </c>
    </row>
    <row r="555" spans="1:8" x14ac:dyDescent="0.3">
      <c r="A555" s="4">
        <v>44834</v>
      </c>
      <c r="B555" s="2">
        <v>36</v>
      </c>
      <c r="C555" s="2" t="str">
        <f t="shared" si="97"/>
        <v>2721</v>
      </c>
      <c r="D555" s="2" t="str">
        <f t="shared" si="98"/>
        <v>Начисленные расходы по срочным вкладам клиентов</v>
      </c>
      <c r="E555" s="2" t="str">
        <f>"1"</f>
        <v>1</v>
      </c>
      <c r="F555" s="2" t="str">
        <f>"7"</f>
        <v>7</v>
      </c>
      <c r="G555" s="2" t="str">
        <f>"3"</f>
        <v>3</v>
      </c>
      <c r="H555" s="3">
        <v>639632.44999999995</v>
      </c>
    </row>
    <row r="556" spans="1:8" x14ac:dyDescent="0.3">
      <c r="A556" s="4">
        <v>44834</v>
      </c>
      <c r="B556" s="2">
        <v>36</v>
      </c>
      <c r="C556" s="2" t="str">
        <f t="shared" si="97"/>
        <v>2721</v>
      </c>
      <c r="D556" s="2" t="str">
        <f t="shared" si="98"/>
        <v>Начисленные расходы по срочным вкладам клиентов</v>
      </c>
      <c r="E556" s="2" t="str">
        <f>"1"</f>
        <v>1</v>
      </c>
      <c r="F556" s="2" t="str">
        <f>"6"</f>
        <v>6</v>
      </c>
      <c r="G556" s="2" t="str">
        <f>"1"</f>
        <v>1</v>
      </c>
      <c r="H556" s="3">
        <v>192017080.62</v>
      </c>
    </row>
    <row r="557" spans="1:8" x14ac:dyDescent="0.3">
      <c r="A557" s="4">
        <v>44834</v>
      </c>
      <c r="B557" s="2">
        <v>36</v>
      </c>
      <c r="C557" s="2" t="str">
        <f t="shared" si="97"/>
        <v>2721</v>
      </c>
      <c r="D557" s="2" t="str">
        <f t="shared" si="98"/>
        <v>Начисленные расходы по срочным вкладам клиентов</v>
      </c>
      <c r="E557" s="2" t="str">
        <f>"1"</f>
        <v>1</v>
      </c>
      <c r="F557" s="2" t="str">
        <f>"5"</f>
        <v>5</v>
      </c>
      <c r="G557" s="2" t="str">
        <f>"1"</f>
        <v>1</v>
      </c>
      <c r="H557" s="3">
        <v>192807615.19999999</v>
      </c>
    </row>
    <row r="558" spans="1:8" x14ac:dyDescent="0.3">
      <c r="A558" s="4">
        <v>44834</v>
      </c>
      <c r="B558" s="2">
        <v>36</v>
      </c>
      <c r="C558" s="2" t="str">
        <f t="shared" si="97"/>
        <v>2721</v>
      </c>
      <c r="D558" s="2" t="str">
        <f t="shared" si="98"/>
        <v>Начисленные расходы по срочным вкладам клиентов</v>
      </c>
      <c r="E558" s="2" t="str">
        <f>"1"</f>
        <v>1</v>
      </c>
      <c r="F558" s="2" t="str">
        <f>"8"</f>
        <v>8</v>
      </c>
      <c r="G558" s="2" t="str">
        <f>"2"</f>
        <v>2</v>
      </c>
      <c r="H558" s="3">
        <v>24518282.199999999</v>
      </c>
    </row>
    <row r="559" spans="1:8" x14ac:dyDescent="0.3">
      <c r="A559" s="4">
        <v>44834</v>
      </c>
      <c r="B559" s="2">
        <v>36</v>
      </c>
      <c r="C559" s="2" t="str">
        <f t="shared" si="97"/>
        <v>2721</v>
      </c>
      <c r="D559" s="2" t="str">
        <f t="shared" si="98"/>
        <v>Начисленные расходы по срочным вкладам клиентов</v>
      </c>
      <c r="E559" s="2" t="str">
        <f>"2"</f>
        <v>2</v>
      </c>
      <c r="F559" s="2" t="str">
        <f>"9"</f>
        <v>9</v>
      </c>
      <c r="G559" s="2" t="str">
        <f>"3"</f>
        <v>3</v>
      </c>
      <c r="H559" s="3">
        <v>6043.96</v>
      </c>
    </row>
    <row r="560" spans="1:8" x14ac:dyDescent="0.3">
      <c r="A560" s="4">
        <v>44834</v>
      </c>
      <c r="B560" s="2">
        <v>36</v>
      </c>
      <c r="C560" s="2" t="str">
        <f t="shared" si="97"/>
        <v>2721</v>
      </c>
      <c r="D560" s="2" t="str">
        <f t="shared" si="98"/>
        <v>Начисленные расходы по срочным вкладам клиентов</v>
      </c>
      <c r="E560" s="2" t="str">
        <f>"1"</f>
        <v>1</v>
      </c>
      <c r="F560" s="2" t="str">
        <f>"9"</f>
        <v>9</v>
      </c>
      <c r="G560" s="2" t="str">
        <f>"3"</f>
        <v>3</v>
      </c>
      <c r="H560" s="3">
        <v>570352.66</v>
      </c>
    </row>
    <row r="561" spans="1:8" x14ac:dyDescent="0.3">
      <c r="A561" s="4">
        <v>44834</v>
      </c>
      <c r="B561" s="2">
        <v>36</v>
      </c>
      <c r="C561" s="2" t="str">
        <f t="shared" si="97"/>
        <v>2721</v>
      </c>
      <c r="D561" s="2" t="str">
        <f t="shared" si="98"/>
        <v>Начисленные расходы по срочным вкладам клиентов</v>
      </c>
      <c r="E561" s="2" t="str">
        <f>"1"</f>
        <v>1</v>
      </c>
      <c r="F561" s="2" t="str">
        <f>"9"</f>
        <v>9</v>
      </c>
      <c r="G561" s="2" t="str">
        <f>"2"</f>
        <v>2</v>
      </c>
      <c r="H561" s="3">
        <v>70827064.579999998</v>
      </c>
    </row>
    <row r="562" spans="1:8" x14ac:dyDescent="0.3">
      <c r="A562" s="4">
        <v>44834</v>
      </c>
      <c r="B562" s="2">
        <v>36</v>
      </c>
      <c r="C562" s="2" t="str">
        <f t="shared" si="97"/>
        <v>2721</v>
      </c>
      <c r="D562" s="2" t="str">
        <f t="shared" si="98"/>
        <v>Начисленные расходы по срочным вкладам клиентов</v>
      </c>
      <c r="E562" s="2" t="str">
        <f>"1"</f>
        <v>1</v>
      </c>
      <c r="F562" s="2" t="str">
        <f>"7"</f>
        <v>7</v>
      </c>
      <c r="G562" s="2" t="str">
        <f>"2"</f>
        <v>2</v>
      </c>
      <c r="H562" s="3">
        <v>10898420.08</v>
      </c>
    </row>
    <row r="563" spans="1:8" x14ac:dyDescent="0.3">
      <c r="A563" s="4">
        <v>44834</v>
      </c>
      <c r="B563" s="2">
        <v>36</v>
      </c>
      <c r="C563" s="2" t="str">
        <f t="shared" si="97"/>
        <v>2721</v>
      </c>
      <c r="D563" s="2" t="str">
        <f t="shared" si="98"/>
        <v>Начисленные расходы по срочным вкладам клиентов</v>
      </c>
      <c r="E563" s="2" t="str">
        <f>"2"</f>
        <v>2</v>
      </c>
      <c r="F563" s="2" t="str">
        <f>"9"</f>
        <v>9</v>
      </c>
      <c r="G563" s="2" t="str">
        <f>"1"</f>
        <v>1</v>
      </c>
      <c r="H563" s="3">
        <v>22275288.420000002</v>
      </c>
    </row>
    <row r="564" spans="1:8" x14ac:dyDescent="0.3">
      <c r="A564" s="4">
        <v>44834</v>
      </c>
      <c r="B564" s="2">
        <v>36</v>
      </c>
      <c r="C564" s="2" t="str">
        <f t="shared" si="97"/>
        <v>2721</v>
      </c>
      <c r="D564" s="2" t="str">
        <f t="shared" si="98"/>
        <v>Начисленные расходы по срочным вкладам клиентов</v>
      </c>
      <c r="E564" s="2" t="str">
        <f>"1"</f>
        <v>1</v>
      </c>
      <c r="F564" s="2" t="str">
        <f>"5"</f>
        <v>5</v>
      </c>
      <c r="G564" s="2" t="str">
        <f>"2"</f>
        <v>2</v>
      </c>
      <c r="H564" s="3">
        <v>4185.51</v>
      </c>
    </row>
    <row r="565" spans="1:8" x14ac:dyDescent="0.3">
      <c r="A565" s="4">
        <v>44834</v>
      </c>
      <c r="B565" s="2">
        <v>36</v>
      </c>
      <c r="C565" s="2" t="str">
        <f>"2723"</f>
        <v>2723</v>
      </c>
      <c r="D565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5" s="2" t="str">
        <f>"2"</f>
        <v>2</v>
      </c>
      <c r="F565" s="2" t="str">
        <f>"9"</f>
        <v>9</v>
      </c>
      <c r="G565" s="2" t="str">
        <f>"2"</f>
        <v>2</v>
      </c>
      <c r="H565" s="3">
        <v>1098730.74</v>
      </c>
    </row>
    <row r="566" spans="1:8" x14ac:dyDescent="0.3">
      <c r="A566" s="4">
        <v>44834</v>
      </c>
      <c r="B566" s="2">
        <v>36</v>
      </c>
      <c r="C566" s="2" t="str">
        <f>"2723"</f>
        <v>2723</v>
      </c>
      <c r="D566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6" s="2" t="str">
        <f t="shared" ref="E566:E571" si="99">"1"</f>
        <v>1</v>
      </c>
      <c r="F566" s="2" t="str">
        <f>"7"</f>
        <v>7</v>
      </c>
      <c r="G566" s="2" t="str">
        <f>"2"</f>
        <v>2</v>
      </c>
      <c r="H566" s="3">
        <v>1705563.5</v>
      </c>
    </row>
    <row r="567" spans="1:8" x14ac:dyDescent="0.3">
      <c r="A567" s="4">
        <v>44834</v>
      </c>
      <c r="B567" s="2">
        <v>36</v>
      </c>
      <c r="C567" s="2" t="str">
        <f>"2723"</f>
        <v>2723</v>
      </c>
      <c r="D567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7" s="2" t="str">
        <f t="shared" si="99"/>
        <v>1</v>
      </c>
      <c r="F567" s="2" t="str">
        <f>"9"</f>
        <v>9</v>
      </c>
      <c r="G567" s="2" t="str">
        <f>"2"</f>
        <v>2</v>
      </c>
      <c r="H567" s="3">
        <v>4267449.9400000004</v>
      </c>
    </row>
    <row r="568" spans="1:8" x14ac:dyDescent="0.3">
      <c r="A568" s="4">
        <v>44834</v>
      </c>
      <c r="B568" s="2">
        <v>36</v>
      </c>
      <c r="C568" s="2" t="str">
        <f>"2723"</f>
        <v>2723</v>
      </c>
      <c r="D568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8" s="2" t="str">
        <f t="shared" si="99"/>
        <v>1</v>
      </c>
      <c r="F568" s="2" t="str">
        <f>"7"</f>
        <v>7</v>
      </c>
      <c r="G568" s="2" t="str">
        <f>"1"</f>
        <v>1</v>
      </c>
      <c r="H568" s="3">
        <v>11248205.58</v>
      </c>
    </row>
    <row r="569" spans="1:8" x14ac:dyDescent="0.3">
      <c r="A569" s="4">
        <v>44834</v>
      </c>
      <c r="B569" s="2">
        <v>36</v>
      </c>
      <c r="C569" s="2" t="str">
        <f>"2723"</f>
        <v>2723</v>
      </c>
      <c r="D569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9" s="2" t="str">
        <f t="shared" si="99"/>
        <v>1</v>
      </c>
      <c r="F569" s="2" t="str">
        <f>"9"</f>
        <v>9</v>
      </c>
      <c r="G569" s="2" t="str">
        <f>"1"</f>
        <v>1</v>
      </c>
      <c r="H569" s="3">
        <v>26948861.91</v>
      </c>
    </row>
    <row r="570" spans="1:8" x14ac:dyDescent="0.3">
      <c r="A570" s="4">
        <v>44834</v>
      </c>
      <c r="B570" s="2">
        <v>36</v>
      </c>
      <c r="C570" s="2" t="str">
        <f t="shared" ref="C570:C576" si="100">"2724"</f>
        <v>2724</v>
      </c>
      <c r="D570" s="2" t="str">
        <f t="shared" ref="D570:D576" si="101">"Начисленные расходы по сберегательным вкладам клиентов"</f>
        <v>Начисленные расходы по сберегательным вкладам клиентов</v>
      </c>
      <c r="E570" s="2" t="str">
        <f t="shared" si="99"/>
        <v>1</v>
      </c>
      <c r="F570" s="2" t="str">
        <f>"9"</f>
        <v>9</v>
      </c>
      <c r="G570" s="2" t="str">
        <f>"2"</f>
        <v>2</v>
      </c>
      <c r="H570" s="3">
        <v>231190.05</v>
      </c>
    </row>
    <row r="571" spans="1:8" x14ac:dyDescent="0.3">
      <c r="A571" s="4">
        <v>44834</v>
      </c>
      <c r="B571" s="2">
        <v>36</v>
      </c>
      <c r="C571" s="2" t="str">
        <f t="shared" si="100"/>
        <v>2724</v>
      </c>
      <c r="D571" s="2" t="str">
        <f t="shared" si="101"/>
        <v>Начисленные расходы по сберегательным вкладам клиентов</v>
      </c>
      <c r="E571" s="2" t="str">
        <f t="shared" si="99"/>
        <v>1</v>
      </c>
      <c r="F571" s="2" t="str">
        <f>"8"</f>
        <v>8</v>
      </c>
      <c r="G571" s="2" t="str">
        <f>"1"</f>
        <v>1</v>
      </c>
      <c r="H571" s="3">
        <v>191059576.72999999</v>
      </c>
    </row>
    <row r="572" spans="1:8" x14ac:dyDescent="0.3">
      <c r="A572" s="4">
        <v>44834</v>
      </c>
      <c r="B572" s="2">
        <v>36</v>
      </c>
      <c r="C572" s="2" t="str">
        <f t="shared" si="100"/>
        <v>2724</v>
      </c>
      <c r="D572" s="2" t="str">
        <f t="shared" si="101"/>
        <v>Начисленные расходы по сберегательным вкладам клиентов</v>
      </c>
      <c r="E572" s="2" t="str">
        <f>"2"</f>
        <v>2</v>
      </c>
      <c r="F572" s="2" t="str">
        <f>"9"</f>
        <v>9</v>
      </c>
      <c r="G572" s="2" t="str">
        <f>"1"</f>
        <v>1</v>
      </c>
      <c r="H572" s="3">
        <v>1285104.05</v>
      </c>
    </row>
    <row r="573" spans="1:8" x14ac:dyDescent="0.3">
      <c r="A573" s="4">
        <v>44834</v>
      </c>
      <c r="B573" s="2">
        <v>36</v>
      </c>
      <c r="C573" s="2" t="str">
        <f t="shared" si="100"/>
        <v>2724</v>
      </c>
      <c r="D573" s="2" t="str">
        <f t="shared" si="101"/>
        <v>Начисленные расходы по сберегательным вкладам клиентов</v>
      </c>
      <c r="E573" s="2" t="str">
        <f t="shared" ref="E573:E585" si="102">"1"</f>
        <v>1</v>
      </c>
      <c r="F573" s="2" t="str">
        <f>"9"</f>
        <v>9</v>
      </c>
      <c r="G573" s="2" t="str">
        <f>"1"</f>
        <v>1</v>
      </c>
      <c r="H573" s="3">
        <v>142206495.06999999</v>
      </c>
    </row>
    <row r="574" spans="1:8" x14ac:dyDescent="0.3">
      <c r="A574" s="4">
        <v>44834</v>
      </c>
      <c r="B574" s="2">
        <v>36</v>
      </c>
      <c r="C574" s="2" t="str">
        <f t="shared" si="100"/>
        <v>2724</v>
      </c>
      <c r="D574" s="2" t="str">
        <f t="shared" si="101"/>
        <v>Начисленные расходы по сберегательным вкладам клиентов</v>
      </c>
      <c r="E574" s="2" t="str">
        <f t="shared" si="102"/>
        <v>1</v>
      </c>
      <c r="F574" s="2" t="str">
        <f>"7"</f>
        <v>7</v>
      </c>
      <c r="G574" s="2" t="str">
        <f>"1"</f>
        <v>1</v>
      </c>
      <c r="H574" s="3">
        <v>26506910.66</v>
      </c>
    </row>
    <row r="575" spans="1:8" x14ac:dyDescent="0.3">
      <c r="A575" s="4">
        <v>44834</v>
      </c>
      <c r="B575" s="2">
        <v>36</v>
      </c>
      <c r="C575" s="2" t="str">
        <f t="shared" si="100"/>
        <v>2724</v>
      </c>
      <c r="D575" s="2" t="str">
        <f t="shared" si="101"/>
        <v>Начисленные расходы по сберегательным вкладам клиентов</v>
      </c>
      <c r="E575" s="2" t="str">
        <f t="shared" si="102"/>
        <v>1</v>
      </c>
      <c r="F575" s="2" t="str">
        <f>"6"</f>
        <v>6</v>
      </c>
      <c r="G575" s="2" t="str">
        <f>"1"</f>
        <v>1</v>
      </c>
      <c r="H575" s="3">
        <v>77709755.540000007</v>
      </c>
    </row>
    <row r="576" spans="1:8" x14ac:dyDescent="0.3">
      <c r="A576" s="4">
        <v>44834</v>
      </c>
      <c r="B576" s="2">
        <v>36</v>
      </c>
      <c r="C576" s="2" t="str">
        <f t="shared" si="100"/>
        <v>2724</v>
      </c>
      <c r="D576" s="2" t="str">
        <f t="shared" si="101"/>
        <v>Начисленные расходы по сберегательным вкладам клиентов</v>
      </c>
      <c r="E576" s="2" t="str">
        <f t="shared" si="102"/>
        <v>1</v>
      </c>
      <c r="F576" s="2" t="str">
        <f>"8"</f>
        <v>8</v>
      </c>
      <c r="G576" s="2" t="str">
        <f>"2"</f>
        <v>2</v>
      </c>
      <c r="H576" s="3">
        <v>33166755.030000001</v>
      </c>
    </row>
    <row r="577" spans="1:8" x14ac:dyDescent="0.3">
      <c r="A577" s="4">
        <v>44834</v>
      </c>
      <c r="B577" s="2">
        <v>36</v>
      </c>
      <c r="C577" s="2" t="str">
        <f>"2725"</f>
        <v>2725</v>
      </c>
      <c r="D577" s="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77" s="2" t="str">
        <f t="shared" si="102"/>
        <v>1</v>
      </c>
      <c r="F577" s="2" t="str">
        <f>"5"</f>
        <v>5</v>
      </c>
      <c r="G577" s="2" t="str">
        <f>"2"</f>
        <v>2</v>
      </c>
      <c r="H577" s="3">
        <v>1194225.29</v>
      </c>
    </row>
    <row r="578" spans="1:8" x14ac:dyDescent="0.3">
      <c r="A578" s="4">
        <v>44834</v>
      </c>
      <c r="B578" s="2">
        <v>36</v>
      </c>
      <c r="C578" s="2" t="str">
        <f>"2730"</f>
        <v>2730</v>
      </c>
      <c r="D578" s="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78" s="2" t="str">
        <f t="shared" si="102"/>
        <v>1</v>
      </c>
      <c r="F578" s="2" t="str">
        <f>"5"</f>
        <v>5</v>
      </c>
      <c r="G578" s="2" t="str">
        <f>"2"</f>
        <v>2</v>
      </c>
      <c r="H578" s="3">
        <v>81676311.739999995</v>
      </c>
    </row>
    <row r="579" spans="1:8" x14ac:dyDescent="0.3">
      <c r="A579" s="4">
        <v>44834</v>
      </c>
      <c r="B579" s="2">
        <v>36</v>
      </c>
      <c r="C579" s="2" t="str">
        <f>"2730"</f>
        <v>2730</v>
      </c>
      <c r="D579" s="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79" s="2" t="str">
        <f t="shared" si="102"/>
        <v>1</v>
      </c>
      <c r="F579" s="2" t="str">
        <f>"5"</f>
        <v>5</v>
      </c>
      <c r="G579" s="2" t="str">
        <f t="shared" ref="G579:G589" si="103">"1"</f>
        <v>1</v>
      </c>
      <c r="H579" s="3">
        <v>5171006541.4799995</v>
      </c>
    </row>
    <row r="580" spans="1:8" x14ac:dyDescent="0.3">
      <c r="A580" s="4">
        <v>44834</v>
      </c>
      <c r="B580" s="2">
        <v>36</v>
      </c>
      <c r="C580" s="2" t="str">
        <f>"2756"</f>
        <v>2756</v>
      </c>
      <c r="D580" s="2" t="str">
        <f>"Начисленные расходы по субординированным облигациям"</f>
        <v>Начисленные расходы по субординированным облигациям</v>
      </c>
      <c r="E580" s="2" t="str">
        <f t="shared" si="102"/>
        <v>1</v>
      </c>
      <c r="F580" s="2" t="str">
        <f>"5"</f>
        <v>5</v>
      </c>
      <c r="G580" s="2" t="str">
        <f t="shared" si="103"/>
        <v>1</v>
      </c>
      <c r="H580" s="3">
        <v>8386288131.9700003</v>
      </c>
    </row>
    <row r="581" spans="1:8" x14ac:dyDescent="0.3">
      <c r="A581" s="4">
        <v>44834</v>
      </c>
      <c r="B581" s="2">
        <v>36</v>
      </c>
      <c r="C581" s="2" t="str">
        <f t="shared" ref="C581:C588" si="104">"2770"</f>
        <v>2770</v>
      </c>
      <c r="D581" s="2" t="str">
        <f t="shared" ref="D581:D588" si="105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81" s="2" t="str">
        <f t="shared" si="102"/>
        <v>1</v>
      </c>
      <c r="F581" s="2" t="str">
        <f>"6"</f>
        <v>6</v>
      </c>
      <c r="G581" s="2" t="str">
        <f t="shared" si="103"/>
        <v>1</v>
      </c>
      <c r="H581" s="3">
        <v>42784472.109999999</v>
      </c>
    </row>
    <row r="582" spans="1:8" x14ac:dyDescent="0.3">
      <c r="A582" s="4">
        <v>44834</v>
      </c>
      <c r="B582" s="2">
        <v>36</v>
      </c>
      <c r="C582" s="2" t="str">
        <f t="shared" si="104"/>
        <v>2770</v>
      </c>
      <c r="D582" s="2" t="str">
        <f t="shared" si="105"/>
        <v>Начисленные расходы по административно-хозяйственной деятельности</v>
      </c>
      <c r="E582" s="2" t="str">
        <f t="shared" si="102"/>
        <v>1</v>
      </c>
      <c r="F582" s="2" t="str">
        <f>"4"</f>
        <v>4</v>
      </c>
      <c r="G582" s="2" t="str">
        <f t="shared" si="103"/>
        <v>1</v>
      </c>
      <c r="H582" s="3">
        <v>329587160.99000001</v>
      </c>
    </row>
    <row r="583" spans="1:8" x14ac:dyDescent="0.3">
      <c r="A583" s="4">
        <v>44834</v>
      </c>
      <c r="B583" s="2">
        <v>36</v>
      </c>
      <c r="C583" s="2" t="str">
        <f t="shared" si="104"/>
        <v>2770</v>
      </c>
      <c r="D583" s="2" t="str">
        <f t="shared" si="105"/>
        <v>Начисленные расходы по административно-хозяйственной деятельности</v>
      </c>
      <c r="E583" s="2" t="str">
        <f t="shared" si="102"/>
        <v>1</v>
      </c>
      <c r="F583" s="2" t="str">
        <f>"7"</f>
        <v>7</v>
      </c>
      <c r="G583" s="2" t="str">
        <f t="shared" si="103"/>
        <v>1</v>
      </c>
      <c r="H583" s="3">
        <v>881770338.55999994</v>
      </c>
    </row>
    <row r="584" spans="1:8" x14ac:dyDescent="0.3">
      <c r="A584" s="4">
        <v>44834</v>
      </c>
      <c r="B584" s="2">
        <v>36</v>
      </c>
      <c r="C584" s="2" t="str">
        <f t="shared" si="104"/>
        <v>2770</v>
      </c>
      <c r="D584" s="2" t="str">
        <f t="shared" si="105"/>
        <v>Начисленные расходы по административно-хозяйственной деятельности</v>
      </c>
      <c r="E584" s="2" t="str">
        <f t="shared" si="102"/>
        <v>1</v>
      </c>
      <c r="F584" s="2" t="str">
        <f>"1"</f>
        <v>1</v>
      </c>
      <c r="G584" s="2" t="str">
        <f t="shared" si="103"/>
        <v>1</v>
      </c>
      <c r="H584" s="3">
        <v>2393</v>
      </c>
    </row>
    <row r="585" spans="1:8" x14ac:dyDescent="0.3">
      <c r="A585" s="4">
        <v>44834</v>
      </c>
      <c r="B585" s="2">
        <v>36</v>
      </c>
      <c r="C585" s="2" t="str">
        <f t="shared" si="104"/>
        <v>2770</v>
      </c>
      <c r="D585" s="2" t="str">
        <f t="shared" si="105"/>
        <v>Начисленные расходы по административно-хозяйственной деятельности</v>
      </c>
      <c r="E585" s="2" t="str">
        <f t="shared" si="102"/>
        <v>1</v>
      </c>
      <c r="F585" s="2" t="str">
        <f>"9"</f>
        <v>9</v>
      </c>
      <c r="G585" s="2" t="str">
        <f t="shared" si="103"/>
        <v>1</v>
      </c>
      <c r="H585" s="3">
        <v>34642500.270000003</v>
      </c>
    </row>
    <row r="586" spans="1:8" x14ac:dyDescent="0.3">
      <c r="A586" s="4">
        <v>44834</v>
      </c>
      <c r="B586" s="2">
        <v>36</v>
      </c>
      <c r="C586" s="2" t="str">
        <f t="shared" si="104"/>
        <v>2770</v>
      </c>
      <c r="D586" s="2" t="str">
        <f t="shared" si="105"/>
        <v>Начисленные расходы по административно-хозяйственной деятельности</v>
      </c>
      <c r="E586" s="2" t="str">
        <f>"2"</f>
        <v>2</v>
      </c>
      <c r="F586" s="2" t="str">
        <f>"7"</f>
        <v>7</v>
      </c>
      <c r="G586" s="2" t="str">
        <f t="shared" si="103"/>
        <v>1</v>
      </c>
      <c r="H586" s="3">
        <v>135467731.40000001</v>
      </c>
    </row>
    <row r="587" spans="1:8" x14ac:dyDescent="0.3">
      <c r="A587" s="4">
        <v>44834</v>
      </c>
      <c r="B587" s="2">
        <v>36</v>
      </c>
      <c r="C587" s="2" t="str">
        <f t="shared" si="104"/>
        <v>2770</v>
      </c>
      <c r="D587" s="2" t="str">
        <f t="shared" si="105"/>
        <v>Начисленные расходы по административно-хозяйственной деятельности</v>
      </c>
      <c r="E587" s="2" t="str">
        <f>"1"</f>
        <v>1</v>
      </c>
      <c r="F587" s="2" t="str">
        <f>"5"</f>
        <v>5</v>
      </c>
      <c r="G587" s="2" t="str">
        <f t="shared" si="103"/>
        <v>1</v>
      </c>
      <c r="H587" s="3">
        <v>6997222.1200000001</v>
      </c>
    </row>
    <row r="588" spans="1:8" x14ac:dyDescent="0.3">
      <c r="A588" s="4">
        <v>44834</v>
      </c>
      <c r="B588" s="2">
        <v>36</v>
      </c>
      <c r="C588" s="2" t="str">
        <f t="shared" si="104"/>
        <v>2770</v>
      </c>
      <c r="D588" s="2" t="str">
        <f t="shared" si="105"/>
        <v>Начисленные расходы по административно-хозяйственной деятельности</v>
      </c>
      <c r="E588" s="2" t="str">
        <f>"1"</f>
        <v>1</v>
      </c>
      <c r="F588" s="2" t="str">
        <f>"8"</f>
        <v>8</v>
      </c>
      <c r="G588" s="2" t="str">
        <f t="shared" si="103"/>
        <v>1</v>
      </c>
      <c r="H588" s="3">
        <v>227724.26</v>
      </c>
    </row>
    <row r="589" spans="1:8" x14ac:dyDescent="0.3">
      <c r="A589" s="4">
        <v>44834</v>
      </c>
      <c r="B589" s="2">
        <v>36</v>
      </c>
      <c r="C589" s="2" t="str">
        <f>"2792"</f>
        <v>2792</v>
      </c>
      <c r="D589" s="2" t="str">
        <f>"Предоплата вознаграждения по предоставленным займам"</f>
        <v>Предоплата вознаграждения по предоставленным займам</v>
      </c>
      <c r="E589" s="2" t="str">
        <f>"1"</f>
        <v>1</v>
      </c>
      <c r="F589" s="2" t="str">
        <f>"1"</f>
        <v>1</v>
      </c>
      <c r="G589" s="2" t="str">
        <f t="shared" si="103"/>
        <v>1</v>
      </c>
      <c r="H589" s="3">
        <v>195539010</v>
      </c>
    </row>
    <row r="590" spans="1:8" x14ac:dyDescent="0.3">
      <c r="A590" s="4">
        <v>44834</v>
      </c>
      <c r="B590" s="2">
        <v>36</v>
      </c>
      <c r="C590" s="2" t="str">
        <f t="shared" ref="C590:C600" si="106">"2794"</f>
        <v>2794</v>
      </c>
      <c r="D590" s="2" t="str">
        <f t="shared" ref="D590:D600" si="107">"Доходы будущих периодов"</f>
        <v>Доходы будущих периодов</v>
      </c>
      <c r="E590" s="2" t="str">
        <f>"2"</f>
        <v>2</v>
      </c>
      <c r="F590" s="2" t="str">
        <f>"5"</f>
        <v>5</v>
      </c>
      <c r="G590" s="2" t="str">
        <f>"2"</f>
        <v>2</v>
      </c>
      <c r="H590" s="3">
        <v>3511846.3</v>
      </c>
    </row>
    <row r="591" spans="1:8" x14ac:dyDescent="0.3">
      <c r="A591" s="4">
        <v>44834</v>
      </c>
      <c r="B591" s="2">
        <v>36</v>
      </c>
      <c r="C591" s="2" t="str">
        <f t="shared" si="106"/>
        <v>2794</v>
      </c>
      <c r="D591" s="2" t="str">
        <f t="shared" si="107"/>
        <v>Доходы будущих периодов</v>
      </c>
      <c r="E591" s="2" t="str">
        <f>"2"</f>
        <v>2</v>
      </c>
      <c r="F591" s="2" t="str">
        <f>"7"</f>
        <v>7</v>
      </c>
      <c r="G591" s="2" t="str">
        <f>"2"</f>
        <v>2</v>
      </c>
      <c r="H591" s="3">
        <v>350272500</v>
      </c>
    </row>
    <row r="592" spans="1:8" x14ac:dyDescent="0.3">
      <c r="A592" s="4">
        <v>44834</v>
      </c>
      <c r="B592" s="2">
        <v>36</v>
      </c>
      <c r="C592" s="2" t="str">
        <f t="shared" si="106"/>
        <v>2794</v>
      </c>
      <c r="D592" s="2" t="str">
        <f t="shared" si="107"/>
        <v>Доходы будущих периодов</v>
      </c>
      <c r="E592" s="2" t="str">
        <f>"1"</f>
        <v>1</v>
      </c>
      <c r="F592" s="2" t="str">
        <f>"1"</f>
        <v>1</v>
      </c>
      <c r="G592" s="2" t="str">
        <f>"1"</f>
        <v>1</v>
      </c>
      <c r="H592" s="3">
        <v>199406.66</v>
      </c>
    </row>
    <row r="593" spans="1:8" x14ac:dyDescent="0.3">
      <c r="A593" s="4">
        <v>44834</v>
      </c>
      <c r="B593" s="2">
        <v>36</v>
      </c>
      <c r="C593" s="2" t="str">
        <f t="shared" si="106"/>
        <v>2794</v>
      </c>
      <c r="D593" s="2" t="str">
        <f t="shared" si="107"/>
        <v>Доходы будущих периодов</v>
      </c>
      <c r="E593" s="2" t="str">
        <f>"1"</f>
        <v>1</v>
      </c>
      <c r="F593" s="2" t="str">
        <f>"5"</f>
        <v>5</v>
      </c>
      <c r="G593" s="2" t="str">
        <f>"1"</f>
        <v>1</v>
      </c>
      <c r="H593" s="3">
        <v>2479560.3199999998</v>
      </c>
    </row>
    <row r="594" spans="1:8" x14ac:dyDescent="0.3">
      <c r="A594" s="4">
        <v>44834</v>
      </c>
      <c r="B594" s="2">
        <v>36</v>
      </c>
      <c r="C594" s="2" t="str">
        <f t="shared" si="106"/>
        <v>2794</v>
      </c>
      <c r="D594" s="2" t="str">
        <f t="shared" si="107"/>
        <v>Доходы будущих периодов</v>
      </c>
      <c r="E594" s="2" t="str">
        <f>"1"</f>
        <v>1</v>
      </c>
      <c r="F594" s="2" t="str">
        <f>"6"</f>
        <v>6</v>
      </c>
      <c r="G594" s="2" t="str">
        <f>"1"</f>
        <v>1</v>
      </c>
      <c r="H594" s="3">
        <v>1562129.8</v>
      </c>
    </row>
    <row r="595" spans="1:8" x14ac:dyDescent="0.3">
      <c r="A595" s="4">
        <v>44834</v>
      </c>
      <c r="B595" s="2">
        <v>36</v>
      </c>
      <c r="C595" s="2" t="str">
        <f t="shared" si="106"/>
        <v>2794</v>
      </c>
      <c r="D595" s="2" t="str">
        <f t="shared" si="107"/>
        <v>Доходы будущих периодов</v>
      </c>
      <c r="E595" s="2" t="str">
        <f>"2"</f>
        <v>2</v>
      </c>
      <c r="F595" s="2" t="str">
        <f>"9"</f>
        <v>9</v>
      </c>
      <c r="G595" s="2" t="str">
        <f>"1"</f>
        <v>1</v>
      </c>
      <c r="H595" s="3">
        <v>2092014.19</v>
      </c>
    </row>
    <row r="596" spans="1:8" x14ac:dyDescent="0.3">
      <c r="A596" s="4">
        <v>44834</v>
      </c>
      <c r="B596" s="2">
        <v>36</v>
      </c>
      <c r="C596" s="2" t="str">
        <f t="shared" si="106"/>
        <v>2794</v>
      </c>
      <c r="D596" s="2" t="str">
        <f t="shared" si="107"/>
        <v>Доходы будущих периодов</v>
      </c>
      <c r="E596" s="2" t="str">
        <f>"2"</f>
        <v>2</v>
      </c>
      <c r="F596" s="2" t="str">
        <f>"7"</f>
        <v>7</v>
      </c>
      <c r="G596" s="2" t="str">
        <f>"1"</f>
        <v>1</v>
      </c>
      <c r="H596" s="3">
        <v>3000</v>
      </c>
    </row>
    <row r="597" spans="1:8" x14ac:dyDescent="0.3">
      <c r="A597" s="4">
        <v>44834</v>
      </c>
      <c r="B597" s="2">
        <v>36</v>
      </c>
      <c r="C597" s="2" t="str">
        <f t="shared" si="106"/>
        <v>2794</v>
      </c>
      <c r="D597" s="2" t="str">
        <f t="shared" si="107"/>
        <v>Доходы будущих периодов</v>
      </c>
      <c r="E597" s="2" t="str">
        <f>"1"</f>
        <v>1</v>
      </c>
      <c r="F597" s="2" t="str">
        <f>"7"</f>
        <v>7</v>
      </c>
      <c r="G597" s="2" t="str">
        <f>"2"</f>
        <v>2</v>
      </c>
      <c r="H597" s="3">
        <v>6058601.71</v>
      </c>
    </row>
    <row r="598" spans="1:8" x14ac:dyDescent="0.3">
      <c r="A598" s="4">
        <v>44834</v>
      </c>
      <c r="B598" s="2">
        <v>36</v>
      </c>
      <c r="C598" s="2" t="str">
        <f t="shared" si="106"/>
        <v>2794</v>
      </c>
      <c r="D598" s="2" t="str">
        <f t="shared" si="107"/>
        <v>Доходы будущих периодов</v>
      </c>
      <c r="E598" s="2" t="str">
        <f>"1"</f>
        <v>1</v>
      </c>
      <c r="F598" s="2" t="str">
        <f>"8"</f>
        <v>8</v>
      </c>
      <c r="G598" s="2" t="str">
        <f t="shared" ref="G598:G606" si="108">"1"</f>
        <v>1</v>
      </c>
      <c r="H598" s="3">
        <v>290650</v>
      </c>
    </row>
    <row r="599" spans="1:8" x14ac:dyDescent="0.3">
      <c r="A599" s="4">
        <v>44834</v>
      </c>
      <c r="B599" s="2">
        <v>36</v>
      </c>
      <c r="C599" s="2" t="str">
        <f t="shared" si="106"/>
        <v>2794</v>
      </c>
      <c r="D599" s="2" t="str">
        <f t="shared" si="107"/>
        <v>Доходы будущих периодов</v>
      </c>
      <c r="E599" s="2" t="str">
        <f>"1"</f>
        <v>1</v>
      </c>
      <c r="F599" s="2" t="str">
        <f>"7"</f>
        <v>7</v>
      </c>
      <c r="G599" s="2" t="str">
        <f t="shared" si="108"/>
        <v>1</v>
      </c>
      <c r="H599" s="3">
        <v>162550738.27000001</v>
      </c>
    </row>
    <row r="600" spans="1:8" x14ac:dyDescent="0.3">
      <c r="A600" s="4">
        <v>44834</v>
      </c>
      <c r="B600" s="2">
        <v>36</v>
      </c>
      <c r="C600" s="2" t="str">
        <f t="shared" si="106"/>
        <v>2794</v>
      </c>
      <c r="D600" s="2" t="str">
        <f t="shared" si="107"/>
        <v>Доходы будущих периодов</v>
      </c>
      <c r="E600" s="2" t="str">
        <f>"1"</f>
        <v>1</v>
      </c>
      <c r="F600" s="2" t="str">
        <f>"9"</f>
        <v>9</v>
      </c>
      <c r="G600" s="2" t="str">
        <f t="shared" si="108"/>
        <v>1</v>
      </c>
      <c r="H600" s="3">
        <v>103332876.25</v>
      </c>
    </row>
    <row r="601" spans="1:8" x14ac:dyDescent="0.3">
      <c r="A601" s="4">
        <v>44834</v>
      </c>
      <c r="B601" s="2">
        <v>36</v>
      </c>
      <c r="C601" s="2" t="str">
        <f>"2799"</f>
        <v>2799</v>
      </c>
      <c r="D601" s="2" t="str">
        <f>"Прочие предоплаты"</f>
        <v>Прочие предоплаты</v>
      </c>
      <c r="E601" s="2" t="str">
        <f>"2"</f>
        <v>2</v>
      </c>
      <c r="F601" s="2" t="str">
        <f>"9"</f>
        <v>9</v>
      </c>
      <c r="G601" s="2" t="str">
        <f t="shared" si="108"/>
        <v>1</v>
      </c>
      <c r="H601" s="3">
        <v>7500</v>
      </c>
    </row>
    <row r="602" spans="1:8" x14ac:dyDescent="0.3">
      <c r="A602" s="4">
        <v>44834</v>
      </c>
      <c r="B602" s="2">
        <v>36</v>
      </c>
      <c r="C602" s="2" t="str">
        <f>"2799"</f>
        <v>2799</v>
      </c>
      <c r="D602" s="2" t="str">
        <f>"Прочие предоплаты"</f>
        <v>Прочие предоплаты</v>
      </c>
      <c r="E602" s="2" t="str">
        <f>"1"</f>
        <v>1</v>
      </c>
      <c r="F602" s="2" t="str">
        <f>"9"</f>
        <v>9</v>
      </c>
      <c r="G602" s="2" t="str">
        <f t="shared" si="108"/>
        <v>1</v>
      </c>
      <c r="H602" s="3">
        <v>2355075</v>
      </c>
    </row>
    <row r="603" spans="1:8" x14ac:dyDescent="0.3">
      <c r="A603" s="4">
        <v>44834</v>
      </c>
      <c r="B603" s="2">
        <v>36</v>
      </c>
      <c r="C603" s="2" t="str">
        <f>"2799"</f>
        <v>2799</v>
      </c>
      <c r="D603" s="2" t="str">
        <f>"Прочие предоплаты"</f>
        <v>Прочие предоплаты</v>
      </c>
      <c r="E603" s="2" t="str">
        <f>"1"</f>
        <v>1</v>
      </c>
      <c r="F603" s="2" t="str">
        <f>"7"</f>
        <v>7</v>
      </c>
      <c r="G603" s="2" t="str">
        <f t="shared" si="108"/>
        <v>1</v>
      </c>
      <c r="H603" s="3">
        <v>292700</v>
      </c>
    </row>
    <row r="604" spans="1:8" x14ac:dyDescent="0.3">
      <c r="A604" s="4">
        <v>44834</v>
      </c>
      <c r="B604" s="2">
        <v>36</v>
      </c>
      <c r="C604" s="2" t="str">
        <f>"2799"</f>
        <v>2799</v>
      </c>
      <c r="D604" s="2" t="str">
        <f>"Прочие предоплаты"</f>
        <v>Прочие предоплаты</v>
      </c>
      <c r="E604" s="2" t="str">
        <f>"1"</f>
        <v>1</v>
      </c>
      <c r="F604" s="2" t="str">
        <f>"6"</f>
        <v>6</v>
      </c>
      <c r="G604" s="2" t="str">
        <f t="shared" si="108"/>
        <v>1</v>
      </c>
      <c r="H604" s="3">
        <v>53360</v>
      </c>
    </row>
    <row r="605" spans="1:8" x14ac:dyDescent="0.3">
      <c r="A605" s="4">
        <v>44834</v>
      </c>
      <c r="B605" s="2">
        <v>36</v>
      </c>
      <c r="C605" s="2" t="str">
        <f>"2799"</f>
        <v>2799</v>
      </c>
      <c r="D605" s="2" t="str">
        <f>"Прочие предоплаты"</f>
        <v>Прочие предоплаты</v>
      </c>
      <c r="E605" s="2" t="str">
        <f>"1"</f>
        <v>1</v>
      </c>
      <c r="F605" s="2" t="str">
        <f>"5"</f>
        <v>5</v>
      </c>
      <c r="G605" s="2" t="str">
        <f t="shared" si="108"/>
        <v>1</v>
      </c>
      <c r="H605" s="3">
        <v>2240</v>
      </c>
    </row>
    <row r="606" spans="1:8" x14ac:dyDescent="0.3">
      <c r="A606" s="4">
        <v>44834</v>
      </c>
      <c r="B606" s="2">
        <v>36</v>
      </c>
      <c r="C606" s="2" t="str">
        <f>"2811"</f>
        <v>2811</v>
      </c>
      <c r="D606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06" s="2" t="str">
        <f>"1"</f>
        <v>1</v>
      </c>
      <c r="F606" s="2" t="str">
        <f>""</f>
        <v/>
      </c>
      <c r="G606" s="2" t="str">
        <f t="shared" si="108"/>
        <v>1</v>
      </c>
      <c r="H606" s="3">
        <v>13600799.33</v>
      </c>
    </row>
    <row r="607" spans="1:8" x14ac:dyDescent="0.3">
      <c r="A607" s="4">
        <v>44834</v>
      </c>
      <c r="B607" s="2">
        <v>36</v>
      </c>
      <c r="C607" s="2" t="str">
        <f>"2811"</f>
        <v>2811</v>
      </c>
      <c r="D607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07" s="2" t="str">
        <f>"2"</f>
        <v>2</v>
      </c>
      <c r="F607" s="2" t="str">
        <f>""</f>
        <v/>
      </c>
      <c r="G607" s="2" t="str">
        <f>"2"</f>
        <v>2</v>
      </c>
      <c r="H607" s="3">
        <v>25300134.27</v>
      </c>
    </row>
    <row r="608" spans="1:8" x14ac:dyDescent="0.3">
      <c r="A608" s="4">
        <v>44834</v>
      </c>
      <c r="B608" s="2">
        <v>36</v>
      </c>
      <c r="C608" s="2" t="str">
        <f>"2812"</f>
        <v>2812</v>
      </c>
      <c r="D608" s="2" t="str">
        <f>"Начисленные комиссионные расходы по агентским услугам"</f>
        <v>Начисленные комиссионные расходы по агентским услугам</v>
      </c>
      <c r="E608" s="2" t="str">
        <f>"1"</f>
        <v>1</v>
      </c>
      <c r="F608" s="2" t="str">
        <f>""</f>
        <v/>
      </c>
      <c r="G608" s="2" t="str">
        <f>"1"</f>
        <v>1</v>
      </c>
      <c r="H608" s="3">
        <v>7370578.6699999999</v>
      </c>
    </row>
    <row r="609" spans="1:8" x14ac:dyDescent="0.3">
      <c r="A609" s="4">
        <v>44834</v>
      </c>
      <c r="B609" s="2">
        <v>36</v>
      </c>
      <c r="C609" s="2" t="str">
        <f>"2817"</f>
        <v>2817</v>
      </c>
      <c r="D609" s="2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09" s="2" t="str">
        <f>"1"</f>
        <v>1</v>
      </c>
      <c r="F609" s="2" t="str">
        <f>""</f>
        <v/>
      </c>
      <c r="G609" s="2" t="str">
        <f>"1"</f>
        <v>1</v>
      </c>
      <c r="H609" s="3">
        <v>70000</v>
      </c>
    </row>
    <row r="610" spans="1:8" x14ac:dyDescent="0.3">
      <c r="A610" s="4">
        <v>44834</v>
      </c>
      <c r="B610" s="2">
        <v>36</v>
      </c>
      <c r="C610" s="2" t="str">
        <f>"2818"</f>
        <v>2818</v>
      </c>
      <c r="D610" s="2" t="str">
        <f>"Начисленные прочие комиссионные расходы"</f>
        <v>Начисленные прочие комиссионные расходы</v>
      </c>
      <c r="E610" s="2" t="str">
        <f>"2"</f>
        <v>2</v>
      </c>
      <c r="F610" s="2" t="str">
        <f>""</f>
        <v/>
      </c>
      <c r="G610" s="2" t="str">
        <f>"1"</f>
        <v>1</v>
      </c>
      <c r="H610" s="3">
        <v>1640736.96</v>
      </c>
    </row>
    <row r="611" spans="1:8" x14ac:dyDescent="0.3">
      <c r="A611" s="4">
        <v>44834</v>
      </c>
      <c r="B611" s="2">
        <v>36</v>
      </c>
      <c r="C611" s="2" t="str">
        <f>"2818"</f>
        <v>2818</v>
      </c>
      <c r="D611" s="2" t="str">
        <f>"Начисленные прочие комиссионные расходы"</f>
        <v>Начисленные прочие комиссионные расходы</v>
      </c>
      <c r="E611" s="2" t="str">
        <f>"1"</f>
        <v>1</v>
      </c>
      <c r="F611" s="2" t="str">
        <f>""</f>
        <v/>
      </c>
      <c r="G611" s="2" t="str">
        <f>"2"</f>
        <v>2</v>
      </c>
      <c r="H611" s="3">
        <v>261821.69</v>
      </c>
    </row>
    <row r="612" spans="1:8" x14ac:dyDescent="0.3">
      <c r="A612" s="4">
        <v>44834</v>
      </c>
      <c r="B612" s="2">
        <v>36</v>
      </c>
      <c r="C612" s="2" t="str">
        <f>"2818"</f>
        <v>2818</v>
      </c>
      <c r="D612" s="2" t="str">
        <f>"Начисленные прочие комиссионные расходы"</f>
        <v>Начисленные прочие комиссионные расходы</v>
      </c>
      <c r="E612" s="2" t="str">
        <f>"2"</f>
        <v>2</v>
      </c>
      <c r="F612" s="2" t="str">
        <f>""</f>
        <v/>
      </c>
      <c r="G612" s="2" t="str">
        <f>"3"</f>
        <v>3</v>
      </c>
      <c r="H612" s="3">
        <v>62700</v>
      </c>
    </row>
    <row r="613" spans="1:8" x14ac:dyDescent="0.3">
      <c r="A613" s="4">
        <v>44834</v>
      </c>
      <c r="B613" s="2">
        <v>36</v>
      </c>
      <c r="C613" s="2" t="str">
        <f>"2818"</f>
        <v>2818</v>
      </c>
      <c r="D613" s="2" t="str">
        <f>"Начисленные прочие комиссионные расходы"</f>
        <v>Начисленные прочие комиссионные расходы</v>
      </c>
      <c r="E613" s="2" t="str">
        <f>"1"</f>
        <v>1</v>
      </c>
      <c r="F613" s="2" t="str">
        <f>""</f>
        <v/>
      </c>
      <c r="G613" s="2" t="str">
        <f>"1"</f>
        <v>1</v>
      </c>
      <c r="H613" s="3">
        <v>11329794.630000001</v>
      </c>
    </row>
    <row r="614" spans="1:8" x14ac:dyDescent="0.3">
      <c r="A614" s="4">
        <v>44834</v>
      </c>
      <c r="B614" s="2">
        <v>36</v>
      </c>
      <c r="C614" s="2" t="str">
        <f>"2818"</f>
        <v>2818</v>
      </c>
      <c r="D614" s="2" t="str">
        <f>"Начисленные прочие комиссионные расходы"</f>
        <v>Начисленные прочие комиссионные расходы</v>
      </c>
      <c r="E614" s="2" t="str">
        <f>"2"</f>
        <v>2</v>
      </c>
      <c r="F614" s="2" t="str">
        <f>""</f>
        <v/>
      </c>
      <c r="G614" s="2" t="str">
        <f>"2"</f>
        <v>2</v>
      </c>
      <c r="H614" s="3">
        <v>270278220.56</v>
      </c>
    </row>
    <row r="615" spans="1:8" x14ac:dyDescent="0.3">
      <c r="A615" s="4">
        <v>44834</v>
      </c>
      <c r="B615" s="2">
        <v>36</v>
      </c>
      <c r="C615" s="2" t="str">
        <f>"2819"</f>
        <v>2819</v>
      </c>
      <c r="D615" s="2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15" s="2" t="str">
        <f>"2"</f>
        <v>2</v>
      </c>
      <c r="F615" s="2" t="str">
        <f>""</f>
        <v/>
      </c>
      <c r="G615" s="2" t="str">
        <f>"2"</f>
        <v>2</v>
      </c>
      <c r="H615" s="3">
        <v>1543982.71</v>
      </c>
    </row>
    <row r="616" spans="1:8" x14ac:dyDescent="0.3">
      <c r="A616" s="4">
        <v>44834</v>
      </c>
      <c r="B616" s="2">
        <v>36</v>
      </c>
      <c r="C616" s="2" t="str">
        <f>"2820"</f>
        <v>2820</v>
      </c>
      <c r="D616" s="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16" s="2" t="str">
        <f>"1"</f>
        <v>1</v>
      </c>
      <c r="F616" s="2" t="str">
        <f>""</f>
        <v/>
      </c>
      <c r="G616" s="2" t="str">
        <f>"1"</f>
        <v>1</v>
      </c>
      <c r="H616" s="3">
        <v>122999142.86</v>
      </c>
    </row>
    <row r="617" spans="1:8" x14ac:dyDescent="0.3">
      <c r="A617" s="4">
        <v>44834</v>
      </c>
      <c r="B617" s="2">
        <v>36</v>
      </c>
      <c r="C617" s="2" t="str">
        <f>"2851"</f>
        <v>2851</v>
      </c>
      <c r="D617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17" s="2" t="str">
        <f>"1"</f>
        <v>1</v>
      </c>
      <c r="F617" s="2" t="str">
        <f>"1"</f>
        <v>1</v>
      </c>
      <c r="G617" s="2" t="str">
        <f>"1"</f>
        <v>1</v>
      </c>
      <c r="H617" s="3">
        <v>2484687978.0500002</v>
      </c>
    </row>
    <row r="618" spans="1:8" x14ac:dyDescent="0.3">
      <c r="A618" s="4">
        <v>44834</v>
      </c>
      <c r="B618" s="2">
        <v>36</v>
      </c>
      <c r="C618" s="2" t="str">
        <f>"2853"</f>
        <v>2853</v>
      </c>
      <c r="D618" s="2" t="str">
        <f>"Расчеты с акционерами (по дивидендам)"</f>
        <v>Расчеты с акционерами (по дивидендам)</v>
      </c>
      <c r="E618" s="2" t="str">
        <f>"1"</f>
        <v>1</v>
      </c>
      <c r="F618" s="2" t="str">
        <f>"7"</f>
        <v>7</v>
      </c>
      <c r="G618" s="2" t="str">
        <f>"1"</f>
        <v>1</v>
      </c>
      <c r="H618" s="3">
        <v>816190.35</v>
      </c>
    </row>
    <row r="619" spans="1:8" x14ac:dyDescent="0.3">
      <c r="A619" s="4">
        <v>44834</v>
      </c>
      <c r="B619" s="2">
        <v>36</v>
      </c>
      <c r="C619" s="2" t="str">
        <f>"2853"</f>
        <v>2853</v>
      </c>
      <c r="D619" s="2" t="str">
        <f>"Расчеты с акционерами (по дивидендам)"</f>
        <v>Расчеты с акционерами (по дивидендам)</v>
      </c>
      <c r="E619" s="2" t="str">
        <f>"1"</f>
        <v>1</v>
      </c>
      <c r="F619" s="2" t="str">
        <f>"5"</f>
        <v>5</v>
      </c>
      <c r="G619" s="2" t="str">
        <f>"1"</f>
        <v>1</v>
      </c>
      <c r="H619" s="3">
        <v>177625205.31</v>
      </c>
    </row>
    <row r="620" spans="1:8" x14ac:dyDescent="0.3">
      <c r="A620" s="4">
        <v>44834</v>
      </c>
      <c r="B620" s="2">
        <v>36</v>
      </c>
      <c r="C620" s="2" t="str">
        <f>"2853"</f>
        <v>2853</v>
      </c>
      <c r="D620" s="2" t="str">
        <f>"Расчеты с акционерами (по дивидендам)"</f>
        <v>Расчеты с акционерами (по дивидендам)</v>
      </c>
      <c r="E620" s="2" t="str">
        <f>"1"</f>
        <v>1</v>
      </c>
      <c r="F620" s="2" t="str">
        <f>"9"</f>
        <v>9</v>
      </c>
      <c r="G620" s="2" t="str">
        <f>"1"</f>
        <v>1</v>
      </c>
      <c r="H620" s="3">
        <v>10450940.130000001</v>
      </c>
    </row>
    <row r="621" spans="1:8" x14ac:dyDescent="0.3">
      <c r="A621" s="4">
        <v>44834</v>
      </c>
      <c r="B621" s="2">
        <v>36</v>
      </c>
      <c r="C621" s="2" t="str">
        <f>"2854"</f>
        <v>2854</v>
      </c>
      <c r="D621" s="2" t="str">
        <f>"Расчеты с работниками"</f>
        <v>Расчеты с работниками</v>
      </c>
      <c r="E621" s="2" t="str">
        <f>""</f>
        <v/>
      </c>
      <c r="F621" s="2" t="str">
        <f>""</f>
        <v/>
      </c>
      <c r="G621" s="2" t="str">
        <f>""</f>
        <v/>
      </c>
      <c r="H621" s="3">
        <v>4946637644.0100002</v>
      </c>
    </row>
    <row r="622" spans="1:8" x14ac:dyDescent="0.3">
      <c r="A622" s="4">
        <v>44834</v>
      </c>
      <c r="B622" s="2">
        <v>36</v>
      </c>
      <c r="C622" s="2" t="str">
        <f>"2855"</f>
        <v>2855</v>
      </c>
      <c r="D622" s="2" t="str">
        <f>"Кредиторы по документарным расчетам"</f>
        <v>Кредиторы по документарным расчетам</v>
      </c>
      <c r="E622" s="2" t="str">
        <f>"1"</f>
        <v>1</v>
      </c>
      <c r="F622" s="2" t="str">
        <f>"7"</f>
        <v>7</v>
      </c>
      <c r="G622" s="2" t="str">
        <f>"2"</f>
        <v>2</v>
      </c>
      <c r="H622" s="3">
        <v>1378327658.3499999</v>
      </c>
    </row>
    <row r="623" spans="1:8" x14ac:dyDescent="0.3">
      <c r="A623" s="4">
        <v>44834</v>
      </c>
      <c r="B623" s="2">
        <v>36</v>
      </c>
      <c r="C623" s="2" t="str">
        <f>"2856"</f>
        <v>2856</v>
      </c>
      <c r="D623" s="2" t="str">
        <f>"Кредиторы по капитальным вложениям"</f>
        <v>Кредиторы по капитальным вложениям</v>
      </c>
      <c r="E623" s="2" t="str">
        <f>"1"</f>
        <v>1</v>
      </c>
      <c r="F623" s="2" t="str">
        <f>"9"</f>
        <v>9</v>
      </c>
      <c r="G623" s="2" t="str">
        <f>"1"</f>
        <v>1</v>
      </c>
      <c r="H623" s="3">
        <v>1720000</v>
      </c>
    </row>
    <row r="624" spans="1:8" x14ac:dyDescent="0.3">
      <c r="A624" s="4">
        <v>44834</v>
      </c>
      <c r="B624" s="2">
        <v>36</v>
      </c>
      <c r="C624" s="2" t="str">
        <f>"2857"</f>
        <v>2857</v>
      </c>
      <c r="D624" s="2" t="str">
        <f>"Отложенные налоговые обязательства"</f>
        <v>Отложенные налоговые обязательства</v>
      </c>
      <c r="E624" s="2" t="str">
        <f>""</f>
        <v/>
      </c>
      <c r="F624" s="2" t="str">
        <f>""</f>
        <v/>
      </c>
      <c r="G624" s="2" t="str">
        <f>""</f>
        <v/>
      </c>
      <c r="H624" s="3">
        <v>158991261203.04001</v>
      </c>
    </row>
    <row r="625" spans="1:8" x14ac:dyDescent="0.3">
      <c r="A625" s="4">
        <v>44834</v>
      </c>
      <c r="B625" s="2">
        <v>36</v>
      </c>
      <c r="C625" s="2" t="str">
        <f t="shared" ref="C625:C644" si="109">"2860"</f>
        <v>2860</v>
      </c>
      <c r="D625" s="2" t="str">
        <f t="shared" ref="D625:D644" si="110">"Прочие кредиторы по банковской деятельности"</f>
        <v>Прочие кредиторы по банковской деятельности</v>
      </c>
      <c r="E625" s="2" t="str">
        <f>"1"</f>
        <v>1</v>
      </c>
      <c r="F625" s="2" t="str">
        <f>"6"</f>
        <v>6</v>
      </c>
      <c r="G625" s="2" t="str">
        <f>"1"</f>
        <v>1</v>
      </c>
      <c r="H625" s="3">
        <v>64995.78</v>
      </c>
    </row>
    <row r="626" spans="1:8" x14ac:dyDescent="0.3">
      <c r="A626" s="4">
        <v>44834</v>
      </c>
      <c r="B626" s="2">
        <v>36</v>
      </c>
      <c r="C626" s="2" t="str">
        <f t="shared" si="109"/>
        <v>2860</v>
      </c>
      <c r="D626" s="2" t="str">
        <f t="shared" si="110"/>
        <v>Прочие кредиторы по банковской деятельности</v>
      </c>
      <c r="E626" s="2" t="str">
        <f>"2"</f>
        <v>2</v>
      </c>
      <c r="F626" s="2" t="str">
        <f>"7"</f>
        <v>7</v>
      </c>
      <c r="G626" s="2" t="str">
        <f>"1"</f>
        <v>1</v>
      </c>
      <c r="H626" s="3">
        <v>837311009.23000002</v>
      </c>
    </row>
    <row r="627" spans="1:8" x14ac:dyDescent="0.3">
      <c r="A627" s="4">
        <v>44834</v>
      </c>
      <c r="B627" s="2">
        <v>36</v>
      </c>
      <c r="C627" s="2" t="str">
        <f t="shared" si="109"/>
        <v>2860</v>
      </c>
      <c r="D627" s="2" t="str">
        <f t="shared" si="110"/>
        <v>Прочие кредиторы по банковской деятельности</v>
      </c>
      <c r="E627" s="2" t="str">
        <f>"1"</f>
        <v>1</v>
      </c>
      <c r="F627" s="2" t="str">
        <f>"9"</f>
        <v>9</v>
      </c>
      <c r="G627" s="2" t="str">
        <f>"2"</f>
        <v>2</v>
      </c>
      <c r="H627" s="3">
        <v>29776271.5</v>
      </c>
    </row>
    <row r="628" spans="1:8" x14ac:dyDescent="0.3">
      <c r="A628" s="4">
        <v>44834</v>
      </c>
      <c r="B628" s="2">
        <v>36</v>
      </c>
      <c r="C628" s="2" t="str">
        <f t="shared" si="109"/>
        <v>2860</v>
      </c>
      <c r="D628" s="2" t="str">
        <f t="shared" si="110"/>
        <v>Прочие кредиторы по банковской деятельности</v>
      </c>
      <c r="E628" s="2" t="str">
        <f>"1"</f>
        <v>1</v>
      </c>
      <c r="F628" s="2" t="str">
        <f>"4"</f>
        <v>4</v>
      </c>
      <c r="G628" s="2" t="str">
        <f>"1"</f>
        <v>1</v>
      </c>
      <c r="H628" s="3">
        <v>40766908.039999999</v>
      </c>
    </row>
    <row r="629" spans="1:8" x14ac:dyDescent="0.3">
      <c r="A629" s="4">
        <v>44834</v>
      </c>
      <c r="B629" s="2">
        <v>36</v>
      </c>
      <c r="C629" s="2" t="str">
        <f t="shared" si="109"/>
        <v>2860</v>
      </c>
      <c r="D629" s="2" t="str">
        <f t="shared" si="110"/>
        <v>Прочие кредиторы по банковской деятельности</v>
      </c>
      <c r="E629" s="2" t="str">
        <f>"2"</f>
        <v>2</v>
      </c>
      <c r="F629" s="2" t="str">
        <f>"9"</f>
        <v>9</v>
      </c>
      <c r="G629" s="2" t="str">
        <f>"2"</f>
        <v>2</v>
      </c>
      <c r="H629" s="3">
        <v>3278468.15</v>
      </c>
    </row>
    <row r="630" spans="1:8" x14ac:dyDescent="0.3">
      <c r="A630" s="4">
        <v>44834</v>
      </c>
      <c r="B630" s="2">
        <v>36</v>
      </c>
      <c r="C630" s="2" t="str">
        <f t="shared" si="109"/>
        <v>2860</v>
      </c>
      <c r="D630" s="2" t="str">
        <f t="shared" si="110"/>
        <v>Прочие кредиторы по банковской деятельности</v>
      </c>
      <c r="E630" s="2" t="str">
        <f t="shared" ref="E630:E635" si="111">"1"</f>
        <v>1</v>
      </c>
      <c r="F630" s="2" t="str">
        <f>"9"</f>
        <v>9</v>
      </c>
      <c r="G630" s="2" t="str">
        <f>"1"</f>
        <v>1</v>
      </c>
      <c r="H630" s="3">
        <v>728452560.63</v>
      </c>
    </row>
    <row r="631" spans="1:8" x14ac:dyDescent="0.3">
      <c r="A631" s="4">
        <v>44834</v>
      </c>
      <c r="B631" s="2">
        <v>36</v>
      </c>
      <c r="C631" s="2" t="str">
        <f t="shared" si="109"/>
        <v>2860</v>
      </c>
      <c r="D631" s="2" t="str">
        <f t="shared" si="110"/>
        <v>Прочие кредиторы по банковской деятельности</v>
      </c>
      <c r="E631" s="2" t="str">
        <f t="shared" si="111"/>
        <v>1</v>
      </c>
      <c r="F631" s="2" t="str">
        <f>"7"</f>
        <v>7</v>
      </c>
      <c r="G631" s="2" t="str">
        <f>"2"</f>
        <v>2</v>
      </c>
      <c r="H631" s="3">
        <v>2004007.8</v>
      </c>
    </row>
    <row r="632" spans="1:8" x14ac:dyDescent="0.3">
      <c r="A632" s="4">
        <v>44834</v>
      </c>
      <c r="B632" s="2">
        <v>36</v>
      </c>
      <c r="C632" s="2" t="str">
        <f t="shared" si="109"/>
        <v>2860</v>
      </c>
      <c r="D632" s="2" t="str">
        <f t="shared" si="110"/>
        <v>Прочие кредиторы по банковской деятельности</v>
      </c>
      <c r="E632" s="2" t="str">
        <f t="shared" si="111"/>
        <v>1</v>
      </c>
      <c r="F632" s="2" t="str">
        <f>"4"</f>
        <v>4</v>
      </c>
      <c r="G632" s="2" t="str">
        <f>"2"</f>
        <v>2</v>
      </c>
      <c r="H632" s="3">
        <v>5431857.79</v>
      </c>
    </row>
    <row r="633" spans="1:8" x14ac:dyDescent="0.3">
      <c r="A633" s="4">
        <v>44834</v>
      </c>
      <c r="B633" s="2">
        <v>36</v>
      </c>
      <c r="C633" s="2" t="str">
        <f t="shared" si="109"/>
        <v>2860</v>
      </c>
      <c r="D633" s="2" t="str">
        <f t="shared" si="110"/>
        <v>Прочие кредиторы по банковской деятельности</v>
      </c>
      <c r="E633" s="2" t="str">
        <f t="shared" si="111"/>
        <v>1</v>
      </c>
      <c r="F633" s="2" t="str">
        <f>"5"</f>
        <v>5</v>
      </c>
      <c r="G633" s="2" t="str">
        <f>"2"</f>
        <v>2</v>
      </c>
      <c r="H633" s="3">
        <v>9485800</v>
      </c>
    </row>
    <row r="634" spans="1:8" x14ac:dyDescent="0.3">
      <c r="A634" s="4">
        <v>44834</v>
      </c>
      <c r="B634" s="2">
        <v>36</v>
      </c>
      <c r="C634" s="2" t="str">
        <f t="shared" si="109"/>
        <v>2860</v>
      </c>
      <c r="D634" s="2" t="str">
        <f t="shared" si="110"/>
        <v>Прочие кредиторы по банковской деятельности</v>
      </c>
      <c r="E634" s="2" t="str">
        <f t="shared" si="111"/>
        <v>1</v>
      </c>
      <c r="F634" s="2" t="str">
        <f>"7"</f>
        <v>7</v>
      </c>
      <c r="G634" s="2" t="str">
        <f>"3"</f>
        <v>3</v>
      </c>
      <c r="H634" s="3">
        <v>3846736.96</v>
      </c>
    </row>
    <row r="635" spans="1:8" x14ac:dyDescent="0.3">
      <c r="A635" s="4">
        <v>44834</v>
      </c>
      <c r="B635" s="2">
        <v>36</v>
      </c>
      <c r="C635" s="2" t="str">
        <f t="shared" si="109"/>
        <v>2860</v>
      </c>
      <c r="D635" s="2" t="str">
        <f t="shared" si="110"/>
        <v>Прочие кредиторы по банковской деятельности</v>
      </c>
      <c r="E635" s="2" t="str">
        <f t="shared" si="111"/>
        <v>1</v>
      </c>
      <c r="F635" s="2" t="str">
        <f>"3"</f>
        <v>3</v>
      </c>
      <c r="G635" s="2" t="str">
        <f>"1"</f>
        <v>1</v>
      </c>
      <c r="H635" s="3">
        <v>20000</v>
      </c>
    </row>
    <row r="636" spans="1:8" x14ac:dyDescent="0.3">
      <c r="A636" s="4">
        <v>44834</v>
      </c>
      <c r="B636" s="2">
        <v>36</v>
      </c>
      <c r="C636" s="2" t="str">
        <f t="shared" si="109"/>
        <v>2860</v>
      </c>
      <c r="D636" s="2" t="str">
        <f t="shared" si="110"/>
        <v>Прочие кредиторы по банковской деятельности</v>
      </c>
      <c r="E636" s="2" t="str">
        <f>"2"</f>
        <v>2</v>
      </c>
      <c r="F636" s="2" t="str">
        <f>"4"</f>
        <v>4</v>
      </c>
      <c r="G636" s="2" t="str">
        <f>"2"</f>
        <v>2</v>
      </c>
      <c r="H636" s="3">
        <v>62493224.850000001</v>
      </c>
    </row>
    <row r="637" spans="1:8" x14ac:dyDescent="0.3">
      <c r="A637" s="4">
        <v>44834</v>
      </c>
      <c r="B637" s="2">
        <v>36</v>
      </c>
      <c r="C637" s="2" t="str">
        <f t="shared" si="109"/>
        <v>2860</v>
      </c>
      <c r="D637" s="2" t="str">
        <f t="shared" si="110"/>
        <v>Прочие кредиторы по банковской деятельности</v>
      </c>
      <c r="E637" s="2" t="str">
        <f>"1"</f>
        <v>1</v>
      </c>
      <c r="F637" s="2" t="str">
        <f>"4"</f>
        <v>4</v>
      </c>
      <c r="G637" s="2" t="str">
        <f>"3"</f>
        <v>3</v>
      </c>
      <c r="H637" s="3">
        <v>108680</v>
      </c>
    </row>
    <row r="638" spans="1:8" x14ac:dyDescent="0.3">
      <c r="A638" s="4">
        <v>44834</v>
      </c>
      <c r="B638" s="2">
        <v>36</v>
      </c>
      <c r="C638" s="2" t="str">
        <f t="shared" si="109"/>
        <v>2860</v>
      </c>
      <c r="D638" s="2" t="str">
        <f t="shared" si="110"/>
        <v>Прочие кредиторы по банковской деятельности</v>
      </c>
      <c r="E638" s="2" t="str">
        <f>"2"</f>
        <v>2</v>
      </c>
      <c r="F638" s="2" t="str">
        <f>"5"</f>
        <v>5</v>
      </c>
      <c r="G638" s="2" t="str">
        <f>"2"</f>
        <v>2</v>
      </c>
      <c r="H638" s="3">
        <v>240703068.34</v>
      </c>
    </row>
    <row r="639" spans="1:8" x14ac:dyDescent="0.3">
      <c r="A639" s="4">
        <v>44834</v>
      </c>
      <c r="B639" s="2">
        <v>36</v>
      </c>
      <c r="C639" s="2" t="str">
        <f t="shared" si="109"/>
        <v>2860</v>
      </c>
      <c r="D639" s="2" t="str">
        <f t="shared" si="110"/>
        <v>Прочие кредиторы по банковской деятельности</v>
      </c>
      <c r="E639" s="2" t="str">
        <f>"2"</f>
        <v>2</v>
      </c>
      <c r="F639" s="2" t="str">
        <f>"9"</f>
        <v>9</v>
      </c>
      <c r="G639" s="2" t="str">
        <f>"1"</f>
        <v>1</v>
      </c>
      <c r="H639" s="3">
        <v>40454626.990000002</v>
      </c>
    </row>
    <row r="640" spans="1:8" x14ac:dyDescent="0.3">
      <c r="A640" s="4">
        <v>44834</v>
      </c>
      <c r="B640" s="2">
        <v>36</v>
      </c>
      <c r="C640" s="2" t="str">
        <f t="shared" si="109"/>
        <v>2860</v>
      </c>
      <c r="D640" s="2" t="str">
        <f t="shared" si="110"/>
        <v>Прочие кредиторы по банковской деятельности</v>
      </c>
      <c r="E640" s="2" t="str">
        <f>"1"</f>
        <v>1</v>
      </c>
      <c r="F640" s="2" t="str">
        <f>"7"</f>
        <v>7</v>
      </c>
      <c r="G640" s="2" t="str">
        <f>"1"</f>
        <v>1</v>
      </c>
      <c r="H640" s="3">
        <v>1608228363.3699999</v>
      </c>
    </row>
    <row r="641" spans="1:8" x14ac:dyDescent="0.3">
      <c r="A641" s="4">
        <v>44834</v>
      </c>
      <c r="B641" s="2">
        <v>36</v>
      </c>
      <c r="C641" s="2" t="str">
        <f t="shared" si="109"/>
        <v>2860</v>
      </c>
      <c r="D641" s="2" t="str">
        <f t="shared" si="110"/>
        <v>Прочие кредиторы по банковской деятельности</v>
      </c>
      <c r="E641" s="2" t="str">
        <f>"1"</f>
        <v>1</v>
      </c>
      <c r="F641" s="2" t="str">
        <f>"9"</f>
        <v>9</v>
      </c>
      <c r="G641" s="2" t="str">
        <f>"3"</f>
        <v>3</v>
      </c>
      <c r="H641" s="3">
        <v>99355.94</v>
      </c>
    </row>
    <row r="642" spans="1:8" x14ac:dyDescent="0.3">
      <c r="A642" s="4">
        <v>44834</v>
      </c>
      <c r="B642" s="2">
        <v>36</v>
      </c>
      <c r="C642" s="2" t="str">
        <f t="shared" si="109"/>
        <v>2860</v>
      </c>
      <c r="D642" s="2" t="str">
        <f t="shared" si="110"/>
        <v>Прочие кредиторы по банковской деятельности</v>
      </c>
      <c r="E642" s="2" t="str">
        <f>"2"</f>
        <v>2</v>
      </c>
      <c r="F642" s="2" t="str">
        <f>"7"</f>
        <v>7</v>
      </c>
      <c r="G642" s="2" t="str">
        <f>"2"</f>
        <v>2</v>
      </c>
      <c r="H642" s="3">
        <v>111180222.56999999</v>
      </c>
    </row>
    <row r="643" spans="1:8" x14ac:dyDescent="0.3">
      <c r="A643" s="4">
        <v>44834</v>
      </c>
      <c r="B643" s="2">
        <v>36</v>
      </c>
      <c r="C643" s="2" t="str">
        <f t="shared" si="109"/>
        <v>2860</v>
      </c>
      <c r="D643" s="2" t="str">
        <f t="shared" si="110"/>
        <v>Прочие кредиторы по банковской деятельности</v>
      </c>
      <c r="E643" s="2" t="str">
        <f>"2"</f>
        <v>2</v>
      </c>
      <c r="F643" s="2" t="str">
        <f>"7"</f>
        <v>7</v>
      </c>
      <c r="G643" s="2" t="str">
        <f>"3"</f>
        <v>3</v>
      </c>
      <c r="H643" s="3">
        <v>4553543.78</v>
      </c>
    </row>
    <row r="644" spans="1:8" x14ac:dyDescent="0.3">
      <c r="A644" s="4">
        <v>44834</v>
      </c>
      <c r="B644" s="2">
        <v>36</v>
      </c>
      <c r="C644" s="2" t="str">
        <f t="shared" si="109"/>
        <v>2860</v>
      </c>
      <c r="D644" s="2" t="str">
        <f t="shared" si="110"/>
        <v>Прочие кредиторы по банковской деятельности</v>
      </c>
      <c r="E644" s="2" t="str">
        <f>"1"</f>
        <v>1</v>
      </c>
      <c r="F644" s="2" t="str">
        <f>"5"</f>
        <v>5</v>
      </c>
      <c r="G644" s="2" t="str">
        <f>"1"</f>
        <v>1</v>
      </c>
      <c r="H644" s="3">
        <v>598285377.42999995</v>
      </c>
    </row>
    <row r="645" spans="1:8" x14ac:dyDescent="0.3">
      <c r="A645" s="4">
        <v>44834</v>
      </c>
      <c r="B645" s="2">
        <v>36</v>
      </c>
      <c r="C645" s="2" t="str">
        <f>"2861"</f>
        <v>2861</v>
      </c>
      <c r="D645" s="2" t="str">
        <f>"Резерв на отпускные выплаты"</f>
        <v>Резерв на отпускные выплаты</v>
      </c>
      <c r="E645" s="2" t="str">
        <f>""</f>
        <v/>
      </c>
      <c r="F645" s="2" t="str">
        <f>""</f>
        <v/>
      </c>
      <c r="G645" s="2" t="str">
        <f>""</f>
        <v/>
      </c>
      <c r="H645" s="3">
        <v>2526235137.23</v>
      </c>
    </row>
    <row r="646" spans="1:8" x14ac:dyDescent="0.3">
      <c r="A646" s="4">
        <v>44834</v>
      </c>
      <c r="B646" s="2">
        <v>36</v>
      </c>
      <c r="C646" s="2" t="str">
        <f>"2865"</f>
        <v>2865</v>
      </c>
      <c r="D646" s="2" t="str">
        <f>"Обязательства по выпущенным электронным деньгам"</f>
        <v>Обязательства по выпущенным электронным деньгам</v>
      </c>
      <c r="E646" s="2" t="str">
        <f t="shared" ref="E646:E653" si="112">"1"</f>
        <v>1</v>
      </c>
      <c r="F646" s="2" t="str">
        <f>"7"</f>
        <v>7</v>
      </c>
      <c r="G646" s="2" t="str">
        <f>"1"</f>
        <v>1</v>
      </c>
      <c r="H646" s="3">
        <v>208123207.91999999</v>
      </c>
    </row>
    <row r="647" spans="1:8" x14ac:dyDescent="0.3">
      <c r="A647" s="4">
        <v>44834</v>
      </c>
      <c r="B647" s="2">
        <v>36</v>
      </c>
      <c r="C647" s="2" t="str">
        <f>"2867"</f>
        <v>2867</v>
      </c>
      <c r="D647" s="2" t="str">
        <f>"Прочие кредиторы по неосновной деятельности"</f>
        <v>Прочие кредиторы по неосновной деятельности</v>
      </c>
      <c r="E647" s="2" t="str">
        <f t="shared" si="112"/>
        <v>1</v>
      </c>
      <c r="F647" s="2" t="str">
        <f>"7"</f>
        <v>7</v>
      </c>
      <c r="G647" s="2" t="str">
        <f>"1"</f>
        <v>1</v>
      </c>
      <c r="H647" s="3">
        <v>124032161.36</v>
      </c>
    </row>
    <row r="648" spans="1:8" x14ac:dyDescent="0.3">
      <c r="A648" s="4">
        <v>44834</v>
      </c>
      <c r="B648" s="2">
        <v>36</v>
      </c>
      <c r="C648" s="2" t="str">
        <f>"2867"</f>
        <v>2867</v>
      </c>
      <c r="D648" s="2" t="str">
        <f>"Прочие кредиторы по неосновной деятельности"</f>
        <v>Прочие кредиторы по неосновной деятельности</v>
      </c>
      <c r="E648" s="2" t="str">
        <f t="shared" si="112"/>
        <v>1</v>
      </c>
      <c r="F648" s="2" t="str">
        <f>"5"</f>
        <v>5</v>
      </c>
      <c r="G648" s="2" t="str">
        <f>"1"</f>
        <v>1</v>
      </c>
      <c r="H648" s="3">
        <v>437900</v>
      </c>
    </row>
    <row r="649" spans="1:8" x14ac:dyDescent="0.3">
      <c r="A649" s="4">
        <v>44834</v>
      </c>
      <c r="B649" s="2">
        <v>36</v>
      </c>
      <c r="C649" s="2" t="str">
        <f>"2867"</f>
        <v>2867</v>
      </c>
      <c r="D649" s="2" t="str">
        <f>"Прочие кредиторы по неосновной деятельности"</f>
        <v>Прочие кредиторы по неосновной деятельности</v>
      </c>
      <c r="E649" s="2" t="str">
        <f t="shared" si="112"/>
        <v>1</v>
      </c>
      <c r="F649" s="2" t="str">
        <f>"9"</f>
        <v>9</v>
      </c>
      <c r="G649" s="2" t="str">
        <f>"1"</f>
        <v>1</v>
      </c>
      <c r="H649" s="3">
        <v>86486361.900000006</v>
      </c>
    </row>
    <row r="650" spans="1:8" x14ac:dyDescent="0.3">
      <c r="A650" s="4">
        <v>44834</v>
      </c>
      <c r="B650" s="2">
        <v>36</v>
      </c>
      <c r="C650" s="2" t="str">
        <f>"2867"</f>
        <v>2867</v>
      </c>
      <c r="D650" s="2" t="str">
        <f>"Прочие кредиторы по неосновной деятельности"</f>
        <v>Прочие кредиторы по неосновной деятельности</v>
      </c>
      <c r="E650" s="2" t="str">
        <f t="shared" si="112"/>
        <v>1</v>
      </c>
      <c r="F650" s="2" t="str">
        <f>"4"</f>
        <v>4</v>
      </c>
      <c r="G650" s="2" t="str">
        <f>"1"</f>
        <v>1</v>
      </c>
      <c r="H650" s="3">
        <v>98750.33</v>
      </c>
    </row>
    <row r="651" spans="1:8" x14ac:dyDescent="0.3">
      <c r="A651" s="4">
        <v>44834</v>
      </c>
      <c r="B651" s="2">
        <v>36</v>
      </c>
      <c r="C651" s="2" t="str">
        <f t="shared" ref="C651:C659" si="113">"2869"</f>
        <v>2869</v>
      </c>
      <c r="D651" s="2" t="str">
        <f t="shared" ref="D651:D659" si="114">"Выданные гарантии"</f>
        <v>Выданные гарантии</v>
      </c>
      <c r="E651" s="2" t="str">
        <f t="shared" si="112"/>
        <v>1</v>
      </c>
      <c r="F651" s="2" t="str">
        <f>"7"</f>
        <v>7</v>
      </c>
      <c r="G651" s="2" t="str">
        <f>"3"</f>
        <v>3</v>
      </c>
      <c r="H651" s="3">
        <v>5456330.9900000002</v>
      </c>
    </row>
    <row r="652" spans="1:8" x14ac:dyDescent="0.3">
      <c r="A652" s="4">
        <v>44834</v>
      </c>
      <c r="B652" s="2">
        <v>36</v>
      </c>
      <c r="C652" s="2" t="str">
        <f t="shared" si="113"/>
        <v>2869</v>
      </c>
      <c r="D652" s="2" t="str">
        <f t="shared" si="114"/>
        <v>Выданные гарантии</v>
      </c>
      <c r="E652" s="2" t="str">
        <f t="shared" si="112"/>
        <v>1</v>
      </c>
      <c r="F652" s="2" t="str">
        <f>"7"</f>
        <v>7</v>
      </c>
      <c r="G652" s="2" t="str">
        <f>"2"</f>
        <v>2</v>
      </c>
      <c r="H652" s="3">
        <v>77416171.109999999</v>
      </c>
    </row>
    <row r="653" spans="1:8" x14ac:dyDescent="0.3">
      <c r="A653" s="4">
        <v>44834</v>
      </c>
      <c r="B653" s="2">
        <v>36</v>
      </c>
      <c r="C653" s="2" t="str">
        <f t="shared" si="113"/>
        <v>2869</v>
      </c>
      <c r="D653" s="2" t="str">
        <f t="shared" si="114"/>
        <v>Выданные гарантии</v>
      </c>
      <c r="E653" s="2" t="str">
        <f t="shared" si="112"/>
        <v>1</v>
      </c>
      <c r="F653" s="2" t="str">
        <f>"8"</f>
        <v>8</v>
      </c>
      <c r="G653" s="2" t="str">
        <f>"2"</f>
        <v>2</v>
      </c>
      <c r="H653" s="3">
        <v>4347834.47</v>
      </c>
    </row>
    <row r="654" spans="1:8" x14ac:dyDescent="0.3">
      <c r="A654" s="4">
        <v>44834</v>
      </c>
      <c r="B654" s="2">
        <v>36</v>
      </c>
      <c r="C654" s="2" t="str">
        <f t="shared" si="113"/>
        <v>2869</v>
      </c>
      <c r="D654" s="2" t="str">
        <f t="shared" si="114"/>
        <v>Выданные гарантии</v>
      </c>
      <c r="E654" s="2" t="str">
        <f>"2"</f>
        <v>2</v>
      </c>
      <c r="F654" s="2" t="str">
        <f>"4"</f>
        <v>4</v>
      </c>
      <c r="G654" s="2" t="str">
        <f>"2"</f>
        <v>2</v>
      </c>
      <c r="H654" s="3">
        <v>2139064.5099999998</v>
      </c>
    </row>
    <row r="655" spans="1:8" x14ac:dyDescent="0.3">
      <c r="A655" s="4">
        <v>44834</v>
      </c>
      <c r="B655" s="2">
        <v>36</v>
      </c>
      <c r="C655" s="2" t="str">
        <f t="shared" si="113"/>
        <v>2869</v>
      </c>
      <c r="D655" s="2" t="str">
        <f t="shared" si="114"/>
        <v>Выданные гарантии</v>
      </c>
      <c r="E655" s="2" t="str">
        <f>"1"</f>
        <v>1</v>
      </c>
      <c r="F655" s="2" t="str">
        <f>"9"</f>
        <v>9</v>
      </c>
      <c r="G655" s="2" t="str">
        <f>"1"</f>
        <v>1</v>
      </c>
      <c r="H655" s="3">
        <v>5152234.83</v>
      </c>
    </row>
    <row r="656" spans="1:8" x14ac:dyDescent="0.3">
      <c r="A656" s="4">
        <v>44834</v>
      </c>
      <c r="B656" s="2">
        <v>36</v>
      </c>
      <c r="C656" s="2" t="str">
        <f t="shared" si="113"/>
        <v>2869</v>
      </c>
      <c r="D656" s="2" t="str">
        <f t="shared" si="114"/>
        <v>Выданные гарантии</v>
      </c>
      <c r="E656" s="2" t="str">
        <f>"1"</f>
        <v>1</v>
      </c>
      <c r="F656" s="2" t="str">
        <f>"9"</f>
        <v>9</v>
      </c>
      <c r="G656" s="2" t="str">
        <f>"3"</f>
        <v>3</v>
      </c>
      <c r="H656" s="3">
        <v>232092.08</v>
      </c>
    </row>
    <row r="657" spans="1:8" x14ac:dyDescent="0.3">
      <c r="A657" s="4">
        <v>44834</v>
      </c>
      <c r="B657" s="2">
        <v>36</v>
      </c>
      <c r="C657" s="2" t="str">
        <f t="shared" si="113"/>
        <v>2869</v>
      </c>
      <c r="D657" s="2" t="str">
        <f t="shared" si="114"/>
        <v>Выданные гарантии</v>
      </c>
      <c r="E657" s="2" t="str">
        <f>"2"</f>
        <v>2</v>
      </c>
      <c r="F657" s="2" t="str">
        <f>"4"</f>
        <v>4</v>
      </c>
      <c r="G657" s="2" t="str">
        <f>"1"</f>
        <v>1</v>
      </c>
      <c r="H657" s="3">
        <v>105473.8</v>
      </c>
    </row>
    <row r="658" spans="1:8" x14ac:dyDescent="0.3">
      <c r="A658" s="4">
        <v>44834</v>
      </c>
      <c r="B658" s="2">
        <v>36</v>
      </c>
      <c r="C658" s="2" t="str">
        <f t="shared" si="113"/>
        <v>2869</v>
      </c>
      <c r="D658" s="2" t="str">
        <f t="shared" si="114"/>
        <v>Выданные гарантии</v>
      </c>
      <c r="E658" s="2" t="str">
        <f t="shared" ref="E658:E666" si="115">"1"</f>
        <v>1</v>
      </c>
      <c r="F658" s="2" t="str">
        <f>"7"</f>
        <v>7</v>
      </c>
      <c r="G658" s="2" t="str">
        <f>"1"</f>
        <v>1</v>
      </c>
      <c r="H658" s="3">
        <v>5009553354.8900003</v>
      </c>
    </row>
    <row r="659" spans="1:8" x14ac:dyDescent="0.3">
      <c r="A659" s="4">
        <v>44834</v>
      </c>
      <c r="B659" s="2">
        <v>36</v>
      </c>
      <c r="C659" s="2" t="str">
        <f t="shared" si="113"/>
        <v>2869</v>
      </c>
      <c r="D659" s="2" t="str">
        <f t="shared" si="114"/>
        <v>Выданные гарантии</v>
      </c>
      <c r="E659" s="2" t="str">
        <f t="shared" si="115"/>
        <v>1</v>
      </c>
      <c r="F659" s="2" t="str">
        <f>"6"</f>
        <v>6</v>
      </c>
      <c r="G659" s="2" t="str">
        <f>"1"</f>
        <v>1</v>
      </c>
      <c r="H659" s="3">
        <v>4803097.2300000004</v>
      </c>
    </row>
    <row r="660" spans="1:8" x14ac:dyDescent="0.3">
      <c r="A660" s="4">
        <v>44834</v>
      </c>
      <c r="B660" s="2">
        <v>36</v>
      </c>
      <c r="C660" s="2" t="str">
        <f t="shared" ref="C660:C676" si="116">"2870"</f>
        <v>2870</v>
      </c>
      <c r="D660" s="2" t="str">
        <f t="shared" ref="D660:D676" si="117">"Прочие транзитные счета"</f>
        <v>Прочие транзитные счета</v>
      </c>
      <c r="E660" s="2" t="str">
        <f t="shared" si="115"/>
        <v>1</v>
      </c>
      <c r="F660" s="2" t="str">
        <f>"4"</f>
        <v>4</v>
      </c>
      <c r="G660" s="2" t="str">
        <f>"3"</f>
        <v>3</v>
      </c>
      <c r="H660" s="3">
        <v>166596983.99000001</v>
      </c>
    </row>
    <row r="661" spans="1:8" x14ac:dyDescent="0.3">
      <c r="A661" s="4">
        <v>44834</v>
      </c>
      <c r="B661" s="2">
        <v>36</v>
      </c>
      <c r="C661" s="2" t="str">
        <f t="shared" si="116"/>
        <v>2870</v>
      </c>
      <c r="D661" s="2" t="str">
        <f t="shared" si="117"/>
        <v>Прочие транзитные счета</v>
      </c>
      <c r="E661" s="2" t="str">
        <f t="shared" si="115"/>
        <v>1</v>
      </c>
      <c r="F661" s="2" t="str">
        <f>"7"</f>
        <v>7</v>
      </c>
      <c r="G661" s="2" t="str">
        <f>"3"</f>
        <v>3</v>
      </c>
      <c r="H661" s="3">
        <v>31578843.48</v>
      </c>
    </row>
    <row r="662" spans="1:8" x14ac:dyDescent="0.3">
      <c r="A662" s="4">
        <v>44834</v>
      </c>
      <c r="B662" s="2">
        <v>36</v>
      </c>
      <c r="C662" s="2" t="str">
        <f t="shared" si="116"/>
        <v>2870</v>
      </c>
      <c r="D662" s="2" t="str">
        <f t="shared" si="117"/>
        <v>Прочие транзитные счета</v>
      </c>
      <c r="E662" s="2" t="str">
        <f t="shared" si="115"/>
        <v>1</v>
      </c>
      <c r="F662" s="2" t="str">
        <f>"7"</f>
        <v>7</v>
      </c>
      <c r="G662" s="2" t="str">
        <f>"1"</f>
        <v>1</v>
      </c>
      <c r="H662" s="3">
        <v>845203795.26999998</v>
      </c>
    </row>
    <row r="663" spans="1:8" x14ac:dyDescent="0.3">
      <c r="A663" s="4">
        <v>44834</v>
      </c>
      <c r="B663" s="2">
        <v>36</v>
      </c>
      <c r="C663" s="2" t="str">
        <f t="shared" si="116"/>
        <v>2870</v>
      </c>
      <c r="D663" s="2" t="str">
        <f t="shared" si="117"/>
        <v>Прочие транзитные счета</v>
      </c>
      <c r="E663" s="2" t="str">
        <f t="shared" si="115"/>
        <v>1</v>
      </c>
      <c r="F663" s="2" t="str">
        <f>"6"</f>
        <v>6</v>
      </c>
      <c r="G663" s="2" t="str">
        <f>"1"</f>
        <v>1</v>
      </c>
      <c r="H663" s="3">
        <v>1698535.71</v>
      </c>
    </row>
    <row r="664" spans="1:8" x14ac:dyDescent="0.3">
      <c r="A664" s="4">
        <v>44834</v>
      </c>
      <c r="B664" s="2">
        <v>36</v>
      </c>
      <c r="C664" s="2" t="str">
        <f t="shared" si="116"/>
        <v>2870</v>
      </c>
      <c r="D664" s="2" t="str">
        <f t="shared" si="117"/>
        <v>Прочие транзитные счета</v>
      </c>
      <c r="E664" s="2" t="str">
        <f t="shared" si="115"/>
        <v>1</v>
      </c>
      <c r="F664" s="2" t="str">
        <f>"9"</f>
        <v>9</v>
      </c>
      <c r="G664" s="2" t="str">
        <f>"1"</f>
        <v>1</v>
      </c>
      <c r="H664" s="3">
        <v>20149522.16</v>
      </c>
    </row>
    <row r="665" spans="1:8" x14ac:dyDescent="0.3">
      <c r="A665" s="4">
        <v>44834</v>
      </c>
      <c r="B665" s="2">
        <v>36</v>
      </c>
      <c r="C665" s="2" t="str">
        <f t="shared" si="116"/>
        <v>2870</v>
      </c>
      <c r="D665" s="2" t="str">
        <f t="shared" si="117"/>
        <v>Прочие транзитные счета</v>
      </c>
      <c r="E665" s="2" t="str">
        <f t="shared" si="115"/>
        <v>1</v>
      </c>
      <c r="F665" s="2" t="str">
        <f>"7"</f>
        <v>7</v>
      </c>
      <c r="G665" s="2" t="str">
        <f>"2"</f>
        <v>2</v>
      </c>
      <c r="H665" s="3">
        <v>1163567.8799999999</v>
      </c>
    </row>
    <row r="666" spans="1:8" x14ac:dyDescent="0.3">
      <c r="A666" s="4">
        <v>44834</v>
      </c>
      <c r="B666" s="2">
        <v>36</v>
      </c>
      <c r="C666" s="2" t="str">
        <f t="shared" si="116"/>
        <v>2870</v>
      </c>
      <c r="D666" s="2" t="str">
        <f t="shared" si="117"/>
        <v>Прочие транзитные счета</v>
      </c>
      <c r="E666" s="2" t="str">
        <f t="shared" si="115"/>
        <v>1</v>
      </c>
      <c r="F666" s="2" t="str">
        <f>"4"</f>
        <v>4</v>
      </c>
      <c r="G666" s="2" t="str">
        <f>"1"</f>
        <v>1</v>
      </c>
      <c r="H666" s="3">
        <v>951213591.14999998</v>
      </c>
    </row>
    <row r="667" spans="1:8" x14ac:dyDescent="0.3">
      <c r="A667" s="4">
        <v>44834</v>
      </c>
      <c r="B667" s="2">
        <v>36</v>
      </c>
      <c r="C667" s="2" t="str">
        <f t="shared" si="116"/>
        <v>2870</v>
      </c>
      <c r="D667" s="2" t="str">
        <f t="shared" si="117"/>
        <v>Прочие транзитные счета</v>
      </c>
      <c r="E667" s="2" t="str">
        <f>"2"</f>
        <v>2</v>
      </c>
      <c r="F667" s="2" t="str">
        <f>"4"</f>
        <v>4</v>
      </c>
      <c r="G667" s="2" t="str">
        <f>"3"</f>
        <v>3</v>
      </c>
      <c r="H667" s="3">
        <v>3599711082</v>
      </c>
    </row>
    <row r="668" spans="1:8" x14ac:dyDescent="0.3">
      <c r="A668" s="4">
        <v>44834</v>
      </c>
      <c r="B668" s="2">
        <v>36</v>
      </c>
      <c r="C668" s="2" t="str">
        <f t="shared" si="116"/>
        <v>2870</v>
      </c>
      <c r="D668" s="2" t="str">
        <f t="shared" si="117"/>
        <v>Прочие транзитные счета</v>
      </c>
      <c r="E668" s="2" t="str">
        <f>"2"</f>
        <v>2</v>
      </c>
      <c r="F668" s="2" t="str">
        <f>"5"</f>
        <v>5</v>
      </c>
      <c r="G668" s="2" t="str">
        <f>"2"</f>
        <v>2</v>
      </c>
      <c r="H668" s="3">
        <v>143013000</v>
      </c>
    </row>
    <row r="669" spans="1:8" x14ac:dyDescent="0.3">
      <c r="A669" s="4">
        <v>44834</v>
      </c>
      <c r="B669" s="2">
        <v>36</v>
      </c>
      <c r="C669" s="2" t="str">
        <f t="shared" si="116"/>
        <v>2870</v>
      </c>
      <c r="D669" s="2" t="str">
        <f t="shared" si="117"/>
        <v>Прочие транзитные счета</v>
      </c>
      <c r="E669" s="2" t="str">
        <f>"1"</f>
        <v>1</v>
      </c>
      <c r="F669" s="2" t="str">
        <f>"4"</f>
        <v>4</v>
      </c>
      <c r="G669" s="2" t="str">
        <f>"2"</f>
        <v>2</v>
      </c>
      <c r="H669" s="3">
        <v>4809461620.1300001</v>
      </c>
    </row>
    <row r="670" spans="1:8" x14ac:dyDescent="0.3">
      <c r="A670" s="4">
        <v>44834</v>
      </c>
      <c r="B670" s="2">
        <v>36</v>
      </c>
      <c r="C670" s="2" t="str">
        <f t="shared" si="116"/>
        <v>2870</v>
      </c>
      <c r="D670" s="2" t="str">
        <f t="shared" si="117"/>
        <v>Прочие транзитные счета</v>
      </c>
      <c r="E670" s="2" t="str">
        <f>"2"</f>
        <v>2</v>
      </c>
      <c r="F670" s="2" t="str">
        <f>"4"</f>
        <v>4</v>
      </c>
      <c r="G670" s="2" t="str">
        <f>"2"</f>
        <v>2</v>
      </c>
      <c r="H670" s="3">
        <v>3620128999.3499999</v>
      </c>
    </row>
    <row r="671" spans="1:8" x14ac:dyDescent="0.3">
      <c r="A671" s="4">
        <v>44834</v>
      </c>
      <c r="B671" s="2">
        <v>36</v>
      </c>
      <c r="C671" s="2" t="str">
        <f t="shared" si="116"/>
        <v>2870</v>
      </c>
      <c r="D671" s="2" t="str">
        <f t="shared" si="117"/>
        <v>Прочие транзитные счета</v>
      </c>
      <c r="E671" s="2" t="str">
        <f>"1"</f>
        <v>1</v>
      </c>
      <c r="F671" s="2" t="str">
        <f>"5"</f>
        <v>5</v>
      </c>
      <c r="G671" s="2" t="str">
        <f>"2"</f>
        <v>2</v>
      </c>
      <c r="H671" s="3">
        <v>16654351.34</v>
      </c>
    </row>
    <row r="672" spans="1:8" x14ac:dyDescent="0.3">
      <c r="A672" s="4">
        <v>44834</v>
      </c>
      <c r="B672" s="2">
        <v>36</v>
      </c>
      <c r="C672" s="2" t="str">
        <f t="shared" si="116"/>
        <v>2870</v>
      </c>
      <c r="D672" s="2" t="str">
        <f t="shared" si="117"/>
        <v>Прочие транзитные счета</v>
      </c>
      <c r="E672" s="2" t="str">
        <f>"2"</f>
        <v>2</v>
      </c>
      <c r="F672" s="2" t="str">
        <f>"7"</f>
        <v>7</v>
      </c>
      <c r="G672" s="2" t="str">
        <f>"1"</f>
        <v>1</v>
      </c>
      <c r="H672" s="3">
        <v>801529077.05999994</v>
      </c>
    </row>
    <row r="673" spans="1:8" x14ac:dyDescent="0.3">
      <c r="A673" s="4">
        <v>44834</v>
      </c>
      <c r="B673" s="2">
        <v>36</v>
      </c>
      <c r="C673" s="2" t="str">
        <f t="shared" si="116"/>
        <v>2870</v>
      </c>
      <c r="D673" s="2" t="str">
        <f t="shared" si="117"/>
        <v>Прочие транзитные счета</v>
      </c>
      <c r="E673" s="2" t="str">
        <f>"1"</f>
        <v>1</v>
      </c>
      <c r="F673" s="2" t="str">
        <f>"5"</f>
        <v>5</v>
      </c>
      <c r="G673" s="2" t="str">
        <f>"1"</f>
        <v>1</v>
      </c>
      <c r="H673" s="3">
        <v>2221.0100000000002</v>
      </c>
    </row>
    <row r="674" spans="1:8" x14ac:dyDescent="0.3">
      <c r="A674" s="4">
        <v>44834</v>
      </c>
      <c r="B674" s="2">
        <v>36</v>
      </c>
      <c r="C674" s="2" t="str">
        <f t="shared" si="116"/>
        <v>2870</v>
      </c>
      <c r="D674" s="2" t="str">
        <f t="shared" si="117"/>
        <v>Прочие транзитные счета</v>
      </c>
      <c r="E674" s="2" t="str">
        <f>"2"</f>
        <v>2</v>
      </c>
      <c r="F674" s="2" t="str">
        <f>"5"</f>
        <v>5</v>
      </c>
      <c r="G674" s="2" t="str">
        <f>"3"</f>
        <v>3</v>
      </c>
      <c r="H674" s="3">
        <v>25080</v>
      </c>
    </row>
    <row r="675" spans="1:8" x14ac:dyDescent="0.3">
      <c r="A675" s="4">
        <v>44834</v>
      </c>
      <c r="B675" s="2">
        <v>36</v>
      </c>
      <c r="C675" s="2" t="str">
        <f t="shared" si="116"/>
        <v>2870</v>
      </c>
      <c r="D675" s="2" t="str">
        <f t="shared" si="117"/>
        <v>Прочие транзитные счета</v>
      </c>
      <c r="E675" s="2" t="str">
        <f>"2"</f>
        <v>2</v>
      </c>
      <c r="F675" s="2" t="str">
        <f>"7"</f>
        <v>7</v>
      </c>
      <c r="G675" s="2" t="str">
        <f>"2"</f>
        <v>2</v>
      </c>
      <c r="H675" s="3">
        <v>423090274.80000001</v>
      </c>
    </row>
    <row r="676" spans="1:8" x14ac:dyDescent="0.3">
      <c r="A676" s="4">
        <v>44834</v>
      </c>
      <c r="B676" s="2">
        <v>36</v>
      </c>
      <c r="C676" s="2" t="str">
        <f t="shared" si="116"/>
        <v>2870</v>
      </c>
      <c r="D676" s="2" t="str">
        <f t="shared" si="117"/>
        <v>Прочие транзитные счета</v>
      </c>
      <c r="E676" s="2" t="str">
        <f>"1"</f>
        <v>1</v>
      </c>
      <c r="F676" s="2" t="str">
        <f>"9"</f>
        <v>9</v>
      </c>
      <c r="G676" s="2" t="str">
        <f>"2"</f>
        <v>2</v>
      </c>
      <c r="H676" s="3">
        <v>145472.79999999999</v>
      </c>
    </row>
    <row r="677" spans="1:8" x14ac:dyDescent="0.3">
      <c r="A677" s="4">
        <v>44834</v>
      </c>
      <c r="B677" s="2">
        <v>36</v>
      </c>
      <c r="C677" s="2" t="str">
        <f>"2874"</f>
        <v>2874</v>
      </c>
      <c r="D677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77" s="2" t="str">
        <f>"1"</f>
        <v>1</v>
      </c>
      <c r="F677" s="2" t="str">
        <f>""</f>
        <v/>
      </c>
      <c r="G677" s="2" t="str">
        <f>"3"</f>
        <v>3</v>
      </c>
      <c r="H677" s="3">
        <v>507727.88</v>
      </c>
    </row>
    <row r="678" spans="1:8" x14ac:dyDescent="0.3">
      <c r="A678" s="4">
        <v>44834</v>
      </c>
      <c r="B678" s="2">
        <v>36</v>
      </c>
      <c r="C678" s="2" t="str">
        <f>"2874"</f>
        <v>2874</v>
      </c>
      <c r="D678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78" s="2" t="str">
        <f>"1"</f>
        <v>1</v>
      </c>
      <c r="F678" s="2" t="str">
        <f>""</f>
        <v/>
      </c>
      <c r="G678" s="2" t="str">
        <f>"1"</f>
        <v>1</v>
      </c>
      <c r="H678" s="3">
        <v>1185333601.0899999</v>
      </c>
    </row>
    <row r="679" spans="1:8" x14ac:dyDescent="0.3">
      <c r="A679" s="4">
        <v>44834</v>
      </c>
      <c r="B679" s="2">
        <v>36</v>
      </c>
      <c r="C679" s="2" t="str">
        <f>"2874"</f>
        <v>2874</v>
      </c>
      <c r="D679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79" s="2" t="str">
        <f>"2"</f>
        <v>2</v>
      </c>
      <c r="F679" s="2" t="str">
        <f>""</f>
        <v/>
      </c>
      <c r="G679" s="2" t="str">
        <f>"1"</f>
        <v>1</v>
      </c>
      <c r="H679" s="3">
        <v>13000</v>
      </c>
    </row>
    <row r="680" spans="1:8" x14ac:dyDescent="0.3">
      <c r="A680" s="4">
        <v>44834</v>
      </c>
      <c r="B680" s="2">
        <v>36</v>
      </c>
      <c r="C680" s="2" t="str">
        <f>"2875"</f>
        <v>2875</v>
      </c>
      <c r="D680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80" s="2" t="str">
        <f>"1"</f>
        <v>1</v>
      </c>
      <c r="F680" s="2" t="str">
        <f>"7"</f>
        <v>7</v>
      </c>
      <c r="G680" s="2" t="str">
        <f>"2"</f>
        <v>2</v>
      </c>
      <c r="H680" s="3">
        <v>555676.96</v>
      </c>
    </row>
    <row r="681" spans="1:8" x14ac:dyDescent="0.3">
      <c r="A681" s="4">
        <v>44834</v>
      </c>
      <c r="B681" s="2">
        <v>36</v>
      </c>
      <c r="C681" s="2" t="str">
        <f>"2880"</f>
        <v>2880</v>
      </c>
      <c r="D681" s="2" t="str">
        <f>"Обязательства по секьюритизируемым активам"</f>
        <v>Обязательства по секьюритизируемым активам</v>
      </c>
      <c r="E681" s="2" t="str">
        <f>"1"</f>
        <v>1</v>
      </c>
      <c r="F681" s="2" t="str">
        <f>""</f>
        <v/>
      </c>
      <c r="G681" s="2" t="str">
        <f t="shared" ref="G681:G686" si="118">"1"</f>
        <v>1</v>
      </c>
      <c r="H681" s="3">
        <v>10514701720.24</v>
      </c>
    </row>
    <row r="682" spans="1:8" x14ac:dyDescent="0.3">
      <c r="A682" s="4">
        <v>44834</v>
      </c>
      <c r="B682" s="2">
        <v>36</v>
      </c>
      <c r="C682" s="2" t="str">
        <f>"2894"</f>
        <v>2894</v>
      </c>
      <c r="D682" s="2" t="str">
        <f>"Обязательства по операциям спот"</f>
        <v>Обязательства по операциям спот</v>
      </c>
      <c r="E682" s="2" t="str">
        <f>"2"</f>
        <v>2</v>
      </c>
      <c r="F682" s="2" t="str">
        <f>"4"</f>
        <v>4</v>
      </c>
      <c r="G682" s="2" t="str">
        <f t="shared" si="118"/>
        <v>1</v>
      </c>
      <c r="H682" s="3">
        <v>90341800</v>
      </c>
    </row>
    <row r="683" spans="1:8" x14ac:dyDescent="0.3">
      <c r="A683" s="4">
        <v>44834</v>
      </c>
      <c r="B683" s="2">
        <v>36</v>
      </c>
      <c r="C683" s="2" t="str">
        <f>"2894"</f>
        <v>2894</v>
      </c>
      <c r="D683" s="2" t="str">
        <f>"Обязательства по операциям спот"</f>
        <v>Обязательства по операциям спот</v>
      </c>
      <c r="E683" s="2" t="str">
        <f>"1"</f>
        <v>1</v>
      </c>
      <c r="F683" s="2" t="str">
        <f>"4"</f>
        <v>4</v>
      </c>
      <c r="G683" s="2" t="str">
        <f t="shared" si="118"/>
        <v>1</v>
      </c>
      <c r="H683" s="3">
        <v>7150000</v>
      </c>
    </row>
    <row r="684" spans="1:8" x14ac:dyDescent="0.3">
      <c r="A684" s="4">
        <v>44834</v>
      </c>
      <c r="B684" s="2">
        <v>36</v>
      </c>
      <c r="C684" s="2" t="str">
        <f>"2894"</f>
        <v>2894</v>
      </c>
      <c r="D684" s="2" t="str">
        <f>"Обязательства по операциям спот"</f>
        <v>Обязательства по операциям спот</v>
      </c>
      <c r="E684" s="2" t="str">
        <f>"1"</f>
        <v>1</v>
      </c>
      <c r="F684" s="2" t="str">
        <f>"5"</f>
        <v>5</v>
      </c>
      <c r="G684" s="2" t="str">
        <f t="shared" si="118"/>
        <v>1</v>
      </c>
      <c r="H684" s="3">
        <v>311055850</v>
      </c>
    </row>
    <row r="685" spans="1:8" x14ac:dyDescent="0.3">
      <c r="A685" s="4">
        <v>44834</v>
      </c>
      <c r="B685" s="2">
        <v>36</v>
      </c>
      <c r="C685" s="2" t="str">
        <f>"2895"</f>
        <v>2895</v>
      </c>
      <c r="D685" s="2" t="str">
        <f>"Обязательства по операциям своп"</f>
        <v>Обязательства по операциям своп</v>
      </c>
      <c r="E685" s="2" t="str">
        <f>"1"</f>
        <v>1</v>
      </c>
      <c r="F685" s="2" t="str">
        <f>"5"</f>
        <v>5</v>
      </c>
      <c r="G685" s="2" t="str">
        <f t="shared" si="118"/>
        <v>1</v>
      </c>
      <c r="H685" s="3">
        <v>179000000</v>
      </c>
    </row>
    <row r="686" spans="1:8" x14ac:dyDescent="0.3">
      <c r="A686" s="4">
        <v>44834</v>
      </c>
      <c r="B686" s="2">
        <v>36</v>
      </c>
      <c r="C686" s="2" t="str">
        <f>"2895"</f>
        <v>2895</v>
      </c>
      <c r="D686" s="2" t="str">
        <f>"Обязательства по операциям своп"</f>
        <v>Обязательства по операциям своп</v>
      </c>
      <c r="E686" s="2" t="str">
        <f>"2"</f>
        <v>2</v>
      </c>
      <c r="F686" s="2" t="str">
        <f>"4"</f>
        <v>4</v>
      </c>
      <c r="G686" s="2" t="str">
        <f t="shared" si="118"/>
        <v>1</v>
      </c>
      <c r="H686" s="3">
        <v>97564567.5</v>
      </c>
    </row>
    <row r="687" spans="1:8" x14ac:dyDescent="0.3">
      <c r="A687" s="4">
        <v>44834</v>
      </c>
      <c r="B687" s="2">
        <v>36</v>
      </c>
      <c r="C687" s="2" t="str">
        <f>"3001"</f>
        <v>3001</v>
      </c>
      <c r="D687" s="2" t="str">
        <f>"Уставный капитал – простые акции"</f>
        <v>Уставный капитал – простые акции</v>
      </c>
      <c r="E687" s="2" t="str">
        <f>""</f>
        <v/>
      </c>
      <c r="F687" s="2" t="str">
        <f>""</f>
        <v/>
      </c>
      <c r="G687" s="2" t="str">
        <f>""</f>
        <v/>
      </c>
      <c r="H687" s="3">
        <v>258200884530.94</v>
      </c>
    </row>
    <row r="688" spans="1:8" x14ac:dyDescent="0.3">
      <c r="A688" s="4">
        <v>44834</v>
      </c>
      <c r="B688" s="2">
        <v>36</v>
      </c>
      <c r="C688" s="2" t="str">
        <f>"3003"</f>
        <v>3003</v>
      </c>
      <c r="D688" s="2" t="str">
        <f>"Выкупленные простые акции"</f>
        <v>Выкупленные простые акции</v>
      </c>
      <c r="E688" s="2" t="str">
        <f>""</f>
        <v/>
      </c>
      <c r="F688" s="2" t="str">
        <f>""</f>
        <v/>
      </c>
      <c r="G688" s="2" t="str">
        <f>""</f>
        <v/>
      </c>
      <c r="H688" s="3">
        <v>-2637702661.9299998</v>
      </c>
    </row>
    <row r="689" spans="1:8" x14ac:dyDescent="0.3">
      <c r="A689" s="4">
        <v>44834</v>
      </c>
      <c r="B689" s="2">
        <v>36</v>
      </c>
      <c r="C689" s="2" t="str">
        <f>"3025"</f>
        <v>3025</v>
      </c>
      <c r="D689" s="2" t="str">
        <f>"Уставный капитал – привилегированные акции"</f>
        <v>Уставный капитал – привилегированные акции</v>
      </c>
      <c r="E689" s="2" t="str">
        <f>""</f>
        <v/>
      </c>
      <c r="F689" s="2" t="str">
        <f>""</f>
        <v/>
      </c>
      <c r="G689" s="2" t="str">
        <f>""</f>
        <v/>
      </c>
      <c r="H689" s="3">
        <v>2500000000</v>
      </c>
    </row>
    <row r="690" spans="1:8" x14ac:dyDescent="0.3">
      <c r="A690" s="4">
        <v>44834</v>
      </c>
      <c r="B690" s="2">
        <v>36</v>
      </c>
      <c r="C690" s="2" t="str">
        <f>"3101"</f>
        <v>3101</v>
      </c>
      <c r="D690" s="2" t="str">
        <f>"Дополнительный оплаченный капитал"</f>
        <v>Дополнительный оплаченный капитал</v>
      </c>
      <c r="E690" s="2" t="str">
        <f>""</f>
        <v/>
      </c>
      <c r="F690" s="2" t="str">
        <f>""</f>
        <v/>
      </c>
      <c r="G690" s="2" t="str">
        <f>""</f>
        <v/>
      </c>
      <c r="H690" s="3">
        <v>686279349.84000003</v>
      </c>
    </row>
    <row r="691" spans="1:8" x14ac:dyDescent="0.3">
      <c r="A691" s="4">
        <v>44834</v>
      </c>
      <c r="B691" s="2">
        <v>36</v>
      </c>
      <c r="C691" s="2" t="str">
        <f>"3540"</f>
        <v>3540</v>
      </c>
      <c r="D691" s="2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91" s="2" t="str">
        <f>""</f>
        <v/>
      </c>
      <c r="F691" s="2" t="str">
        <f>""</f>
        <v/>
      </c>
      <c r="G691" s="2" t="str">
        <f>""</f>
        <v/>
      </c>
      <c r="H691" s="3">
        <v>755301300.40999997</v>
      </c>
    </row>
    <row r="692" spans="1:8" x14ac:dyDescent="0.3">
      <c r="A692" s="4">
        <v>44834</v>
      </c>
      <c r="B692" s="2">
        <v>36</v>
      </c>
      <c r="C692" s="2" t="str">
        <f>"3561"</f>
        <v>3561</v>
      </c>
      <c r="D692" s="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92" s="2" t="str">
        <f>"1"</f>
        <v>1</v>
      </c>
      <c r="F692" s="2" t="str">
        <f>""</f>
        <v/>
      </c>
      <c r="G692" s="2" t="str">
        <f>"1"</f>
        <v>1</v>
      </c>
      <c r="H692" s="3">
        <v>5482836476.1000004</v>
      </c>
    </row>
    <row r="693" spans="1:8" x14ac:dyDescent="0.3">
      <c r="A693" s="4">
        <v>44834</v>
      </c>
      <c r="B693" s="2">
        <v>36</v>
      </c>
      <c r="C693" s="2" t="str">
        <f>"3562"</f>
        <v>3562</v>
      </c>
      <c r="D693" s="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3" s="2" t="str">
        <f>"1"</f>
        <v>1</v>
      </c>
      <c r="F693" s="2" t="str">
        <f>""</f>
        <v/>
      </c>
      <c r="G693" s="2" t="str">
        <f>"1"</f>
        <v>1</v>
      </c>
      <c r="H693" s="3">
        <v>84082335.090000004</v>
      </c>
    </row>
    <row r="694" spans="1:8" x14ac:dyDescent="0.3">
      <c r="A694" s="4">
        <v>44834</v>
      </c>
      <c r="B694" s="2">
        <v>36</v>
      </c>
      <c r="C694" s="2" t="str">
        <f>"3562"</f>
        <v>3562</v>
      </c>
      <c r="D694" s="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4" s="2" t="str">
        <f>"1"</f>
        <v>1</v>
      </c>
      <c r="F694" s="2" t="str">
        <f>""</f>
        <v/>
      </c>
      <c r="G694" s="2" t="str">
        <f>"2"</f>
        <v>2</v>
      </c>
      <c r="H694" s="3">
        <v>16196579.779999999</v>
      </c>
    </row>
    <row r="695" spans="1:8" x14ac:dyDescent="0.3">
      <c r="A695" s="4">
        <v>44834</v>
      </c>
      <c r="B695" s="2">
        <v>36</v>
      </c>
      <c r="C695" s="2" t="str">
        <f>"3563"</f>
        <v>3563</v>
      </c>
      <c r="D695" s="2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695" s="2" t="str">
        <f>"1"</f>
        <v>1</v>
      </c>
      <c r="F695" s="2" t="str">
        <f>""</f>
        <v/>
      </c>
      <c r="G695" s="2" t="str">
        <f>"1"</f>
        <v>1</v>
      </c>
      <c r="H695" s="3">
        <v>-6682604308</v>
      </c>
    </row>
    <row r="696" spans="1:8" x14ac:dyDescent="0.3">
      <c r="A696" s="4">
        <v>44834</v>
      </c>
      <c r="B696" s="2">
        <v>36</v>
      </c>
      <c r="C696" s="2" t="str">
        <f>"3580"</f>
        <v>3580</v>
      </c>
      <c r="D696" s="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696" s="2" t="str">
        <f>""</f>
        <v/>
      </c>
      <c r="F696" s="2" t="str">
        <f>""</f>
        <v/>
      </c>
      <c r="G696" s="2" t="str">
        <f>""</f>
        <v/>
      </c>
      <c r="H696" s="3">
        <v>177397224739.85001</v>
      </c>
    </row>
    <row r="697" spans="1:8" x14ac:dyDescent="0.3">
      <c r="A697" s="4">
        <v>44834</v>
      </c>
      <c r="B697" s="2">
        <v>36</v>
      </c>
      <c r="C697" s="2" t="str">
        <f>"3599"</f>
        <v>3599</v>
      </c>
      <c r="D697" s="2" t="str">
        <f>"Нераспределенная чистая прибыль (непокрытый убыток)"</f>
        <v>Нераспределенная чистая прибыль (непокрытый убыток)</v>
      </c>
      <c r="E697" s="2" t="str">
        <f>""</f>
        <v/>
      </c>
      <c r="F697" s="2" t="str">
        <f>""</f>
        <v/>
      </c>
      <c r="G697" s="2" t="str">
        <f>""</f>
        <v/>
      </c>
      <c r="H697" s="3">
        <v>62318718627.540001</v>
      </c>
    </row>
    <row r="698" spans="1:8" x14ac:dyDescent="0.3">
      <c r="A698" s="4">
        <v>44834</v>
      </c>
      <c r="B698" s="2">
        <v>36</v>
      </c>
      <c r="C698" s="2" t="str">
        <f>"4052"</f>
        <v>4052</v>
      </c>
      <c r="D698" s="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698" s="2" t="str">
        <f>""</f>
        <v/>
      </c>
      <c r="F698" s="2" t="str">
        <f>""</f>
        <v/>
      </c>
      <c r="G698" s="2" t="str">
        <f>""</f>
        <v/>
      </c>
      <c r="H698" s="3">
        <v>163603315.02000001</v>
      </c>
    </row>
    <row r="699" spans="1:8" x14ac:dyDescent="0.3">
      <c r="A699" s="4">
        <v>44834</v>
      </c>
      <c r="B699" s="2">
        <v>36</v>
      </c>
      <c r="C699" s="2" t="str">
        <f>"4101"</f>
        <v>4101</v>
      </c>
      <c r="D699" s="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699" s="2" t="str">
        <f>""</f>
        <v/>
      </c>
      <c r="F699" s="2" t="str">
        <f>""</f>
        <v/>
      </c>
      <c r="G699" s="2" t="str">
        <f>""</f>
        <v/>
      </c>
      <c r="H699" s="3">
        <v>2271833333.3200002</v>
      </c>
    </row>
    <row r="700" spans="1:8" x14ac:dyDescent="0.3">
      <c r="A700" s="4">
        <v>44834</v>
      </c>
      <c r="B700" s="2">
        <v>36</v>
      </c>
      <c r="C700" s="2" t="str">
        <f>"4103"</f>
        <v>4103</v>
      </c>
      <c r="D700" s="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00" s="2" t="str">
        <f>""</f>
        <v/>
      </c>
      <c r="F700" s="2" t="str">
        <f>""</f>
        <v/>
      </c>
      <c r="G700" s="2" t="str">
        <f>""</f>
        <v/>
      </c>
      <c r="H700" s="3">
        <v>16585834641.799999</v>
      </c>
    </row>
    <row r="701" spans="1:8" x14ac:dyDescent="0.3">
      <c r="A701" s="4">
        <v>44834</v>
      </c>
      <c r="B701" s="2">
        <v>36</v>
      </c>
      <c r="C701" s="2" t="str">
        <f>"4201"</f>
        <v>4201</v>
      </c>
      <c r="D701" s="2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E701" s="2" t="str">
        <f>""</f>
        <v/>
      </c>
      <c r="F701" s="2" t="str">
        <f>""</f>
        <v/>
      </c>
      <c r="G701" s="2" t="str">
        <f>""</f>
        <v/>
      </c>
      <c r="H701" s="3">
        <v>10500048.75</v>
      </c>
    </row>
    <row r="702" spans="1:8" x14ac:dyDescent="0.3">
      <c r="A702" s="4">
        <v>44834</v>
      </c>
      <c r="B702" s="2">
        <v>36</v>
      </c>
      <c r="C702" s="2" t="str">
        <f>"4202"</f>
        <v>4202</v>
      </c>
      <c r="D702" s="2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E702" s="2" t="str">
        <f>""</f>
        <v/>
      </c>
      <c r="F702" s="2" t="str">
        <f>""</f>
        <v/>
      </c>
      <c r="G702" s="2" t="str">
        <f>""</f>
        <v/>
      </c>
      <c r="H702" s="3">
        <v>6621893.0899999999</v>
      </c>
    </row>
    <row r="703" spans="1:8" x14ac:dyDescent="0.3">
      <c r="A703" s="4">
        <v>44834</v>
      </c>
      <c r="B703" s="2">
        <v>36</v>
      </c>
      <c r="C703" s="2" t="str">
        <f>"4251"</f>
        <v>4251</v>
      </c>
      <c r="D703" s="2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03" s="2" t="str">
        <f>""</f>
        <v/>
      </c>
      <c r="F703" s="2" t="str">
        <f>""</f>
        <v/>
      </c>
      <c r="G703" s="2" t="str">
        <f>""</f>
        <v/>
      </c>
      <c r="H703" s="3">
        <v>12862107.98</v>
      </c>
    </row>
    <row r="704" spans="1:8" x14ac:dyDescent="0.3">
      <c r="A704" s="4">
        <v>44834</v>
      </c>
      <c r="B704" s="2">
        <v>36</v>
      </c>
      <c r="C704" s="2" t="str">
        <f>"4253"</f>
        <v>4253</v>
      </c>
      <c r="D704" s="2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04" s="2" t="str">
        <f>""</f>
        <v/>
      </c>
      <c r="F704" s="2" t="str">
        <f>""</f>
        <v/>
      </c>
      <c r="G704" s="2" t="str">
        <f>""</f>
        <v/>
      </c>
      <c r="H704" s="3">
        <v>60337218.219999999</v>
      </c>
    </row>
    <row r="705" spans="1:8" x14ac:dyDescent="0.3">
      <c r="A705" s="4">
        <v>44834</v>
      </c>
      <c r="B705" s="2">
        <v>36</v>
      </c>
      <c r="C705" s="2" t="str">
        <f>"4254"</f>
        <v>4254</v>
      </c>
      <c r="D705" s="2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05" s="2" t="str">
        <f>""</f>
        <v/>
      </c>
      <c r="F705" s="2" t="str">
        <f>""</f>
        <v/>
      </c>
      <c r="G705" s="2" t="str">
        <f>""</f>
        <v/>
      </c>
      <c r="H705" s="3">
        <v>46210041.759999998</v>
      </c>
    </row>
    <row r="706" spans="1:8" x14ac:dyDescent="0.3">
      <c r="A706" s="4">
        <v>44834</v>
      </c>
      <c r="B706" s="2">
        <v>36</v>
      </c>
      <c r="C706" s="2" t="str">
        <f>"4265"</f>
        <v>4265</v>
      </c>
      <c r="D706" s="2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06" s="2" t="str">
        <f>""</f>
        <v/>
      </c>
      <c r="F706" s="2" t="str">
        <f>""</f>
        <v/>
      </c>
      <c r="G706" s="2" t="str">
        <f>""</f>
        <v/>
      </c>
      <c r="H706" s="3">
        <v>42637214.689999998</v>
      </c>
    </row>
    <row r="707" spans="1:8" x14ac:dyDescent="0.3">
      <c r="A707" s="4">
        <v>44834</v>
      </c>
      <c r="B707" s="2">
        <v>36</v>
      </c>
      <c r="C707" s="2" t="str">
        <f>"4267"</f>
        <v>4267</v>
      </c>
      <c r="D707" s="2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E707" s="2" t="str">
        <f>""</f>
        <v/>
      </c>
      <c r="F707" s="2" t="str">
        <f>""</f>
        <v/>
      </c>
      <c r="G707" s="2" t="str">
        <f>""</f>
        <v/>
      </c>
      <c r="H707" s="3">
        <v>15864964.99</v>
      </c>
    </row>
    <row r="708" spans="1:8" x14ac:dyDescent="0.3">
      <c r="A708" s="4">
        <v>44834</v>
      </c>
      <c r="B708" s="2">
        <v>36</v>
      </c>
      <c r="C708" s="2" t="str">
        <f>"4302"</f>
        <v>4302</v>
      </c>
      <c r="D708" s="2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08" s="2" t="str">
        <f>""</f>
        <v/>
      </c>
      <c r="F708" s="2" t="str">
        <f>""</f>
        <v/>
      </c>
      <c r="G708" s="2" t="str">
        <f>""</f>
        <v/>
      </c>
      <c r="H708" s="3">
        <v>37196080.57</v>
      </c>
    </row>
    <row r="709" spans="1:8" x14ac:dyDescent="0.3">
      <c r="A709" s="4">
        <v>44834</v>
      </c>
      <c r="B709" s="2">
        <v>36</v>
      </c>
      <c r="C709" s="2" t="str">
        <f>"4304"</f>
        <v>4304</v>
      </c>
      <c r="D709" s="2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E709" s="2" t="str">
        <f>""</f>
        <v/>
      </c>
      <c r="F709" s="2" t="str">
        <f>""</f>
        <v/>
      </c>
      <c r="G709" s="2" t="str">
        <f>""</f>
        <v/>
      </c>
      <c r="H709" s="3">
        <v>6572630.79</v>
      </c>
    </row>
    <row r="710" spans="1:8" x14ac:dyDescent="0.3">
      <c r="A710" s="4">
        <v>44834</v>
      </c>
      <c r="B710" s="2">
        <v>36</v>
      </c>
      <c r="C710" s="2" t="str">
        <f>"4313"</f>
        <v>4313</v>
      </c>
      <c r="D710" s="2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E710" s="2" t="str">
        <f>""</f>
        <v/>
      </c>
      <c r="F710" s="2" t="str">
        <f>""</f>
        <v/>
      </c>
      <c r="G710" s="2" t="str">
        <f>""</f>
        <v/>
      </c>
      <c r="H710" s="3">
        <v>33966654625.130001</v>
      </c>
    </row>
    <row r="711" spans="1:8" x14ac:dyDescent="0.3">
      <c r="A711" s="4">
        <v>44834</v>
      </c>
      <c r="B711" s="2">
        <v>36</v>
      </c>
      <c r="C711" s="2" t="str">
        <f>"4401"</f>
        <v>4401</v>
      </c>
      <c r="D711" s="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11" s="2" t="str">
        <f>""</f>
        <v/>
      </c>
      <c r="F711" s="2" t="str">
        <f>""</f>
        <v/>
      </c>
      <c r="G711" s="2" t="str">
        <f>""</f>
        <v/>
      </c>
      <c r="H711" s="3">
        <v>237151872.97</v>
      </c>
    </row>
    <row r="712" spans="1:8" x14ac:dyDescent="0.3">
      <c r="A712" s="4">
        <v>44834</v>
      </c>
      <c r="B712" s="2">
        <v>36</v>
      </c>
      <c r="C712" s="2" t="str">
        <f>"4403"</f>
        <v>4403</v>
      </c>
      <c r="D712" s="2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12" s="2" t="str">
        <f>""</f>
        <v/>
      </c>
      <c r="F712" s="2" t="str">
        <f>""</f>
        <v/>
      </c>
      <c r="G712" s="2" t="str">
        <f>""</f>
        <v/>
      </c>
      <c r="H712" s="3">
        <v>14767888.26</v>
      </c>
    </row>
    <row r="713" spans="1:8" x14ac:dyDescent="0.3">
      <c r="A713" s="4">
        <v>44834</v>
      </c>
      <c r="B713" s="2">
        <v>36</v>
      </c>
      <c r="C713" s="2" t="str">
        <f>"4411"</f>
        <v>4411</v>
      </c>
      <c r="D713" s="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13" s="2" t="str">
        <f>""</f>
        <v/>
      </c>
      <c r="F713" s="2" t="str">
        <f>""</f>
        <v/>
      </c>
      <c r="G713" s="2" t="str">
        <f>""</f>
        <v/>
      </c>
      <c r="H713" s="3">
        <v>9713183527.9099998</v>
      </c>
    </row>
    <row r="714" spans="1:8" x14ac:dyDescent="0.3">
      <c r="A714" s="4">
        <v>44834</v>
      </c>
      <c r="B714" s="2">
        <v>36</v>
      </c>
      <c r="C714" s="2" t="str">
        <f>"4417"</f>
        <v>4417</v>
      </c>
      <c r="D714" s="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14" s="2" t="str">
        <f>""</f>
        <v/>
      </c>
      <c r="F714" s="2" t="str">
        <f>""</f>
        <v/>
      </c>
      <c r="G714" s="2" t="str">
        <f>""</f>
        <v/>
      </c>
      <c r="H714" s="3">
        <v>72248136055.960007</v>
      </c>
    </row>
    <row r="715" spans="1:8" x14ac:dyDescent="0.3">
      <c r="A715" s="4">
        <v>44834</v>
      </c>
      <c r="B715" s="2">
        <v>36</v>
      </c>
      <c r="C715" s="2" t="str">
        <f>"4422"</f>
        <v>4422</v>
      </c>
      <c r="D715" s="2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15" s="2" t="str">
        <f>""</f>
        <v/>
      </c>
      <c r="F715" s="2" t="str">
        <f>""</f>
        <v/>
      </c>
      <c r="G715" s="2" t="str">
        <f>""</f>
        <v/>
      </c>
      <c r="H715" s="3">
        <v>3202412815.4200001</v>
      </c>
    </row>
    <row r="716" spans="1:8" x14ac:dyDescent="0.3">
      <c r="A716" s="4">
        <v>44834</v>
      </c>
      <c r="B716" s="2">
        <v>36</v>
      </c>
      <c r="C716" s="2" t="str">
        <f>"4424"</f>
        <v>4424</v>
      </c>
      <c r="D716" s="2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16" s="2" t="str">
        <f>""</f>
        <v/>
      </c>
      <c r="F716" s="2" t="str">
        <f>""</f>
        <v/>
      </c>
      <c r="G716" s="2" t="str">
        <f>""</f>
        <v/>
      </c>
      <c r="H716" s="3">
        <v>1331085815.54</v>
      </c>
    </row>
    <row r="717" spans="1:8" x14ac:dyDescent="0.3">
      <c r="A717" s="4">
        <v>44834</v>
      </c>
      <c r="B717" s="2">
        <v>36</v>
      </c>
      <c r="C717" s="2" t="str">
        <f>"4429"</f>
        <v>4429</v>
      </c>
      <c r="D717" s="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17" s="2" t="str">
        <f>""</f>
        <v/>
      </c>
      <c r="F717" s="2" t="str">
        <f>""</f>
        <v/>
      </c>
      <c r="G717" s="2" t="str">
        <f>""</f>
        <v/>
      </c>
      <c r="H717" s="3">
        <v>80087777.930000007</v>
      </c>
    </row>
    <row r="718" spans="1:8" x14ac:dyDescent="0.3">
      <c r="A718" s="4">
        <v>44834</v>
      </c>
      <c r="B718" s="2">
        <v>36</v>
      </c>
      <c r="C718" s="2" t="str">
        <f>"4430"</f>
        <v>4430</v>
      </c>
      <c r="D718" s="2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18" s="2" t="str">
        <f>""</f>
        <v/>
      </c>
      <c r="F718" s="2" t="str">
        <f>""</f>
        <v/>
      </c>
      <c r="G718" s="2" t="str">
        <f>""</f>
        <v/>
      </c>
      <c r="H718" s="3">
        <v>27567453711.860001</v>
      </c>
    </row>
    <row r="719" spans="1:8" x14ac:dyDescent="0.3">
      <c r="A719" s="4">
        <v>44834</v>
      </c>
      <c r="B719" s="2">
        <v>36</v>
      </c>
      <c r="C719" s="2" t="str">
        <f>"4434"</f>
        <v>4434</v>
      </c>
      <c r="D719" s="2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E719" s="2" t="str">
        <f>""</f>
        <v/>
      </c>
      <c r="F719" s="2" t="str">
        <f>""</f>
        <v/>
      </c>
      <c r="G719" s="2" t="str">
        <f>""</f>
        <v/>
      </c>
      <c r="H719" s="3">
        <v>62956253539.32</v>
      </c>
    </row>
    <row r="720" spans="1:8" x14ac:dyDescent="0.3">
      <c r="A720" s="4">
        <v>44834</v>
      </c>
      <c r="B720" s="2">
        <v>36</v>
      </c>
      <c r="C720" s="2" t="str">
        <f>"4452"</f>
        <v>4452</v>
      </c>
      <c r="D720" s="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20" s="2" t="str">
        <f>""</f>
        <v/>
      </c>
      <c r="F720" s="2" t="str">
        <f>""</f>
        <v/>
      </c>
      <c r="G720" s="2" t="str">
        <f>""</f>
        <v/>
      </c>
      <c r="H720" s="3">
        <v>6928286981.0799999</v>
      </c>
    </row>
    <row r="721" spans="1:8" x14ac:dyDescent="0.3">
      <c r="A721" s="4">
        <v>44834</v>
      </c>
      <c r="B721" s="2">
        <v>36</v>
      </c>
      <c r="C721" s="2" t="str">
        <f>"4453"</f>
        <v>4453</v>
      </c>
      <c r="D721" s="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21" s="2" t="str">
        <f>""</f>
        <v/>
      </c>
      <c r="F721" s="2" t="str">
        <f>""</f>
        <v/>
      </c>
      <c r="G721" s="2" t="str">
        <f>""</f>
        <v/>
      </c>
      <c r="H721" s="3">
        <v>22473887166.66</v>
      </c>
    </row>
    <row r="722" spans="1:8" x14ac:dyDescent="0.3">
      <c r="A722" s="4">
        <v>44834</v>
      </c>
      <c r="B722" s="2">
        <v>36</v>
      </c>
      <c r="C722" s="2" t="str">
        <f>"4454"</f>
        <v>4454</v>
      </c>
      <c r="D722" s="2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22" s="2" t="str">
        <f>""</f>
        <v/>
      </c>
      <c r="F722" s="2" t="str">
        <f>""</f>
        <v/>
      </c>
      <c r="G722" s="2" t="str">
        <f>""</f>
        <v/>
      </c>
      <c r="H722" s="3">
        <v>21965.01</v>
      </c>
    </row>
    <row r="723" spans="1:8" x14ac:dyDescent="0.3">
      <c r="A723" s="4">
        <v>44834</v>
      </c>
      <c r="B723" s="2">
        <v>36</v>
      </c>
      <c r="C723" s="2" t="str">
        <f>"4465"</f>
        <v>4465</v>
      </c>
      <c r="D723" s="2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E723" s="2" t="str">
        <f>""</f>
        <v/>
      </c>
      <c r="F723" s="2" t="str">
        <f>""</f>
        <v/>
      </c>
      <c r="G723" s="2" t="str">
        <f>""</f>
        <v/>
      </c>
      <c r="H723" s="3">
        <v>889999935.78999996</v>
      </c>
    </row>
    <row r="724" spans="1:8" x14ac:dyDescent="0.3">
      <c r="A724" s="4">
        <v>44834</v>
      </c>
      <c r="B724" s="2">
        <v>36</v>
      </c>
      <c r="C724" s="2" t="str">
        <f>"4475"</f>
        <v>4475</v>
      </c>
      <c r="D724" s="2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24" s="2" t="str">
        <f>""</f>
        <v/>
      </c>
      <c r="F724" s="2" t="str">
        <f>""</f>
        <v/>
      </c>
      <c r="G724" s="2" t="str">
        <f>""</f>
        <v/>
      </c>
      <c r="H724" s="3">
        <v>155150497.94999999</v>
      </c>
    </row>
    <row r="725" spans="1:8" x14ac:dyDescent="0.3">
      <c r="A725" s="4">
        <v>44834</v>
      </c>
      <c r="B725" s="2">
        <v>36</v>
      </c>
      <c r="C725" s="2" t="str">
        <f>"4476"</f>
        <v>4476</v>
      </c>
      <c r="D725" s="2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25" s="2" t="str">
        <f>""</f>
        <v/>
      </c>
      <c r="F725" s="2" t="str">
        <f>""</f>
        <v/>
      </c>
      <c r="G725" s="2" t="str">
        <f>""</f>
        <v/>
      </c>
      <c r="H725" s="3">
        <v>82226999.120000005</v>
      </c>
    </row>
    <row r="726" spans="1:8" x14ac:dyDescent="0.3">
      <c r="A726" s="4">
        <v>44834</v>
      </c>
      <c r="B726" s="2">
        <v>36</v>
      </c>
      <c r="C726" s="2" t="str">
        <f>"4481"</f>
        <v>4481</v>
      </c>
      <c r="D726" s="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26" s="2" t="str">
        <f>""</f>
        <v/>
      </c>
      <c r="F726" s="2" t="str">
        <f>""</f>
        <v/>
      </c>
      <c r="G726" s="2" t="str">
        <f>""</f>
        <v/>
      </c>
      <c r="H726" s="3">
        <v>1807294561.52</v>
      </c>
    </row>
    <row r="727" spans="1:8" x14ac:dyDescent="0.3">
      <c r="A727" s="4">
        <v>44834</v>
      </c>
      <c r="B727" s="2">
        <v>36</v>
      </c>
      <c r="C727" s="2" t="str">
        <f>"4482"</f>
        <v>4482</v>
      </c>
      <c r="D727" s="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27" s="2" t="str">
        <f>""</f>
        <v/>
      </c>
      <c r="F727" s="2" t="str">
        <f>""</f>
        <v/>
      </c>
      <c r="G727" s="2" t="str">
        <f>""</f>
        <v/>
      </c>
      <c r="H727" s="3">
        <v>9824130236.6700001</v>
      </c>
    </row>
    <row r="728" spans="1:8" x14ac:dyDescent="0.3">
      <c r="A728" s="4">
        <v>44834</v>
      </c>
      <c r="B728" s="2">
        <v>36</v>
      </c>
      <c r="C728" s="2" t="str">
        <f>"4492"</f>
        <v>4492</v>
      </c>
      <c r="D728" s="2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28" s="2" t="str">
        <f>""</f>
        <v/>
      </c>
      <c r="F728" s="2" t="str">
        <f>""</f>
        <v/>
      </c>
      <c r="G728" s="2" t="str">
        <f>""</f>
        <v/>
      </c>
      <c r="H728" s="3">
        <v>323872817.45999998</v>
      </c>
    </row>
    <row r="729" spans="1:8" x14ac:dyDescent="0.3">
      <c r="A729" s="4">
        <v>44834</v>
      </c>
      <c r="B729" s="2">
        <v>36</v>
      </c>
      <c r="C729" s="2" t="str">
        <f>"4510"</f>
        <v>4510</v>
      </c>
      <c r="D729" s="2" t="str">
        <f>"Доходы по купле-продаже ценных бумаг"</f>
        <v>Доходы по купле-продаже ценных бумаг</v>
      </c>
      <c r="E729" s="2" t="str">
        <f>""</f>
        <v/>
      </c>
      <c r="F729" s="2" t="str">
        <f>""</f>
        <v/>
      </c>
      <c r="G729" s="2" t="str">
        <f>""</f>
        <v/>
      </c>
      <c r="H729" s="3">
        <v>7387710.3700000001</v>
      </c>
    </row>
    <row r="730" spans="1:8" x14ac:dyDescent="0.3">
      <c r="A730" s="4">
        <v>44834</v>
      </c>
      <c r="B730" s="2">
        <v>36</v>
      </c>
      <c r="C730" s="2" t="str">
        <f>"4530"</f>
        <v>4530</v>
      </c>
      <c r="D730" s="2" t="str">
        <f>"Доходы по купле-продаже иностранной валюты"</f>
        <v>Доходы по купле-продаже иностранной валюты</v>
      </c>
      <c r="E730" s="2" t="str">
        <f>""</f>
        <v/>
      </c>
      <c r="F730" s="2" t="str">
        <f>""</f>
        <v/>
      </c>
      <c r="G730" s="2" t="str">
        <f>""</f>
        <v/>
      </c>
      <c r="H730" s="3">
        <v>48544552271.040001</v>
      </c>
    </row>
    <row r="731" spans="1:8" x14ac:dyDescent="0.3">
      <c r="A731" s="4">
        <v>44834</v>
      </c>
      <c r="B731" s="2">
        <v>36</v>
      </c>
      <c r="C731" s="2" t="str">
        <f>"4540"</f>
        <v>4540</v>
      </c>
      <c r="D731" s="2" t="str">
        <f>"Доходы от продажи аффинированных драгоценных металлов"</f>
        <v>Доходы от продажи аффинированных драгоценных металлов</v>
      </c>
      <c r="E731" s="2" t="str">
        <f>""</f>
        <v/>
      </c>
      <c r="F731" s="2" t="str">
        <f>""</f>
        <v/>
      </c>
      <c r="G731" s="2" t="str">
        <f>""</f>
        <v/>
      </c>
      <c r="H731" s="3">
        <v>232932675.36000001</v>
      </c>
    </row>
    <row r="732" spans="1:8" x14ac:dyDescent="0.3">
      <c r="A732" s="4">
        <v>44834</v>
      </c>
      <c r="B732" s="2">
        <v>36</v>
      </c>
      <c r="C732" s="2" t="str">
        <f>"4593"</f>
        <v>4593</v>
      </c>
      <c r="D732" s="2" t="str">
        <f>"Доходы от переоценки операций своп"</f>
        <v>Доходы от переоценки операций своп</v>
      </c>
      <c r="E732" s="2" t="str">
        <f>""</f>
        <v/>
      </c>
      <c r="F732" s="2" t="str">
        <f>""</f>
        <v/>
      </c>
      <c r="G732" s="2" t="str">
        <f>""</f>
        <v/>
      </c>
      <c r="H732" s="3">
        <v>1608364897.9200001</v>
      </c>
    </row>
    <row r="733" spans="1:8" x14ac:dyDescent="0.3">
      <c r="A733" s="4">
        <v>44834</v>
      </c>
      <c r="B733" s="2">
        <v>36</v>
      </c>
      <c r="C733" s="2" t="str">
        <f>"4601"</f>
        <v>4601</v>
      </c>
      <c r="D733" s="2" t="str">
        <f>"Комиссионные доходы за услуги по переводным операциям"</f>
        <v>Комиссионные доходы за услуги по переводным операциям</v>
      </c>
      <c r="E733" s="2" t="str">
        <f>""</f>
        <v/>
      </c>
      <c r="F733" s="2" t="str">
        <f>""</f>
        <v/>
      </c>
      <c r="G733" s="2" t="str">
        <f>""</f>
        <v/>
      </c>
      <c r="H733" s="3">
        <v>12200743208.559999</v>
      </c>
    </row>
    <row r="734" spans="1:8" x14ac:dyDescent="0.3">
      <c r="A734" s="4">
        <v>44834</v>
      </c>
      <c r="B734" s="2">
        <v>36</v>
      </c>
      <c r="C734" s="2" t="str">
        <f>"4602"</f>
        <v>4602</v>
      </c>
      <c r="D734" s="2" t="str">
        <f>"Комиссионные доходы за агентские услуги"</f>
        <v>Комиссионные доходы за агентские услуги</v>
      </c>
      <c r="E734" s="2" t="str">
        <f>""</f>
        <v/>
      </c>
      <c r="F734" s="2" t="str">
        <f>""</f>
        <v/>
      </c>
      <c r="G734" s="2" t="str">
        <f>""</f>
        <v/>
      </c>
      <c r="H734" s="3">
        <v>235960785.33000001</v>
      </c>
    </row>
    <row r="735" spans="1:8" x14ac:dyDescent="0.3">
      <c r="A735" s="4">
        <v>44834</v>
      </c>
      <c r="B735" s="2">
        <v>36</v>
      </c>
      <c r="C735" s="2" t="str">
        <f>"4604"</f>
        <v>4604</v>
      </c>
      <c r="D735" s="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35" s="2" t="str">
        <f>""</f>
        <v/>
      </c>
      <c r="F735" s="2" t="str">
        <f>""</f>
        <v/>
      </c>
      <c r="G735" s="2" t="str">
        <f>""</f>
        <v/>
      </c>
      <c r="H735" s="3">
        <v>434676454.77999997</v>
      </c>
    </row>
    <row r="736" spans="1:8" x14ac:dyDescent="0.3">
      <c r="A736" s="4">
        <v>44834</v>
      </c>
      <c r="B736" s="2">
        <v>36</v>
      </c>
      <c r="C736" s="2" t="str">
        <f>"4605"</f>
        <v>4605</v>
      </c>
      <c r="D736" s="2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E736" s="2" t="str">
        <f>""</f>
        <v/>
      </c>
      <c r="F736" s="2" t="str">
        <f>""</f>
        <v/>
      </c>
      <c r="G736" s="2" t="str">
        <f>""</f>
        <v/>
      </c>
      <c r="H736" s="3">
        <v>9028.51</v>
      </c>
    </row>
    <row r="737" spans="1:8" x14ac:dyDescent="0.3">
      <c r="A737" s="4">
        <v>44834</v>
      </c>
      <c r="B737" s="2">
        <v>36</v>
      </c>
      <c r="C737" s="2" t="str">
        <f>"4606"</f>
        <v>4606</v>
      </c>
      <c r="D737" s="2" t="str">
        <f>"Комиссионные доходы за услуги по операциям с гарантиями"</f>
        <v>Комиссионные доходы за услуги по операциям с гарантиями</v>
      </c>
      <c r="E737" s="2" t="str">
        <f>""</f>
        <v/>
      </c>
      <c r="F737" s="2" t="str">
        <f>""</f>
        <v/>
      </c>
      <c r="G737" s="2" t="str">
        <f>""</f>
        <v/>
      </c>
      <c r="H737" s="3">
        <v>1070322526.15</v>
      </c>
    </row>
    <row r="738" spans="1:8" x14ac:dyDescent="0.3">
      <c r="A738" s="4">
        <v>44834</v>
      </c>
      <c r="B738" s="2">
        <v>36</v>
      </c>
      <c r="C738" s="2" t="str">
        <f>"4607"</f>
        <v>4607</v>
      </c>
      <c r="D738" s="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38" s="2" t="str">
        <f>""</f>
        <v/>
      </c>
      <c r="F738" s="2" t="str">
        <f>""</f>
        <v/>
      </c>
      <c r="G738" s="2" t="str">
        <f>""</f>
        <v/>
      </c>
      <c r="H738" s="3">
        <v>2083302951.5799999</v>
      </c>
    </row>
    <row r="739" spans="1:8" x14ac:dyDescent="0.3">
      <c r="A739" s="4">
        <v>44834</v>
      </c>
      <c r="B739" s="2">
        <v>36</v>
      </c>
      <c r="C739" s="2" t="str">
        <f>"4608"</f>
        <v>4608</v>
      </c>
      <c r="D739" s="2" t="str">
        <f>"Прочие комиссионные доходы"</f>
        <v>Прочие комиссионные доходы</v>
      </c>
      <c r="E739" s="2" t="str">
        <f>""</f>
        <v/>
      </c>
      <c r="F739" s="2" t="str">
        <f>""</f>
        <v/>
      </c>
      <c r="G739" s="2" t="str">
        <f>""</f>
        <v/>
      </c>
      <c r="H739" s="3">
        <v>3218063618.73</v>
      </c>
    </row>
    <row r="740" spans="1:8" x14ac:dyDescent="0.3">
      <c r="A740" s="4">
        <v>44834</v>
      </c>
      <c r="B740" s="2">
        <v>36</v>
      </c>
      <c r="C740" s="2" t="str">
        <f>"4609"</f>
        <v>4609</v>
      </c>
      <c r="D740" s="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40" s="2" t="str">
        <f>""</f>
        <v/>
      </c>
      <c r="F740" s="2" t="str">
        <f>""</f>
        <v/>
      </c>
      <c r="G740" s="2" t="str">
        <f>""</f>
        <v/>
      </c>
      <c r="H740" s="3">
        <v>95703623.099999994</v>
      </c>
    </row>
    <row r="741" spans="1:8" x14ac:dyDescent="0.3">
      <c r="A741" s="4">
        <v>44834</v>
      </c>
      <c r="B741" s="2">
        <v>36</v>
      </c>
      <c r="C741" s="2" t="str">
        <f>"4611"</f>
        <v>4611</v>
      </c>
      <c r="D741" s="2" t="str">
        <f>"Комиссионные доходы за услуги по кассовым операциям"</f>
        <v>Комиссионные доходы за услуги по кассовым операциям</v>
      </c>
      <c r="E741" s="2" t="str">
        <f>""</f>
        <v/>
      </c>
      <c r="F741" s="2" t="str">
        <f>""</f>
        <v/>
      </c>
      <c r="G741" s="2" t="str">
        <f>""</f>
        <v/>
      </c>
      <c r="H741" s="3">
        <v>1800015459.75</v>
      </c>
    </row>
    <row r="742" spans="1:8" x14ac:dyDescent="0.3">
      <c r="A742" s="4">
        <v>44834</v>
      </c>
      <c r="B742" s="2">
        <v>36</v>
      </c>
      <c r="C742" s="2" t="str">
        <f>"4612"</f>
        <v>4612</v>
      </c>
      <c r="D742" s="2" t="str">
        <f>"Комиссионные доходы по документарным расчетам"</f>
        <v>Комиссионные доходы по документарным расчетам</v>
      </c>
      <c r="E742" s="2" t="str">
        <f>""</f>
        <v/>
      </c>
      <c r="F742" s="2" t="str">
        <f>""</f>
        <v/>
      </c>
      <c r="G742" s="2" t="str">
        <f>""</f>
        <v/>
      </c>
      <c r="H742" s="3">
        <v>23458999.289999999</v>
      </c>
    </row>
    <row r="743" spans="1:8" x14ac:dyDescent="0.3">
      <c r="A743" s="4">
        <v>44834</v>
      </c>
      <c r="B743" s="2">
        <v>36</v>
      </c>
      <c r="C743" s="2" t="str">
        <f>"4617"</f>
        <v>4617</v>
      </c>
      <c r="D743" s="2" t="str">
        <f>"Комиссионные доходы за услуги по сейфовым операциям"</f>
        <v>Комиссионные доходы за услуги по сейфовым операциям</v>
      </c>
      <c r="E743" s="2" t="str">
        <f>""</f>
        <v/>
      </c>
      <c r="F743" s="2" t="str">
        <f>""</f>
        <v/>
      </c>
      <c r="G743" s="2" t="str">
        <f>""</f>
        <v/>
      </c>
      <c r="H743" s="3">
        <v>129473231.51000001</v>
      </c>
    </row>
    <row r="744" spans="1:8" x14ac:dyDescent="0.3">
      <c r="A744" s="4">
        <v>44834</v>
      </c>
      <c r="B744" s="2">
        <v>36</v>
      </c>
      <c r="C744" s="2" t="str">
        <f>"4619"</f>
        <v>4619</v>
      </c>
      <c r="D744" s="2" t="str">
        <f>"Комиссионные доходы за обслуживание платежных карточек"</f>
        <v>Комиссионные доходы за обслуживание платежных карточек</v>
      </c>
      <c r="E744" s="2" t="str">
        <f>""</f>
        <v/>
      </c>
      <c r="F744" s="2" t="str">
        <f>""</f>
        <v/>
      </c>
      <c r="G744" s="2" t="str">
        <f>""</f>
        <v/>
      </c>
      <c r="H744" s="3">
        <v>2547751034.8000002</v>
      </c>
    </row>
    <row r="745" spans="1:8" x14ac:dyDescent="0.3">
      <c r="A745" s="4">
        <v>44834</v>
      </c>
      <c r="B745" s="2">
        <v>36</v>
      </c>
      <c r="C745" s="2" t="str">
        <f>"4703"</f>
        <v>4703</v>
      </c>
      <c r="D745" s="2" t="str">
        <f>"Доход от переоценки иностранной валюты"</f>
        <v>Доход от переоценки иностранной валюты</v>
      </c>
      <c r="E745" s="2" t="str">
        <f>""</f>
        <v/>
      </c>
      <c r="F745" s="2" t="str">
        <f>""</f>
        <v/>
      </c>
      <c r="G745" s="2" t="str">
        <f>""</f>
        <v/>
      </c>
      <c r="H745" s="3">
        <v>2212468844247.8398</v>
      </c>
    </row>
    <row r="746" spans="1:8" x14ac:dyDescent="0.3">
      <c r="A746" s="4">
        <v>44834</v>
      </c>
      <c r="B746" s="2">
        <v>36</v>
      </c>
      <c r="C746" s="2" t="str">
        <f>"4704"</f>
        <v>4704</v>
      </c>
      <c r="D746" s="2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46" s="2" t="str">
        <f>""</f>
        <v/>
      </c>
      <c r="F746" s="2" t="str">
        <f>""</f>
        <v/>
      </c>
      <c r="G746" s="2" t="str">
        <f>""</f>
        <v/>
      </c>
      <c r="H746" s="3">
        <v>701983405.61000001</v>
      </c>
    </row>
    <row r="747" spans="1:8" x14ac:dyDescent="0.3">
      <c r="A747" s="4">
        <v>44834</v>
      </c>
      <c r="B747" s="2">
        <v>36</v>
      </c>
      <c r="C747" s="2" t="str">
        <f>"4709"</f>
        <v>4709</v>
      </c>
      <c r="D747" s="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E747" s="2" t="str">
        <f>""</f>
        <v/>
      </c>
      <c r="F747" s="2" t="str">
        <f>""</f>
        <v/>
      </c>
      <c r="G747" s="2" t="str">
        <f>""</f>
        <v/>
      </c>
      <c r="H747" s="3">
        <v>1688905.12</v>
      </c>
    </row>
    <row r="748" spans="1:8" x14ac:dyDescent="0.3">
      <c r="A748" s="4">
        <v>44834</v>
      </c>
      <c r="B748" s="2">
        <v>36</v>
      </c>
      <c r="C748" s="2" t="str">
        <f>"4711"</f>
        <v>4711</v>
      </c>
      <c r="D748" s="2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E748" s="2" t="str">
        <f>""</f>
        <v/>
      </c>
      <c r="F748" s="2" t="str">
        <f>""</f>
        <v/>
      </c>
      <c r="G748" s="2" t="str">
        <f>""</f>
        <v/>
      </c>
      <c r="H748" s="3">
        <v>617571.05000000005</v>
      </c>
    </row>
    <row r="749" spans="1:8" x14ac:dyDescent="0.3">
      <c r="A749" s="4">
        <v>44834</v>
      </c>
      <c r="B749" s="2">
        <v>36</v>
      </c>
      <c r="C749" s="2" t="str">
        <f>"4713"</f>
        <v>4713</v>
      </c>
      <c r="D749" s="2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49" s="2" t="str">
        <f>""</f>
        <v/>
      </c>
      <c r="F749" s="2" t="str">
        <f>""</f>
        <v/>
      </c>
      <c r="G749" s="2" t="str">
        <f>""</f>
        <v/>
      </c>
      <c r="H749" s="3">
        <v>154.1</v>
      </c>
    </row>
    <row r="750" spans="1:8" x14ac:dyDescent="0.3">
      <c r="A750" s="4">
        <v>44834</v>
      </c>
      <c r="B750" s="2">
        <v>36</v>
      </c>
      <c r="C750" s="2" t="str">
        <f>"4733"</f>
        <v>4733</v>
      </c>
      <c r="D750" s="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50" s="2" t="str">
        <f>""</f>
        <v/>
      </c>
      <c r="F750" s="2" t="str">
        <f>""</f>
        <v/>
      </c>
      <c r="G750" s="2" t="str">
        <f>""</f>
        <v/>
      </c>
      <c r="H750" s="3">
        <v>119798901.78</v>
      </c>
    </row>
    <row r="751" spans="1:8" x14ac:dyDescent="0.3">
      <c r="A751" s="4">
        <v>44834</v>
      </c>
      <c r="B751" s="2">
        <v>36</v>
      </c>
      <c r="C751" s="2" t="str">
        <f>"4852"</f>
        <v>4852</v>
      </c>
      <c r="D751" s="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51" s="2" t="str">
        <f>""</f>
        <v/>
      </c>
      <c r="F751" s="2" t="str">
        <f>""</f>
        <v/>
      </c>
      <c r="G751" s="2" t="str">
        <f>""</f>
        <v/>
      </c>
      <c r="H751" s="3">
        <v>264042912.83000001</v>
      </c>
    </row>
    <row r="752" spans="1:8" x14ac:dyDescent="0.3">
      <c r="A752" s="4">
        <v>44834</v>
      </c>
      <c r="B752" s="2">
        <v>36</v>
      </c>
      <c r="C752" s="2" t="str">
        <f>"4853"</f>
        <v>4853</v>
      </c>
      <c r="D752" s="2" t="str">
        <f>"Доходы от реализации запасов"</f>
        <v>Доходы от реализации запасов</v>
      </c>
      <c r="E752" s="2" t="str">
        <f>""</f>
        <v/>
      </c>
      <c r="F752" s="2" t="str">
        <f>""</f>
        <v/>
      </c>
      <c r="G752" s="2" t="str">
        <f>""</f>
        <v/>
      </c>
      <c r="H752" s="3">
        <v>7792561276.8800001</v>
      </c>
    </row>
    <row r="753" spans="1:8" x14ac:dyDescent="0.3">
      <c r="A753" s="4">
        <v>44834</v>
      </c>
      <c r="B753" s="2">
        <v>36</v>
      </c>
      <c r="C753" s="2" t="str">
        <f>"4854"</f>
        <v>4854</v>
      </c>
      <c r="D753" s="2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53" s="2" t="str">
        <f>""</f>
        <v/>
      </c>
      <c r="F753" s="2" t="str">
        <f>""</f>
        <v/>
      </c>
      <c r="G753" s="2" t="str">
        <f>""</f>
        <v/>
      </c>
      <c r="H753" s="3">
        <v>1589586125.97</v>
      </c>
    </row>
    <row r="754" spans="1:8" x14ac:dyDescent="0.3">
      <c r="A754" s="4">
        <v>44834</v>
      </c>
      <c r="B754" s="2">
        <v>36</v>
      </c>
      <c r="C754" s="2" t="str">
        <f>"4892"</f>
        <v>4892</v>
      </c>
      <c r="D754" s="2" t="str">
        <f>"Доходы по операциям форвард"</f>
        <v>Доходы по операциям форвард</v>
      </c>
      <c r="E754" s="2" t="str">
        <f>""</f>
        <v/>
      </c>
      <c r="F754" s="2" t="str">
        <f>""</f>
        <v/>
      </c>
      <c r="G754" s="2" t="str">
        <f>""</f>
        <v/>
      </c>
      <c r="H754" s="3">
        <v>49466642000</v>
      </c>
    </row>
    <row r="755" spans="1:8" x14ac:dyDescent="0.3">
      <c r="A755" s="4">
        <v>44834</v>
      </c>
      <c r="B755" s="2">
        <v>36</v>
      </c>
      <c r="C755" s="2" t="str">
        <f>"4895"</f>
        <v>4895</v>
      </c>
      <c r="D755" s="2" t="str">
        <f>"Доходы по операциям своп"</f>
        <v>Доходы по операциям своп</v>
      </c>
      <c r="E755" s="2" t="str">
        <f>""</f>
        <v/>
      </c>
      <c r="F755" s="2" t="str">
        <f>""</f>
        <v/>
      </c>
      <c r="G755" s="2" t="str">
        <f>""</f>
        <v/>
      </c>
      <c r="H755" s="3">
        <v>110978950831.17999</v>
      </c>
    </row>
    <row r="756" spans="1:8" x14ac:dyDescent="0.3">
      <c r="A756" s="4">
        <v>44834</v>
      </c>
      <c r="B756" s="2">
        <v>36</v>
      </c>
      <c r="C756" s="2" t="str">
        <f>"4900"</f>
        <v>4900</v>
      </c>
      <c r="D756" s="2" t="str">
        <f>"Неустойка (штраф, пеня)"</f>
        <v>Неустойка (штраф, пеня)</v>
      </c>
      <c r="E756" s="2" t="str">
        <f>""</f>
        <v/>
      </c>
      <c r="F756" s="2" t="str">
        <f>""</f>
        <v/>
      </c>
      <c r="G756" s="2" t="str">
        <f>""</f>
        <v/>
      </c>
      <c r="H756" s="3">
        <v>2414602853.4099998</v>
      </c>
    </row>
    <row r="757" spans="1:8" x14ac:dyDescent="0.3">
      <c r="A757" s="4">
        <v>44834</v>
      </c>
      <c r="B757" s="2">
        <v>36</v>
      </c>
      <c r="C757" s="2" t="str">
        <f>"4921"</f>
        <v>4921</v>
      </c>
      <c r="D757" s="2" t="str">
        <f>"Прочие доходы от банковской деятельности"</f>
        <v>Прочие доходы от банковской деятельности</v>
      </c>
      <c r="E757" s="2" t="str">
        <f>""</f>
        <v/>
      </c>
      <c r="F757" s="2" t="str">
        <f>""</f>
        <v/>
      </c>
      <c r="G757" s="2" t="str">
        <f>""</f>
        <v/>
      </c>
      <c r="H757" s="3">
        <v>9181427656.6100006</v>
      </c>
    </row>
    <row r="758" spans="1:8" x14ac:dyDescent="0.3">
      <c r="A758" s="4">
        <v>44834</v>
      </c>
      <c r="B758" s="2">
        <v>36</v>
      </c>
      <c r="C758" s="2" t="str">
        <f>"4922"</f>
        <v>4922</v>
      </c>
      <c r="D758" s="2" t="str">
        <f>"Прочие доходы от неосновной деятельности"</f>
        <v>Прочие доходы от неосновной деятельности</v>
      </c>
      <c r="E758" s="2" t="str">
        <f>""</f>
        <v/>
      </c>
      <c r="F758" s="2" t="str">
        <f>""</f>
        <v/>
      </c>
      <c r="G758" s="2" t="str">
        <f>""</f>
        <v/>
      </c>
      <c r="H758" s="3">
        <v>667022196.13</v>
      </c>
    </row>
    <row r="759" spans="1:8" x14ac:dyDescent="0.3">
      <c r="A759" s="4">
        <v>44834</v>
      </c>
      <c r="B759" s="2">
        <v>36</v>
      </c>
      <c r="C759" s="2" t="str">
        <f>"4951"</f>
        <v>4951</v>
      </c>
      <c r="D759" s="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59" s="2" t="str">
        <f>""</f>
        <v/>
      </c>
      <c r="F759" s="2" t="str">
        <f>""</f>
        <v/>
      </c>
      <c r="G759" s="2" t="str">
        <f>""</f>
        <v/>
      </c>
      <c r="H759" s="3">
        <v>43435965.369999997</v>
      </c>
    </row>
    <row r="760" spans="1:8" x14ac:dyDescent="0.3">
      <c r="A760" s="4">
        <v>44834</v>
      </c>
      <c r="B760" s="2">
        <v>36</v>
      </c>
      <c r="C760" s="2" t="str">
        <f>"4952"</f>
        <v>4952</v>
      </c>
      <c r="D760" s="2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60" s="2" t="str">
        <f>""</f>
        <v/>
      </c>
      <c r="F760" s="2" t="str">
        <f>""</f>
        <v/>
      </c>
      <c r="G760" s="2" t="str">
        <f>""</f>
        <v/>
      </c>
      <c r="H760" s="3">
        <v>13345250.640000001</v>
      </c>
    </row>
    <row r="761" spans="1:8" x14ac:dyDescent="0.3">
      <c r="A761" s="4">
        <v>44834</v>
      </c>
      <c r="B761" s="2">
        <v>36</v>
      </c>
      <c r="C761" s="2" t="str">
        <f>"4953"</f>
        <v>4953</v>
      </c>
      <c r="D761" s="2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61" s="2" t="str">
        <f>""</f>
        <v/>
      </c>
      <c r="F761" s="2" t="str">
        <f>""</f>
        <v/>
      </c>
      <c r="G761" s="2" t="str">
        <f>""</f>
        <v/>
      </c>
      <c r="H761" s="3">
        <v>6448344868.6000004</v>
      </c>
    </row>
    <row r="762" spans="1:8" x14ac:dyDescent="0.3">
      <c r="A762" s="4">
        <v>44834</v>
      </c>
      <c r="B762" s="2">
        <v>36</v>
      </c>
      <c r="C762" s="2" t="str">
        <f>"4954"</f>
        <v>4954</v>
      </c>
      <c r="D762" s="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62" s="2" t="str">
        <f>""</f>
        <v/>
      </c>
      <c r="F762" s="2" t="str">
        <f>""</f>
        <v/>
      </c>
      <c r="G762" s="2" t="str">
        <f>""</f>
        <v/>
      </c>
      <c r="H762" s="3">
        <v>169502808.66</v>
      </c>
    </row>
    <row r="763" spans="1:8" x14ac:dyDescent="0.3">
      <c r="A763" s="4">
        <v>44834</v>
      </c>
      <c r="B763" s="2">
        <v>36</v>
      </c>
      <c r="C763" s="2" t="str">
        <f>"4955"</f>
        <v>4955</v>
      </c>
      <c r="D763" s="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63" s="2" t="str">
        <f>""</f>
        <v/>
      </c>
      <c r="F763" s="2" t="str">
        <f>""</f>
        <v/>
      </c>
      <c r="G763" s="2" t="str">
        <f>""</f>
        <v/>
      </c>
      <c r="H763" s="3">
        <v>114225039919.55</v>
      </c>
    </row>
    <row r="764" spans="1:8" x14ac:dyDescent="0.3">
      <c r="A764" s="4">
        <v>44834</v>
      </c>
      <c r="B764" s="2">
        <v>36</v>
      </c>
      <c r="C764" s="2" t="str">
        <f>"4956"</f>
        <v>4956</v>
      </c>
      <c r="D764" s="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64" s="2" t="str">
        <f>""</f>
        <v/>
      </c>
      <c r="F764" s="2" t="str">
        <f>""</f>
        <v/>
      </c>
      <c r="G764" s="2" t="str">
        <f>""</f>
        <v/>
      </c>
      <c r="H764" s="3">
        <v>885891325.63999999</v>
      </c>
    </row>
    <row r="765" spans="1:8" x14ac:dyDescent="0.3">
      <c r="A765" s="4">
        <v>44834</v>
      </c>
      <c r="B765" s="2">
        <v>36</v>
      </c>
      <c r="C765" s="2" t="str">
        <f>"4957"</f>
        <v>4957</v>
      </c>
      <c r="D765" s="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65" s="2" t="str">
        <f>""</f>
        <v/>
      </c>
      <c r="F765" s="2" t="str">
        <f>""</f>
        <v/>
      </c>
      <c r="G765" s="2" t="str">
        <f>""</f>
        <v/>
      </c>
      <c r="H765" s="3">
        <v>76157376.040000007</v>
      </c>
    </row>
    <row r="766" spans="1:8" x14ac:dyDescent="0.3">
      <c r="A766" s="4">
        <v>44834</v>
      </c>
      <c r="B766" s="2">
        <v>36</v>
      </c>
      <c r="C766" s="2" t="str">
        <f>"4958"</f>
        <v>4958</v>
      </c>
      <c r="D766" s="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66" s="2" t="str">
        <f>""</f>
        <v/>
      </c>
      <c r="F766" s="2" t="str">
        <f>""</f>
        <v/>
      </c>
      <c r="G766" s="2" t="str">
        <f>""</f>
        <v/>
      </c>
      <c r="H766" s="3">
        <v>811144233.96000004</v>
      </c>
    </row>
    <row r="767" spans="1:8" x14ac:dyDescent="0.3">
      <c r="A767" s="4">
        <v>44834</v>
      </c>
      <c r="B767" s="2">
        <v>36</v>
      </c>
      <c r="C767" s="2" t="str">
        <f>"4959"</f>
        <v>4959</v>
      </c>
      <c r="D767" s="2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7" s="2" t="str">
        <f>""</f>
        <v/>
      </c>
      <c r="F767" s="2" t="str">
        <f>""</f>
        <v/>
      </c>
      <c r="G767" s="2" t="str">
        <f>""</f>
        <v/>
      </c>
      <c r="H767" s="3">
        <v>14227978.060000001</v>
      </c>
    </row>
    <row r="768" spans="1:8" x14ac:dyDescent="0.3">
      <c r="A768" s="4">
        <v>44834</v>
      </c>
      <c r="B768" s="2">
        <v>36</v>
      </c>
      <c r="C768" s="2" t="str">
        <f>"4963"</f>
        <v>4963</v>
      </c>
      <c r="D768" s="2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68" s="2" t="str">
        <f>""</f>
        <v/>
      </c>
      <c r="F768" s="2" t="str">
        <f>""</f>
        <v/>
      </c>
      <c r="G768" s="2" t="str">
        <f>""</f>
        <v/>
      </c>
      <c r="H768" s="3">
        <v>973826853.78999996</v>
      </c>
    </row>
    <row r="769" spans="1:8" x14ac:dyDescent="0.3">
      <c r="A769" s="4">
        <v>44834</v>
      </c>
      <c r="B769" s="2">
        <v>36</v>
      </c>
      <c r="C769" s="2" t="str">
        <f>"5056"</f>
        <v>5056</v>
      </c>
      <c r="D769" s="2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69" s="2" t="str">
        <f>""</f>
        <v/>
      </c>
      <c r="F769" s="2" t="str">
        <f>""</f>
        <v/>
      </c>
      <c r="G769" s="2" t="str">
        <f>""</f>
        <v/>
      </c>
      <c r="H769" s="3">
        <v>34429312.770000003</v>
      </c>
    </row>
    <row r="770" spans="1:8" x14ac:dyDescent="0.3">
      <c r="A770" s="4">
        <v>44834</v>
      </c>
      <c r="B770" s="2">
        <v>36</v>
      </c>
      <c r="C770" s="2" t="str">
        <f>"5064"</f>
        <v>5064</v>
      </c>
      <c r="D770" s="2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E770" s="2" t="str">
        <f>""</f>
        <v/>
      </c>
      <c r="F770" s="2" t="str">
        <f>""</f>
        <v/>
      </c>
      <c r="G770" s="2" t="str">
        <f>""</f>
        <v/>
      </c>
      <c r="H770" s="3">
        <v>19291405.100000001</v>
      </c>
    </row>
    <row r="771" spans="1:8" x14ac:dyDescent="0.3">
      <c r="A771" s="4">
        <v>44834</v>
      </c>
      <c r="B771" s="2">
        <v>36</v>
      </c>
      <c r="C771" s="2" t="str">
        <f>"5066"</f>
        <v>5066</v>
      </c>
      <c r="D771" s="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E771" s="2" t="str">
        <f>""</f>
        <v/>
      </c>
      <c r="F771" s="2" t="str">
        <f>""</f>
        <v/>
      </c>
      <c r="G771" s="2" t="str">
        <f>""</f>
        <v/>
      </c>
      <c r="H771" s="3">
        <v>237767543.88</v>
      </c>
    </row>
    <row r="772" spans="1:8" x14ac:dyDescent="0.3">
      <c r="A772" s="4">
        <v>44834</v>
      </c>
      <c r="B772" s="2">
        <v>36</v>
      </c>
      <c r="C772" s="2" t="str">
        <f>"5069"</f>
        <v>5069</v>
      </c>
      <c r="D772" s="2" t="str">
        <f>"Расходы по амортизации дисконта по полученным займам"</f>
        <v>Расходы по амортизации дисконта по полученным займам</v>
      </c>
      <c r="E772" s="2" t="str">
        <f>""</f>
        <v/>
      </c>
      <c r="F772" s="2" t="str">
        <f>""</f>
        <v/>
      </c>
      <c r="G772" s="2" t="str">
        <f>""</f>
        <v/>
      </c>
      <c r="H772" s="3">
        <v>609160495.23000002</v>
      </c>
    </row>
    <row r="773" spans="1:8" x14ac:dyDescent="0.3">
      <c r="A773" s="4">
        <v>44834</v>
      </c>
      <c r="B773" s="2">
        <v>36</v>
      </c>
      <c r="C773" s="2" t="str">
        <f>"5071"</f>
        <v>5071</v>
      </c>
      <c r="D773" s="2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E773" s="2" t="str">
        <f>""</f>
        <v/>
      </c>
      <c r="F773" s="2" t="str">
        <f>""</f>
        <v/>
      </c>
      <c r="G773" s="2" t="str">
        <f>""</f>
        <v/>
      </c>
      <c r="H773" s="3">
        <v>28301771204</v>
      </c>
    </row>
    <row r="774" spans="1:8" x14ac:dyDescent="0.3">
      <c r="A774" s="4">
        <v>44834</v>
      </c>
      <c r="B774" s="2">
        <v>36</v>
      </c>
      <c r="C774" s="2" t="str">
        <f>"5126"</f>
        <v>5126</v>
      </c>
      <c r="D774" s="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74" s="2" t="str">
        <f>""</f>
        <v/>
      </c>
      <c r="F774" s="2" t="str">
        <f>""</f>
        <v/>
      </c>
      <c r="G774" s="2" t="str">
        <f>""</f>
        <v/>
      </c>
      <c r="H774" s="3">
        <v>80312305.349999994</v>
      </c>
    </row>
    <row r="775" spans="1:8" x14ac:dyDescent="0.3">
      <c r="A775" s="4">
        <v>44834</v>
      </c>
      <c r="B775" s="2">
        <v>36</v>
      </c>
      <c r="C775" s="2" t="str">
        <f>"5128"</f>
        <v>5128</v>
      </c>
      <c r="D775" s="2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E775" s="2" t="str">
        <f>""</f>
        <v/>
      </c>
      <c r="F775" s="2" t="str">
        <f>""</f>
        <v/>
      </c>
      <c r="G775" s="2" t="str">
        <f>""</f>
        <v/>
      </c>
      <c r="H775" s="3">
        <v>29142.75</v>
      </c>
    </row>
    <row r="776" spans="1:8" x14ac:dyDescent="0.3">
      <c r="A776" s="4">
        <v>44834</v>
      </c>
      <c r="B776" s="2">
        <v>36</v>
      </c>
      <c r="C776" s="2" t="str">
        <f>"5130"</f>
        <v>5130</v>
      </c>
      <c r="D776" s="2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6" s="2" t="str">
        <f>""</f>
        <v/>
      </c>
      <c r="F776" s="2" t="str">
        <f>""</f>
        <v/>
      </c>
      <c r="G776" s="2" t="str">
        <f>""</f>
        <v/>
      </c>
      <c r="H776" s="3">
        <v>409179.38</v>
      </c>
    </row>
    <row r="777" spans="1:8" x14ac:dyDescent="0.3">
      <c r="A777" s="4">
        <v>44834</v>
      </c>
      <c r="B777" s="2">
        <v>36</v>
      </c>
      <c r="C777" s="2" t="str">
        <f>"5204"</f>
        <v>5204</v>
      </c>
      <c r="D777" s="2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7" s="2" t="str">
        <f>""</f>
        <v/>
      </c>
      <c r="F777" s="2" t="str">
        <f>""</f>
        <v/>
      </c>
      <c r="G777" s="2" t="str">
        <f>""</f>
        <v/>
      </c>
      <c r="H777" s="3">
        <v>398308290.94999999</v>
      </c>
    </row>
    <row r="778" spans="1:8" x14ac:dyDescent="0.3">
      <c r="A778" s="4">
        <v>44834</v>
      </c>
      <c r="B778" s="2">
        <v>36</v>
      </c>
      <c r="C778" s="2" t="str">
        <f>"5215"</f>
        <v>5215</v>
      </c>
      <c r="D778" s="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78" s="2" t="str">
        <f>""</f>
        <v/>
      </c>
      <c r="F778" s="2" t="str">
        <f>""</f>
        <v/>
      </c>
      <c r="G778" s="2" t="str">
        <f>""</f>
        <v/>
      </c>
      <c r="H778" s="3">
        <v>29731309043.68</v>
      </c>
    </row>
    <row r="779" spans="1:8" x14ac:dyDescent="0.3">
      <c r="A779" s="4">
        <v>44834</v>
      </c>
      <c r="B779" s="2">
        <v>36</v>
      </c>
      <c r="C779" s="2" t="str">
        <f>"5217"</f>
        <v>5217</v>
      </c>
      <c r="D779" s="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79" s="2" t="str">
        <f>""</f>
        <v/>
      </c>
      <c r="F779" s="2" t="str">
        <f>""</f>
        <v/>
      </c>
      <c r="G779" s="2" t="str">
        <f>""</f>
        <v/>
      </c>
      <c r="H779" s="3">
        <v>5366129155.0100002</v>
      </c>
    </row>
    <row r="780" spans="1:8" x14ac:dyDescent="0.3">
      <c r="A780" s="4">
        <v>44834</v>
      </c>
      <c r="B780" s="2">
        <v>36</v>
      </c>
      <c r="C780" s="2" t="str">
        <f>"5218"</f>
        <v>5218</v>
      </c>
      <c r="D780" s="2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80" s="2" t="str">
        <f>""</f>
        <v/>
      </c>
      <c r="F780" s="2" t="str">
        <f>""</f>
        <v/>
      </c>
      <c r="G780" s="2" t="str">
        <f>""</f>
        <v/>
      </c>
      <c r="H780" s="3">
        <v>3539096171.5999999</v>
      </c>
    </row>
    <row r="781" spans="1:8" x14ac:dyDescent="0.3">
      <c r="A781" s="4">
        <v>44834</v>
      </c>
      <c r="B781" s="2">
        <v>36</v>
      </c>
      <c r="C781" s="2" t="str">
        <f>"5219"</f>
        <v>5219</v>
      </c>
      <c r="D781" s="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81" s="2" t="str">
        <f>""</f>
        <v/>
      </c>
      <c r="F781" s="2" t="str">
        <f>""</f>
        <v/>
      </c>
      <c r="G781" s="2" t="str">
        <f>""</f>
        <v/>
      </c>
      <c r="H781" s="3">
        <v>446998918.44</v>
      </c>
    </row>
    <row r="782" spans="1:8" x14ac:dyDescent="0.3">
      <c r="A782" s="4">
        <v>44834</v>
      </c>
      <c r="B782" s="2">
        <v>36</v>
      </c>
      <c r="C782" s="2" t="str">
        <f>"5220"</f>
        <v>5220</v>
      </c>
      <c r="D782" s="2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82" s="2" t="str">
        <f>""</f>
        <v/>
      </c>
      <c r="F782" s="2" t="str">
        <f>""</f>
        <v/>
      </c>
      <c r="G782" s="2" t="str">
        <f>""</f>
        <v/>
      </c>
      <c r="H782" s="3">
        <v>614369410.80999994</v>
      </c>
    </row>
    <row r="783" spans="1:8" x14ac:dyDescent="0.3">
      <c r="A783" s="4">
        <v>44834</v>
      </c>
      <c r="B783" s="2">
        <v>36</v>
      </c>
      <c r="C783" s="2" t="str">
        <f>"5223"</f>
        <v>5223</v>
      </c>
      <c r="D783" s="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83" s="2" t="str">
        <f>""</f>
        <v/>
      </c>
      <c r="F783" s="2" t="str">
        <f>""</f>
        <v/>
      </c>
      <c r="G783" s="2" t="str">
        <f>""</f>
        <v/>
      </c>
      <c r="H783" s="3">
        <v>448202198.27999997</v>
      </c>
    </row>
    <row r="784" spans="1:8" x14ac:dyDescent="0.3">
      <c r="A784" s="4">
        <v>44834</v>
      </c>
      <c r="B784" s="2">
        <v>36</v>
      </c>
      <c r="C784" s="2" t="str">
        <f>"5227"</f>
        <v>5227</v>
      </c>
      <c r="D784" s="2" t="str">
        <f>"Процентные расходы по обязательствам по аренде"</f>
        <v>Процентные расходы по обязательствам по аренде</v>
      </c>
      <c r="E784" s="2" t="str">
        <f>""</f>
        <v/>
      </c>
      <c r="F784" s="2" t="str">
        <f>""</f>
        <v/>
      </c>
      <c r="G784" s="2" t="str">
        <f>""</f>
        <v/>
      </c>
      <c r="H784" s="3">
        <v>300264977.61000001</v>
      </c>
    </row>
    <row r="785" spans="1:8" x14ac:dyDescent="0.3">
      <c r="A785" s="4">
        <v>44834</v>
      </c>
      <c r="B785" s="2">
        <v>36</v>
      </c>
      <c r="C785" s="2" t="str">
        <f>"5232"</f>
        <v>5232</v>
      </c>
      <c r="D785" s="2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5" s="2" t="str">
        <f>""</f>
        <v/>
      </c>
      <c r="F785" s="2" t="str">
        <f>""</f>
        <v/>
      </c>
      <c r="G785" s="2" t="str">
        <f>""</f>
        <v/>
      </c>
      <c r="H785" s="3">
        <v>25670276194.419998</v>
      </c>
    </row>
    <row r="786" spans="1:8" x14ac:dyDescent="0.3">
      <c r="A786" s="4">
        <v>44834</v>
      </c>
      <c r="B786" s="2">
        <v>36</v>
      </c>
      <c r="C786" s="2" t="str">
        <f>"5236"</f>
        <v>5236</v>
      </c>
      <c r="D786" s="2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6" s="2" t="str">
        <f>""</f>
        <v/>
      </c>
      <c r="F786" s="2" t="str">
        <f>""</f>
        <v/>
      </c>
      <c r="G786" s="2" t="str">
        <f>""</f>
        <v/>
      </c>
      <c r="H786" s="3">
        <v>6402115549.2700005</v>
      </c>
    </row>
    <row r="787" spans="1:8" x14ac:dyDescent="0.3">
      <c r="A787" s="4">
        <v>44834</v>
      </c>
      <c r="B787" s="2">
        <v>36</v>
      </c>
      <c r="C787" s="2" t="str">
        <f>"5240"</f>
        <v>5240</v>
      </c>
      <c r="D787" s="2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E787" s="2" t="str">
        <f>""</f>
        <v/>
      </c>
      <c r="F787" s="2" t="str">
        <f>""</f>
        <v/>
      </c>
      <c r="G787" s="2" t="str">
        <f>""</f>
        <v/>
      </c>
      <c r="H787" s="3">
        <v>40647925220.870003</v>
      </c>
    </row>
    <row r="788" spans="1:8" x14ac:dyDescent="0.3">
      <c r="A788" s="4">
        <v>44834</v>
      </c>
      <c r="B788" s="2">
        <v>36</v>
      </c>
      <c r="C788" s="2" t="str">
        <f>"5250"</f>
        <v>5250</v>
      </c>
      <c r="D788" s="2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E788" s="2" t="str">
        <f>""</f>
        <v/>
      </c>
      <c r="F788" s="2" t="str">
        <f>""</f>
        <v/>
      </c>
      <c r="G788" s="2" t="str">
        <f>""</f>
        <v/>
      </c>
      <c r="H788" s="3">
        <v>524787785.11000001</v>
      </c>
    </row>
    <row r="789" spans="1:8" x14ac:dyDescent="0.3">
      <c r="A789" s="4">
        <v>44834</v>
      </c>
      <c r="B789" s="2">
        <v>36</v>
      </c>
      <c r="C789" s="2" t="str">
        <f>"5301"</f>
        <v>5301</v>
      </c>
      <c r="D789" s="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89" s="2" t="str">
        <f>""</f>
        <v/>
      </c>
      <c r="F789" s="2" t="str">
        <f>""</f>
        <v/>
      </c>
      <c r="G789" s="2" t="str">
        <f>""</f>
        <v/>
      </c>
      <c r="H789" s="3">
        <v>10793607939.200001</v>
      </c>
    </row>
    <row r="790" spans="1:8" x14ac:dyDescent="0.3">
      <c r="A790" s="4">
        <v>44834</v>
      </c>
      <c r="B790" s="2">
        <v>36</v>
      </c>
      <c r="C790" s="2" t="str">
        <f>"5306"</f>
        <v>5306</v>
      </c>
      <c r="D790" s="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90" s="2" t="str">
        <f>""</f>
        <v/>
      </c>
      <c r="F790" s="2" t="str">
        <f>""</f>
        <v/>
      </c>
      <c r="G790" s="2" t="str">
        <f>""</f>
        <v/>
      </c>
      <c r="H790" s="3">
        <v>19245450.059999999</v>
      </c>
    </row>
    <row r="791" spans="1:8" x14ac:dyDescent="0.3">
      <c r="A791" s="4">
        <v>44834</v>
      </c>
      <c r="B791" s="2">
        <v>36</v>
      </c>
      <c r="C791" s="2" t="str">
        <f>"5307"</f>
        <v>5307</v>
      </c>
      <c r="D791" s="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91" s="2" t="str">
        <f>""</f>
        <v/>
      </c>
      <c r="F791" s="2" t="str">
        <f>""</f>
        <v/>
      </c>
      <c r="G791" s="2" t="str">
        <f>""</f>
        <v/>
      </c>
      <c r="H791" s="3">
        <v>10491593763.76</v>
      </c>
    </row>
    <row r="792" spans="1:8" x14ac:dyDescent="0.3">
      <c r="A792" s="4">
        <v>44834</v>
      </c>
      <c r="B792" s="2">
        <v>36</v>
      </c>
      <c r="C792" s="2" t="str">
        <f>"5308"</f>
        <v>5308</v>
      </c>
      <c r="D792" s="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92" s="2" t="str">
        <f>""</f>
        <v/>
      </c>
      <c r="F792" s="2" t="str">
        <f>""</f>
        <v/>
      </c>
      <c r="G792" s="2" t="str">
        <f>""</f>
        <v/>
      </c>
      <c r="H792" s="3">
        <v>65141091.140000001</v>
      </c>
    </row>
    <row r="793" spans="1:8" x14ac:dyDescent="0.3">
      <c r="A793" s="4">
        <v>44834</v>
      </c>
      <c r="B793" s="2">
        <v>36</v>
      </c>
      <c r="C793" s="2" t="str">
        <f>"5309"</f>
        <v>5309</v>
      </c>
      <c r="D793" s="2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793" s="2" t="str">
        <f>""</f>
        <v/>
      </c>
      <c r="F793" s="2" t="str">
        <f>""</f>
        <v/>
      </c>
      <c r="G793" s="2" t="str">
        <f>""</f>
        <v/>
      </c>
      <c r="H793" s="3">
        <v>819125589.25999999</v>
      </c>
    </row>
    <row r="794" spans="1:8" x14ac:dyDescent="0.3">
      <c r="A794" s="4">
        <v>44834</v>
      </c>
      <c r="B794" s="2">
        <v>36</v>
      </c>
      <c r="C794" s="2" t="str">
        <f>"5404"</f>
        <v>5404</v>
      </c>
      <c r="D794" s="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94" s="2" t="str">
        <f>""</f>
        <v/>
      </c>
      <c r="F794" s="2" t="str">
        <f>""</f>
        <v/>
      </c>
      <c r="G794" s="2" t="str">
        <f>""</f>
        <v/>
      </c>
      <c r="H794" s="3">
        <v>6780637821.6199999</v>
      </c>
    </row>
    <row r="795" spans="1:8" x14ac:dyDescent="0.3">
      <c r="A795" s="4">
        <v>44834</v>
      </c>
      <c r="B795" s="2">
        <v>36</v>
      </c>
      <c r="C795" s="2" t="str">
        <f>"5406"</f>
        <v>5406</v>
      </c>
      <c r="D795" s="2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5" s="2" t="str">
        <f>""</f>
        <v/>
      </c>
      <c r="F795" s="2" t="str">
        <f>""</f>
        <v/>
      </c>
      <c r="G795" s="2" t="str">
        <f>""</f>
        <v/>
      </c>
      <c r="H795" s="3">
        <v>12293428245</v>
      </c>
    </row>
    <row r="796" spans="1:8" x14ac:dyDescent="0.3">
      <c r="A796" s="4">
        <v>44834</v>
      </c>
      <c r="B796" s="2">
        <v>36</v>
      </c>
      <c r="C796" s="2" t="str">
        <f>"5451"</f>
        <v>5451</v>
      </c>
      <c r="D796" s="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6" s="2" t="str">
        <f>""</f>
        <v/>
      </c>
      <c r="F796" s="2" t="str">
        <f>""</f>
        <v/>
      </c>
      <c r="G796" s="2" t="str">
        <f>""</f>
        <v/>
      </c>
      <c r="H796" s="3">
        <v>52787380.240000002</v>
      </c>
    </row>
    <row r="797" spans="1:8" x14ac:dyDescent="0.3">
      <c r="A797" s="4">
        <v>44834</v>
      </c>
      <c r="B797" s="2">
        <v>36</v>
      </c>
      <c r="C797" s="2" t="str">
        <f>"5452"</f>
        <v>5452</v>
      </c>
      <c r="D797" s="2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797" s="2" t="str">
        <f>""</f>
        <v/>
      </c>
      <c r="F797" s="2" t="str">
        <f>""</f>
        <v/>
      </c>
      <c r="G797" s="2" t="str">
        <f>""</f>
        <v/>
      </c>
      <c r="H797" s="3">
        <v>15951820.5</v>
      </c>
    </row>
    <row r="798" spans="1:8" x14ac:dyDescent="0.3">
      <c r="A798" s="4">
        <v>44834</v>
      </c>
      <c r="B798" s="2">
        <v>36</v>
      </c>
      <c r="C798" s="2" t="str">
        <f>"5453"</f>
        <v>5453</v>
      </c>
      <c r="D798" s="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798" s="2" t="str">
        <f>""</f>
        <v/>
      </c>
      <c r="F798" s="2" t="str">
        <f>""</f>
        <v/>
      </c>
      <c r="G798" s="2" t="str">
        <f>""</f>
        <v/>
      </c>
      <c r="H798" s="3">
        <v>18270998356.23</v>
      </c>
    </row>
    <row r="799" spans="1:8" x14ac:dyDescent="0.3">
      <c r="A799" s="4">
        <v>44834</v>
      </c>
      <c r="B799" s="2">
        <v>36</v>
      </c>
      <c r="C799" s="2" t="str">
        <f>"5455"</f>
        <v>5455</v>
      </c>
      <c r="D799" s="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799" s="2" t="str">
        <f>""</f>
        <v/>
      </c>
      <c r="F799" s="2" t="str">
        <f>""</f>
        <v/>
      </c>
      <c r="G799" s="2" t="str">
        <f>""</f>
        <v/>
      </c>
      <c r="H799" s="3">
        <v>150107906641.84</v>
      </c>
    </row>
    <row r="800" spans="1:8" x14ac:dyDescent="0.3">
      <c r="A800" s="4">
        <v>44834</v>
      </c>
      <c r="B800" s="2">
        <v>36</v>
      </c>
      <c r="C800" s="2" t="str">
        <f>"5456"</f>
        <v>5456</v>
      </c>
      <c r="D800" s="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00" s="2" t="str">
        <f>""</f>
        <v/>
      </c>
      <c r="F800" s="2" t="str">
        <f>""</f>
        <v/>
      </c>
      <c r="G800" s="2" t="str">
        <f>""</f>
        <v/>
      </c>
      <c r="H800" s="3">
        <v>1804006974</v>
      </c>
    </row>
    <row r="801" spans="1:8" x14ac:dyDescent="0.3">
      <c r="A801" s="4">
        <v>44834</v>
      </c>
      <c r="B801" s="2">
        <v>36</v>
      </c>
      <c r="C801" s="2" t="str">
        <f>"5457"</f>
        <v>5457</v>
      </c>
      <c r="D801" s="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01" s="2" t="str">
        <f>""</f>
        <v/>
      </c>
      <c r="F801" s="2" t="str">
        <f>""</f>
        <v/>
      </c>
      <c r="G801" s="2" t="str">
        <f>""</f>
        <v/>
      </c>
      <c r="H801" s="3">
        <v>129074598.45999999</v>
      </c>
    </row>
    <row r="802" spans="1:8" x14ac:dyDescent="0.3">
      <c r="A802" s="4">
        <v>44834</v>
      </c>
      <c r="B802" s="2">
        <v>36</v>
      </c>
      <c r="C802" s="2" t="str">
        <f>"5458"</f>
        <v>5458</v>
      </c>
      <c r="D802" s="2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E802" s="2" t="str">
        <f>""</f>
        <v/>
      </c>
      <c r="F802" s="2" t="str">
        <f>""</f>
        <v/>
      </c>
      <c r="G802" s="2" t="str">
        <f>""</f>
        <v/>
      </c>
      <c r="H802" s="3">
        <v>410079005</v>
      </c>
    </row>
    <row r="803" spans="1:8" x14ac:dyDescent="0.3">
      <c r="A803" s="4">
        <v>44834</v>
      </c>
      <c r="B803" s="2">
        <v>36</v>
      </c>
      <c r="C803" s="2" t="str">
        <f>"5459"</f>
        <v>5459</v>
      </c>
      <c r="D803" s="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03" s="2" t="str">
        <f>""</f>
        <v/>
      </c>
      <c r="F803" s="2" t="str">
        <f>""</f>
        <v/>
      </c>
      <c r="G803" s="2" t="str">
        <f>""</f>
        <v/>
      </c>
      <c r="H803" s="3">
        <v>57928955.619999997</v>
      </c>
    </row>
    <row r="804" spans="1:8" x14ac:dyDescent="0.3">
      <c r="A804" s="4">
        <v>44834</v>
      </c>
      <c r="B804" s="2">
        <v>36</v>
      </c>
      <c r="C804" s="2" t="str">
        <f>"5461"</f>
        <v>5461</v>
      </c>
      <c r="D804" s="2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04" s="2" t="str">
        <f>""</f>
        <v/>
      </c>
      <c r="F804" s="2" t="str">
        <f>""</f>
        <v/>
      </c>
      <c r="G804" s="2" t="str">
        <f>""</f>
        <v/>
      </c>
      <c r="H804" s="3">
        <v>83062115.400000006</v>
      </c>
    </row>
    <row r="805" spans="1:8" x14ac:dyDescent="0.3">
      <c r="A805" s="4">
        <v>44834</v>
      </c>
      <c r="B805" s="2">
        <v>36</v>
      </c>
      <c r="C805" s="2" t="str">
        <f>"5464"</f>
        <v>5464</v>
      </c>
      <c r="D805" s="2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5" s="2" t="str">
        <f>""</f>
        <v/>
      </c>
      <c r="F805" s="2" t="str">
        <f>""</f>
        <v/>
      </c>
      <c r="G805" s="2" t="str">
        <f>""</f>
        <v/>
      </c>
      <c r="H805" s="3">
        <v>176487820.63999999</v>
      </c>
    </row>
    <row r="806" spans="1:8" x14ac:dyDescent="0.3">
      <c r="A806" s="4">
        <v>44834</v>
      </c>
      <c r="B806" s="2">
        <v>36</v>
      </c>
      <c r="C806" s="2" t="str">
        <f>"5465"</f>
        <v>5465</v>
      </c>
      <c r="D806" s="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6" s="2" t="str">
        <f>""</f>
        <v/>
      </c>
      <c r="F806" s="2" t="str">
        <f>""</f>
        <v/>
      </c>
      <c r="G806" s="2" t="str">
        <f>""</f>
        <v/>
      </c>
      <c r="H806" s="3">
        <v>353990229.06</v>
      </c>
    </row>
    <row r="807" spans="1:8" x14ac:dyDescent="0.3">
      <c r="A807" s="4">
        <v>44834</v>
      </c>
      <c r="B807" s="2">
        <v>36</v>
      </c>
      <c r="C807" s="2" t="str">
        <f>"5510"</f>
        <v>5510</v>
      </c>
      <c r="D807" s="2" t="str">
        <f>"Расходы по купле-продаже ценных бумаг"</f>
        <v>Расходы по купле-продаже ценных бумаг</v>
      </c>
      <c r="E807" s="2" t="str">
        <f>""</f>
        <v/>
      </c>
      <c r="F807" s="2" t="str">
        <f>""</f>
        <v/>
      </c>
      <c r="G807" s="2" t="str">
        <f>""</f>
        <v/>
      </c>
      <c r="H807" s="3">
        <v>150671804.47</v>
      </c>
    </row>
    <row r="808" spans="1:8" x14ac:dyDescent="0.3">
      <c r="A808" s="4">
        <v>44834</v>
      </c>
      <c r="B808" s="2">
        <v>36</v>
      </c>
      <c r="C808" s="2" t="str">
        <f>"5530"</f>
        <v>5530</v>
      </c>
      <c r="D808" s="2" t="str">
        <f>"Расходы по купле-продаже иностранной валюты"</f>
        <v>Расходы по купле-продаже иностранной валюты</v>
      </c>
      <c r="E808" s="2" t="str">
        <f>""</f>
        <v/>
      </c>
      <c r="F808" s="2" t="str">
        <f>""</f>
        <v/>
      </c>
      <c r="G808" s="2" t="str">
        <f>""</f>
        <v/>
      </c>
      <c r="H808" s="3">
        <v>25888641472.470001</v>
      </c>
    </row>
    <row r="809" spans="1:8" x14ac:dyDescent="0.3">
      <c r="A809" s="4">
        <v>44834</v>
      </c>
      <c r="B809" s="2">
        <v>36</v>
      </c>
      <c r="C809" s="2" t="str">
        <f>"5540"</f>
        <v>5540</v>
      </c>
      <c r="D809" s="2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09" s="2" t="str">
        <f>""</f>
        <v/>
      </c>
      <c r="F809" s="2" t="str">
        <f>""</f>
        <v/>
      </c>
      <c r="G809" s="2" t="str">
        <f>""</f>
        <v/>
      </c>
      <c r="H809" s="3">
        <v>222609427.47999999</v>
      </c>
    </row>
    <row r="810" spans="1:8" x14ac:dyDescent="0.3">
      <c r="A810" s="4">
        <v>44834</v>
      </c>
      <c r="B810" s="2">
        <v>36</v>
      </c>
      <c r="C810" s="2" t="str">
        <f>"5593"</f>
        <v>5593</v>
      </c>
      <c r="D810" s="2" t="str">
        <f>"Расходы от переоценки операций своп"</f>
        <v>Расходы от переоценки операций своп</v>
      </c>
      <c r="E810" s="2" t="str">
        <f>""</f>
        <v/>
      </c>
      <c r="F810" s="2" t="str">
        <f>""</f>
        <v/>
      </c>
      <c r="G810" s="2" t="str">
        <f>""</f>
        <v/>
      </c>
      <c r="H810" s="3">
        <v>541987553.61000001</v>
      </c>
    </row>
    <row r="811" spans="1:8" x14ac:dyDescent="0.3">
      <c r="A811" s="4">
        <v>44834</v>
      </c>
      <c r="B811" s="2">
        <v>36</v>
      </c>
      <c r="C811" s="2" t="str">
        <f>"5601"</f>
        <v>5601</v>
      </c>
      <c r="D811" s="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11" s="2" t="str">
        <f>""</f>
        <v/>
      </c>
      <c r="F811" s="2" t="str">
        <f>""</f>
        <v/>
      </c>
      <c r="G811" s="2" t="str">
        <f>""</f>
        <v/>
      </c>
      <c r="H811" s="3">
        <v>558409546.85000002</v>
      </c>
    </row>
    <row r="812" spans="1:8" x14ac:dyDescent="0.3">
      <c r="A812" s="4">
        <v>44834</v>
      </c>
      <c r="B812" s="2">
        <v>36</v>
      </c>
      <c r="C812" s="2" t="str">
        <f>"5602"</f>
        <v>5602</v>
      </c>
      <c r="D812" s="2" t="str">
        <f>"Комиссионные расходы по полученным агентским услугам"</f>
        <v>Комиссионные расходы по полученным агентским услугам</v>
      </c>
      <c r="E812" s="2" t="str">
        <f>""</f>
        <v/>
      </c>
      <c r="F812" s="2" t="str">
        <f>""</f>
        <v/>
      </c>
      <c r="G812" s="2" t="str">
        <f>""</f>
        <v/>
      </c>
      <c r="H812" s="3">
        <v>202521933.81</v>
      </c>
    </row>
    <row r="813" spans="1:8" x14ac:dyDescent="0.3">
      <c r="A813" s="4">
        <v>44834</v>
      </c>
      <c r="B813" s="2">
        <v>36</v>
      </c>
      <c r="C813" s="2" t="str">
        <f>"5604"</f>
        <v>5604</v>
      </c>
      <c r="D813" s="2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13" s="2" t="str">
        <f>""</f>
        <v/>
      </c>
      <c r="F813" s="2" t="str">
        <f>""</f>
        <v/>
      </c>
      <c r="G813" s="2" t="str">
        <f>""</f>
        <v/>
      </c>
      <c r="H813" s="3">
        <v>593237350.85000002</v>
      </c>
    </row>
    <row r="814" spans="1:8" x14ac:dyDescent="0.3">
      <c r="A814" s="4">
        <v>44834</v>
      </c>
      <c r="B814" s="2">
        <v>36</v>
      </c>
      <c r="C814" s="2" t="str">
        <f>"5606"</f>
        <v>5606</v>
      </c>
      <c r="D814" s="2" t="str">
        <f>"Комиссионные расходы по полученным услугам по гарантиям"</f>
        <v>Комиссионные расходы по полученным услугам по гарантиям</v>
      </c>
      <c r="E814" s="2" t="str">
        <f>""</f>
        <v/>
      </c>
      <c r="F814" s="2" t="str">
        <f>""</f>
        <v/>
      </c>
      <c r="G814" s="2" t="str">
        <f>""</f>
        <v/>
      </c>
      <c r="H814" s="3">
        <v>735212.03</v>
      </c>
    </row>
    <row r="815" spans="1:8" x14ac:dyDescent="0.3">
      <c r="A815" s="4">
        <v>44834</v>
      </c>
      <c r="B815" s="2">
        <v>36</v>
      </c>
      <c r="C815" s="2" t="str">
        <f>"5607"</f>
        <v>5607</v>
      </c>
      <c r="D815" s="2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5" s="2" t="str">
        <f>""</f>
        <v/>
      </c>
      <c r="F815" s="2" t="str">
        <f>""</f>
        <v/>
      </c>
      <c r="G815" s="2" t="str">
        <f>""</f>
        <v/>
      </c>
      <c r="H815" s="3">
        <v>9851708519.3400002</v>
      </c>
    </row>
    <row r="816" spans="1:8" x14ac:dyDescent="0.3">
      <c r="A816" s="4">
        <v>44834</v>
      </c>
      <c r="B816" s="2">
        <v>36</v>
      </c>
      <c r="C816" s="2" t="str">
        <f>"5608"</f>
        <v>5608</v>
      </c>
      <c r="D816" s="2" t="str">
        <f>"Прочие комиссионные расходы"</f>
        <v>Прочие комиссионные расходы</v>
      </c>
      <c r="E816" s="2" t="str">
        <f>""</f>
        <v/>
      </c>
      <c r="F816" s="2" t="str">
        <f>""</f>
        <v/>
      </c>
      <c r="G816" s="2" t="str">
        <f>""</f>
        <v/>
      </c>
      <c r="H816" s="3">
        <v>2612113956.71</v>
      </c>
    </row>
    <row r="817" spans="1:8" x14ac:dyDescent="0.3">
      <c r="A817" s="4">
        <v>44834</v>
      </c>
      <c r="B817" s="2">
        <v>36</v>
      </c>
      <c r="C817" s="2" t="str">
        <f>"5609"</f>
        <v>5609</v>
      </c>
      <c r="D817" s="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7" s="2" t="str">
        <f>""</f>
        <v/>
      </c>
      <c r="F817" s="2" t="str">
        <f>""</f>
        <v/>
      </c>
      <c r="G817" s="2" t="str">
        <f>""</f>
        <v/>
      </c>
      <c r="H817" s="3">
        <v>140439811.66999999</v>
      </c>
    </row>
    <row r="818" spans="1:8" x14ac:dyDescent="0.3">
      <c r="A818" s="4">
        <v>44834</v>
      </c>
      <c r="B818" s="2">
        <v>36</v>
      </c>
      <c r="C818" s="2" t="str">
        <f>"5703"</f>
        <v>5703</v>
      </c>
      <c r="D818" s="2" t="str">
        <f>"Расходы от переоценки иностранной валюты"</f>
        <v>Расходы от переоценки иностранной валюты</v>
      </c>
      <c r="E818" s="2" t="str">
        <f>""</f>
        <v/>
      </c>
      <c r="F818" s="2" t="str">
        <f>""</f>
        <v/>
      </c>
      <c r="G818" s="2" t="str">
        <f>""</f>
        <v/>
      </c>
      <c r="H818" s="3">
        <v>2192735029336.98</v>
      </c>
    </row>
    <row r="819" spans="1:8" x14ac:dyDescent="0.3">
      <c r="A819" s="4">
        <v>44834</v>
      </c>
      <c r="B819" s="2">
        <v>36</v>
      </c>
      <c r="C819" s="2" t="str">
        <f>"5704"</f>
        <v>5704</v>
      </c>
      <c r="D819" s="2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19" s="2" t="str">
        <f>""</f>
        <v/>
      </c>
      <c r="F819" s="2" t="str">
        <f>""</f>
        <v/>
      </c>
      <c r="G819" s="2" t="str">
        <f>""</f>
        <v/>
      </c>
      <c r="H819" s="3">
        <v>674703977.29999995</v>
      </c>
    </row>
    <row r="820" spans="1:8" x14ac:dyDescent="0.3">
      <c r="A820" s="4">
        <v>44834</v>
      </c>
      <c r="B820" s="2">
        <v>36</v>
      </c>
      <c r="C820" s="2" t="str">
        <f>"5709"</f>
        <v>5709</v>
      </c>
      <c r="D820" s="2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E820" s="2" t="str">
        <f>""</f>
        <v/>
      </c>
      <c r="F820" s="2" t="str">
        <f>""</f>
        <v/>
      </c>
      <c r="G820" s="2" t="str">
        <f>""</f>
        <v/>
      </c>
      <c r="H820" s="3">
        <v>7287113.0300000003</v>
      </c>
    </row>
    <row r="821" spans="1:8" x14ac:dyDescent="0.3">
      <c r="A821" s="4">
        <v>44834</v>
      </c>
      <c r="B821" s="2">
        <v>36</v>
      </c>
      <c r="C821" s="2" t="str">
        <f>"5711"</f>
        <v>5711</v>
      </c>
      <c r="D821" s="2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E821" s="2" t="str">
        <f>""</f>
        <v/>
      </c>
      <c r="F821" s="2" t="str">
        <f>""</f>
        <v/>
      </c>
      <c r="G821" s="2" t="str">
        <f>""</f>
        <v/>
      </c>
      <c r="H821" s="3">
        <v>316583715.08999997</v>
      </c>
    </row>
    <row r="822" spans="1:8" x14ac:dyDescent="0.3">
      <c r="A822" s="4">
        <v>44834</v>
      </c>
      <c r="B822" s="2">
        <v>36</v>
      </c>
      <c r="C822" s="2" t="str">
        <f>"5721"</f>
        <v>5721</v>
      </c>
      <c r="D822" s="2" t="str">
        <f>"Расходы по оплате труда"</f>
        <v>Расходы по оплате труда</v>
      </c>
      <c r="E822" s="2" t="str">
        <f>""</f>
        <v/>
      </c>
      <c r="F822" s="2" t="str">
        <f>""</f>
        <v/>
      </c>
      <c r="G822" s="2" t="str">
        <f>""</f>
        <v/>
      </c>
      <c r="H822" s="3">
        <v>20476214388.709999</v>
      </c>
    </row>
    <row r="823" spans="1:8" x14ac:dyDescent="0.3">
      <c r="A823" s="4">
        <v>44834</v>
      </c>
      <c r="B823" s="2">
        <v>36</v>
      </c>
      <c r="C823" s="2" t="str">
        <f>"5722"</f>
        <v>5722</v>
      </c>
      <c r="D823" s="2" t="str">
        <f>"Социальные отчисления"</f>
        <v>Социальные отчисления</v>
      </c>
      <c r="E823" s="2" t="str">
        <f>""</f>
        <v/>
      </c>
      <c r="F823" s="2" t="str">
        <f>""</f>
        <v/>
      </c>
      <c r="G823" s="2" t="str">
        <f>""</f>
        <v/>
      </c>
      <c r="H823" s="3">
        <v>863325614.80999994</v>
      </c>
    </row>
    <row r="824" spans="1:8" x14ac:dyDescent="0.3">
      <c r="A824" s="4">
        <v>44834</v>
      </c>
      <c r="B824" s="2">
        <v>36</v>
      </c>
      <c r="C824" s="2" t="str">
        <f>"5729"</f>
        <v>5729</v>
      </c>
      <c r="D824" s="2" t="str">
        <f>"Прочие выплаты"</f>
        <v>Прочие выплаты</v>
      </c>
      <c r="E824" s="2" t="str">
        <f>""</f>
        <v/>
      </c>
      <c r="F824" s="2" t="str">
        <f>""</f>
        <v/>
      </c>
      <c r="G824" s="2" t="str">
        <f>""</f>
        <v/>
      </c>
      <c r="H824" s="3">
        <v>2991067686.6599998</v>
      </c>
    </row>
    <row r="825" spans="1:8" x14ac:dyDescent="0.3">
      <c r="A825" s="4">
        <v>44834</v>
      </c>
      <c r="B825" s="2">
        <v>36</v>
      </c>
      <c r="C825" s="2" t="str">
        <f>"5733"</f>
        <v>5733</v>
      </c>
      <c r="D825" s="2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25" s="2" t="str">
        <f>""</f>
        <v/>
      </c>
      <c r="F825" s="2" t="str">
        <f>""</f>
        <v/>
      </c>
      <c r="G825" s="2" t="str">
        <f>""</f>
        <v/>
      </c>
      <c r="H825" s="3">
        <v>8959449.4100000001</v>
      </c>
    </row>
    <row r="826" spans="1:8" x14ac:dyDescent="0.3">
      <c r="A826" s="4">
        <v>44834</v>
      </c>
      <c r="B826" s="2">
        <v>36</v>
      </c>
      <c r="C826" s="2" t="str">
        <f>"5734"</f>
        <v>5734</v>
      </c>
      <c r="D826" s="2" t="str">
        <f>"Расходы от прочей переоценки"</f>
        <v>Расходы от прочей переоценки</v>
      </c>
      <c r="E826" s="2" t="str">
        <f>""</f>
        <v/>
      </c>
      <c r="F826" s="2" t="str">
        <f>""</f>
        <v/>
      </c>
      <c r="G826" s="2" t="str">
        <f>""</f>
        <v/>
      </c>
      <c r="H826" s="3">
        <v>103872538.08</v>
      </c>
    </row>
    <row r="827" spans="1:8" x14ac:dyDescent="0.3">
      <c r="A827" s="4">
        <v>44834</v>
      </c>
      <c r="B827" s="2">
        <v>36</v>
      </c>
      <c r="C827" s="2" t="str">
        <f>"5741"</f>
        <v>5741</v>
      </c>
      <c r="D827" s="2" t="str">
        <f>"Транспортные расходы"</f>
        <v>Транспортные расходы</v>
      </c>
      <c r="E827" s="2" t="str">
        <f>""</f>
        <v/>
      </c>
      <c r="F827" s="2" t="str">
        <f>""</f>
        <v/>
      </c>
      <c r="G827" s="2" t="str">
        <f>""</f>
        <v/>
      </c>
      <c r="H827" s="3">
        <v>218327775.97</v>
      </c>
    </row>
    <row r="828" spans="1:8" x14ac:dyDescent="0.3">
      <c r="A828" s="4">
        <v>44834</v>
      </c>
      <c r="B828" s="2">
        <v>36</v>
      </c>
      <c r="C828" s="2" t="str">
        <f>"5742"</f>
        <v>5742</v>
      </c>
      <c r="D828" s="2" t="str">
        <f>"Административные расходы"</f>
        <v>Административные расходы</v>
      </c>
      <c r="E828" s="2" t="str">
        <f>""</f>
        <v/>
      </c>
      <c r="F828" s="2" t="str">
        <f>""</f>
        <v/>
      </c>
      <c r="G828" s="2" t="str">
        <f>""</f>
        <v/>
      </c>
      <c r="H828" s="3">
        <v>4573221799.3000002</v>
      </c>
    </row>
    <row r="829" spans="1:8" x14ac:dyDescent="0.3">
      <c r="A829" s="4">
        <v>44834</v>
      </c>
      <c r="B829" s="2">
        <v>36</v>
      </c>
      <c r="C829" s="2" t="str">
        <f>"5743"</f>
        <v>5743</v>
      </c>
      <c r="D829" s="2" t="str">
        <f>"Расходы на инкассацию"</f>
        <v>Расходы на инкассацию</v>
      </c>
      <c r="E829" s="2" t="str">
        <f>""</f>
        <v/>
      </c>
      <c r="F829" s="2" t="str">
        <f>""</f>
        <v/>
      </c>
      <c r="G829" s="2" t="str">
        <f>""</f>
        <v/>
      </c>
      <c r="H829" s="3">
        <v>384344316.60000002</v>
      </c>
    </row>
    <row r="830" spans="1:8" x14ac:dyDescent="0.3">
      <c r="A830" s="4">
        <v>44834</v>
      </c>
      <c r="B830" s="2">
        <v>36</v>
      </c>
      <c r="C830" s="2" t="str">
        <f>"5744"</f>
        <v>5744</v>
      </c>
      <c r="D830" s="2" t="str">
        <f>"Расходы на ремонт"</f>
        <v>Расходы на ремонт</v>
      </c>
      <c r="E830" s="2" t="str">
        <f>""</f>
        <v/>
      </c>
      <c r="F830" s="2" t="str">
        <f>""</f>
        <v/>
      </c>
      <c r="G830" s="2" t="str">
        <f>""</f>
        <v/>
      </c>
      <c r="H830" s="3">
        <v>590109048.44000006</v>
      </c>
    </row>
    <row r="831" spans="1:8" x14ac:dyDescent="0.3">
      <c r="A831" s="4">
        <v>44834</v>
      </c>
      <c r="B831" s="2">
        <v>36</v>
      </c>
      <c r="C831" s="2" t="str">
        <f>"5745"</f>
        <v>5745</v>
      </c>
      <c r="D831" s="2" t="str">
        <f>"Расходы на рекламу"</f>
        <v>Расходы на рекламу</v>
      </c>
      <c r="E831" s="2" t="str">
        <f>""</f>
        <v/>
      </c>
      <c r="F831" s="2" t="str">
        <f>""</f>
        <v/>
      </c>
      <c r="G831" s="2" t="str">
        <f>""</f>
        <v/>
      </c>
      <c r="H831" s="3">
        <v>2065870973.4300001</v>
      </c>
    </row>
    <row r="832" spans="1:8" x14ac:dyDescent="0.3">
      <c r="A832" s="4">
        <v>44834</v>
      </c>
      <c r="B832" s="2">
        <v>36</v>
      </c>
      <c r="C832" s="2" t="str">
        <f>"5746"</f>
        <v>5746</v>
      </c>
      <c r="D832" s="2" t="str">
        <f>"Расходы на охрану и сигнализацию"</f>
        <v>Расходы на охрану и сигнализацию</v>
      </c>
      <c r="E832" s="2" t="str">
        <f>""</f>
        <v/>
      </c>
      <c r="F832" s="2" t="str">
        <f>""</f>
        <v/>
      </c>
      <c r="G832" s="2" t="str">
        <f>""</f>
        <v/>
      </c>
      <c r="H832" s="3">
        <v>851128045.30999994</v>
      </c>
    </row>
    <row r="833" spans="1:8" x14ac:dyDescent="0.3">
      <c r="A833" s="4">
        <v>44834</v>
      </c>
      <c r="B833" s="2">
        <v>36</v>
      </c>
      <c r="C833" s="2" t="str">
        <f>"5747"</f>
        <v>5747</v>
      </c>
      <c r="D833" s="2" t="str">
        <f>"Представительские расходы"</f>
        <v>Представительские расходы</v>
      </c>
      <c r="E833" s="2" t="str">
        <f>""</f>
        <v/>
      </c>
      <c r="F833" s="2" t="str">
        <f>""</f>
        <v/>
      </c>
      <c r="G833" s="2" t="str">
        <f>""</f>
        <v/>
      </c>
      <c r="H833" s="3">
        <v>11569004.42</v>
      </c>
    </row>
    <row r="834" spans="1:8" x14ac:dyDescent="0.3">
      <c r="A834" s="4">
        <v>44834</v>
      </c>
      <c r="B834" s="2">
        <v>36</v>
      </c>
      <c r="C834" s="2" t="str">
        <f>"5748"</f>
        <v>5748</v>
      </c>
      <c r="D834" s="2" t="str">
        <f>"Прочие общехозяйственные расходы"</f>
        <v>Прочие общехозяйственные расходы</v>
      </c>
      <c r="E834" s="2" t="str">
        <f>""</f>
        <v/>
      </c>
      <c r="F834" s="2" t="str">
        <f>""</f>
        <v/>
      </c>
      <c r="G834" s="2" t="str">
        <f>""</f>
        <v/>
      </c>
      <c r="H834" s="3">
        <v>521933640.23000002</v>
      </c>
    </row>
    <row r="835" spans="1:8" x14ac:dyDescent="0.3">
      <c r="A835" s="4">
        <v>44834</v>
      </c>
      <c r="B835" s="2">
        <v>36</v>
      </c>
      <c r="C835" s="2" t="str">
        <f>"5749"</f>
        <v>5749</v>
      </c>
      <c r="D835" s="2" t="str">
        <f>"Расходы на служебные командировки"</f>
        <v>Расходы на служебные командировки</v>
      </c>
      <c r="E835" s="2" t="str">
        <f>""</f>
        <v/>
      </c>
      <c r="F835" s="2" t="str">
        <f>""</f>
        <v/>
      </c>
      <c r="G835" s="2" t="str">
        <f>""</f>
        <v/>
      </c>
      <c r="H835" s="3">
        <v>138213167.43000001</v>
      </c>
    </row>
    <row r="836" spans="1:8" x14ac:dyDescent="0.3">
      <c r="A836" s="4">
        <v>44834</v>
      </c>
      <c r="B836" s="2">
        <v>36</v>
      </c>
      <c r="C836" s="2" t="str">
        <f>"5750"</f>
        <v>5750</v>
      </c>
      <c r="D836" s="2" t="str">
        <f>"Расходы по аудиту и консультационным услугам"</f>
        <v>Расходы по аудиту и консультационным услугам</v>
      </c>
      <c r="E836" s="2" t="str">
        <f>""</f>
        <v/>
      </c>
      <c r="F836" s="2" t="str">
        <f>""</f>
        <v/>
      </c>
      <c r="G836" s="2" t="str">
        <f>""</f>
        <v/>
      </c>
      <c r="H836" s="3">
        <v>423815464.98000002</v>
      </c>
    </row>
    <row r="837" spans="1:8" x14ac:dyDescent="0.3">
      <c r="A837" s="4">
        <v>44834</v>
      </c>
      <c r="B837" s="2">
        <v>36</v>
      </c>
      <c r="C837" s="2" t="str">
        <f>"5752"</f>
        <v>5752</v>
      </c>
      <c r="D837" s="2" t="str">
        <f>"Расходы по страхованию"</f>
        <v>Расходы по страхованию</v>
      </c>
      <c r="E837" s="2" t="str">
        <f>""</f>
        <v/>
      </c>
      <c r="F837" s="2" t="str">
        <f>""</f>
        <v/>
      </c>
      <c r="G837" s="2" t="str">
        <f>""</f>
        <v/>
      </c>
      <c r="H837" s="3">
        <v>17329082.199999999</v>
      </c>
    </row>
    <row r="838" spans="1:8" x14ac:dyDescent="0.3">
      <c r="A838" s="4">
        <v>44834</v>
      </c>
      <c r="B838" s="2">
        <v>36</v>
      </c>
      <c r="C838" s="2" t="str">
        <f>"5753"</f>
        <v>5753</v>
      </c>
      <c r="D838" s="2" t="str">
        <f>"Расходы по услугам связи"</f>
        <v>Расходы по услугам связи</v>
      </c>
      <c r="E838" s="2" t="str">
        <f>""</f>
        <v/>
      </c>
      <c r="F838" s="2" t="str">
        <f>""</f>
        <v/>
      </c>
      <c r="G838" s="2" t="str">
        <f>""</f>
        <v/>
      </c>
      <c r="H838" s="3">
        <v>1171601594.6099999</v>
      </c>
    </row>
    <row r="839" spans="1:8" x14ac:dyDescent="0.3">
      <c r="A839" s="4">
        <v>44834</v>
      </c>
      <c r="B839" s="2">
        <v>36</v>
      </c>
      <c r="C839" s="2" t="str">
        <f>"5754"</f>
        <v>5754</v>
      </c>
      <c r="D839" s="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39" s="2" t="str">
        <f>""</f>
        <v/>
      </c>
      <c r="F839" s="2" t="str">
        <f>""</f>
        <v/>
      </c>
      <c r="G839" s="2" t="str">
        <f>""</f>
        <v/>
      </c>
      <c r="H839" s="3">
        <v>1562781713.0699999</v>
      </c>
    </row>
    <row r="840" spans="1:8" x14ac:dyDescent="0.3">
      <c r="A840" s="4">
        <v>44834</v>
      </c>
      <c r="B840" s="2">
        <v>36</v>
      </c>
      <c r="C840" s="2" t="str">
        <f>"5761"</f>
        <v>5761</v>
      </c>
      <c r="D840" s="2" t="str">
        <f>"Налог на добавленную стоимость"</f>
        <v>Налог на добавленную стоимость</v>
      </c>
      <c r="E840" s="2" t="str">
        <f>""</f>
        <v/>
      </c>
      <c r="F840" s="2" t="str">
        <f>""</f>
        <v/>
      </c>
      <c r="G840" s="2" t="str">
        <f>""</f>
        <v/>
      </c>
      <c r="H840" s="3">
        <v>1581602775.5599999</v>
      </c>
    </row>
    <row r="841" spans="1:8" x14ac:dyDescent="0.3">
      <c r="A841" s="4">
        <v>44834</v>
      </c>
      <c r="B841" s="2">
        <v>36</v>
      </c>
      <c r="C841" s="2" t="str">
        <f>"5763"</f>
        <v>5763</v>
      </c>
      <c r="D841" s="2" t="str">
        <f>"Социальный налог"</f>
        <v>Социальный налог</v>
      </c>
      <c r="E841" s="2" t="str">
        <f>""</f>
        <v/>
      </c>
      <c r="F841" s="2" t="str">
        <f>""</f>
        <v/>
      </c>
      <c r="G841" s="2" t="str">
        <f>""</f>
        <v/>
      </c>
      <c r="H841" s="3">
        <v>1575601801.5599999</v>
      </c>
    </row>
    <row r="842" spans="1:8" x14ac:dyDescent="0.3">
      <c r="A842" s="4">
        <v>44834</v>
      </c>
      <c r="B842" s="2">
        <v>36</v>
      </c>
      <c r="C842" s="2" t="str">
        <f>"5764"</f>
        <v>5764</v>
      </c>
      <c r="D842" s="2" t="str">
        <f>"Земельный налог"</f>
        <v>Земельный налог</v>
      </c>
      <c r="E842" s="2" t="str">
        <f>""</f>
        <v/>
      </c>
      <c r="F842" s="2" t="str">
        <f>""</f>
        <v/>
      </c>
      <c r="G842" s="2" t="str">
        <f>""</f>
        <v/>
      </c>
      <c r="H842" s="3">
        <v>88207622.909999996</v>
      </c>
    </row>
    <row r="843" spans="1:8" x14ac:dyDescent="0.3">
      <c r="A843" s="4">
        <v>44834</v>
      </c>
      <c r="B843" s="2">
        <v>36</v>
      </c>
      <c r="C843" s="2" t="str">
        <f>"5765"</f>
        <v>5765</v>
      </c>
      <c r="D843" s="2" t="str">
        <f>"Налог на имущество юридических лиц"</f>
        <v>Налог на имущество юридических лиц</v>
      </c>
      <c r="E843" s="2" t="str">
        <f>""</f>
        <v/>
      </c>
      <c r="F843" s="2" t="str">
        <f>""</f>
        <v/>
      </c>
      <c r="G843" s="2" t="str">
        <f>""</f>
        <v/>
      </c>
      <c r="H843" s="3">
        <v>793237658</v>
      </c>
    </row>
    <row r="844" spans="1:8" x14ac:dyDescent="0.3">
      <c r="A844" s="4">
        <v>44834</v>
      </c>
      <c r="B844" s="2">
        <v>36</v>
      </c>
      <c r="C844" s="2" t="str">
        <f>"5766"</f>
        <v>5766</v>
      </c>
      <c r="D844" s="2" t="str">
        <f>"Налог на транспортные средства"</f>
        <v>Налог на транспортные средства</v>
      </c>
      <c r="E844" s="2" t="str">
        <f>""</f>
        <v/>
      </c>
      <c r="F844" s="2" t="str">
        <f>""</f>
        <v/>
      </c>
      <c r="G844" s="2" t="str">
        <f>""</f>
        <v/>
      </c>
      <c r="H844" s="3">
        <v>5527224</v>
      </c>
    </row>
    <row r="845" spans="1:8" x14ac:dyDescent="0.3">
      <c r="A845" s="4">
        <v>44834</v>
      </c>
      <c r="B845" s="2">
        <v>36</v>
      </c>
      <c r="C845" s="2" t="str">
        <f>"5768"</f>
        <v>5768</v>
      </c>
      <c r="D845" s="2" t="str">
        <f>"Прочие налоги и обязательные платежи в бюджет"</f>
        <v>Прочие налоги и обязательные платежи в бюджет</v>
      </c>
      <c r="E845" s="2" t="str">
        <f>""</f>
        <v/>
      </c>
      <c r="F845" s="2" t="str">
        <f>""</f>
        <v/>
      </c>
      <c r="G845" s="2" t="str">
        <f>""</f>
        <v/>
      </c>
      <c r="H845" s="3">
        <v>138937693.97999999</v>
      </c>
    </row>
    <row r="846" spans="1:8" x14ac:dyDescent="0.3">
      <c r="A846" s="4">
        <v>44834</v>
      </c>
      <c r="B846" s="2">
        <v>36</v>
      </c>
      <c r="C846" s="2" t="str">
        <f>"5781"</f>
        <v>5781</v>
      </c>
      <c r="D846" s="2" t="str">
        <f>"Расходы по амортизации зданий и сооружений"</f>
        <v>Расходы по амортизации зданий и сооружений</v>
      </c>
      <c r="E846" s="2" t="str">
        <f>""</f>
        <v/>
      </c>
      <c r="F846" s="2" t="str">
        <f>""</f>
        <v/>
      </c>
      <c r="G846" s="2" t="str">
        <f>""</f>
        <v/>
      </c>
      <c r="H846" s="3">
        <v>546622590.75</v>
      </c>
    </row>
    <row r="847" spans="1:8" x14ac:dyDescent="0.3">
      <c r="A847" s="4">
        <v>44834</v>
      </c>
      <c r="B847" s="2">
        <v>36</v>
      </c>
      <c r="C847" s="2" t="str">
        <f>"5782"</f>
        <v>5782</v>
      </c>
      <c r="D847" s="2" t="str">
        <f>"Расходы по амортизации компьютерного оборудования"</f>
        <v>Расходы по амортизации компьютерного оборудования</v>
      </c>
      <c r="E847" s="2" t="str">
        <f>""</f>
        <v/>
      </c>
      <c r="F847" s="2" t="str">
        <f>""</f>
        <v/>
      </c>
      <c r="G847" s="2" t="str">
        <f>""</f>
        <v/>
      </c>
      <c r="H847" s="3">
        <v>1042056543.98</v>
      </c>
    </row>
    <row r="848" spans="1:8" x14ac:dyDescent="0.3">
      <c r="A848" s="4">
        <v>44834</v>
      </c>
      <c r="B848" s="2">
        <v>36</v>
      </c>
      <c r="C848" s="2" t="str">
        <f>"5783"</f>
        <v>5783</v>
      </c>
      <c r="D848" s="2" t="str">
        <f>"Расходы по амортизации прочих основных средств"</f>
        <v>Расходы по амортизации прочих основных средств</v>
      </c>
      <c r="E848" s="2" t="str">
        <f>""</f>
        <v/>
      </c>
      <c r="F848" s="2" t="str">
        <f>""</f>
        <v/>
      </c>
      <c r="G848" s="2" t="str">
        <f>""</f>
        <v/>
      </c>
      <c r="H848" s="3">
        <v>1580301471.9000001</v>
      </c>
    </row>
    <row r="849" spans="1:8" x14ac:dyDescent="0.3">
      <c r="A849" s="4">
        <v>44834</v>
      </c>
      <c r="B849" s="2">
        <v>36</v>
      </c>
      <c r="C849" s="2" t="str">
        <f>"5784"</f>
        <v>5784</v>
      </c>
      <c r="D849" s="2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49" s="2" t="str">
        <f>""</f>
        <v/>
      </c>
      <c r="F849" s="2" t="str">
        <f>""</f>
        <v/>
      </c>
      <c r="G849" s="2" t="str">
        <f>""</f>
        <v/>
      </c>
      <c r="H849" s="3">
        <v>648084745.22000003</v>
      </c>
    </row>
    <row r="850" spans="1:8" x14ac:dyDescent="0.3">
      <c r="A850" s="4">
        <v>44834</v>
      </c>
      <c r="B850" s="2">
        <v>36</v>
      </c>
      <c r="C850" s="2" t="str">
        <f>"5786"</f>
        <v>5786</v>
      </c>
      <c r="D850" s="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50" s="2" t="str">
        <f>""</f>
        <v/>
      </c>
      <c r="F850" s="2" t="str">
        <f>""</f>
        <v/>
      </c>
      <c r="G850" s="2" t="str">
        <f>""</f>
        <v/>
      </c>
      <c r="H850" s="3">
        <v>68978521.370000005</v>
      </c>
    </row>
    <row r="851" spans="1:8" x14ac:dyDescent="0.3">
      <c r="A851" s="4">
        <v>44834</v>
      </c>
      <c r="B851" s="2">
        <v>36</v>
      </c>
      <c r="C851" s="2" t="str">
        <f>"5787"</f>
        <v>5787</v>
      </c>
      <c r="D851" s="2" t="str">
        <f>"Расходы по амортизации транспортных средств"</f>
        <v>Расходы по амортизации транспортных средств</v>
      </c>
      <c r="E851" s="2" t="str">
        <f>""</f>
        <v/>
      </c>
      <c r="F851" s="2" t="str">
        <f>""</f>
        <v/>
      </c>
      <c r="G851" s="2" t="str">
        <f>""</f>
        <v/>
      </c>
      <c r="H851" s="3">
        <v>29143046.34</v>
      </c>
    </row>
    <row r="852" spans="1:8" x14ac:dyDescent="0.3">
      <c r="A852" s="4">
        <v>44834</v>
      </c>
      <c r="B852" s="2">
        <v>36</v>
      </c>
      <c r="C852" s="2" t="str">
        <f>"5788"</f>
        <v>5788</v>
      </c>
      <c r="D852" s="2" t="str">
        <f>"Расходы по амортизации нематериальных активов"</f>
        <v>Расходы по амортизации нематериальных активов</v>
      </c>
      <c r="E852" s="2" t="str">
        <f>""</f>
        <v/>
      </c>
      <c r="F852" s="2" t="str">
        <f>""</f>
        <v/>
      </c>
      <c r="G852" s="2" t="str">
        <f>""</f>
        <v/>
      </c>
      <c r="H852" s="3">
        <v>897661424.94000006</v>
      </c>
    </row>
    <row r="853" spans="1:8" x14ac:dyDescent="0.3">
      <c r="A853" s="4">
        <v>44834</v>
      </c>
      <c r="B853" s="2">
        <v>36</v>
      </c>
      <c r="C853" s="2" t="str">
        <f>"5852"</f>
        <v>5852</v>
      </c>
      <c r="D853" s="2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53" s="2" t="str">
        <f>""</f>
        <v/>
      </c>
      <c r="F853" s="2" t="str">
        <f>""</f>
        <v/>
      </c>
      <c r="G853" s="2" t="str">
        <f>""</f>
        <v/>
      </c>
      <c r="H853" s="3">
        <v>653963.82999999996</v>
      </c>
    </row>
    <row r="854" spans="1:8" x14ac:dyDescent="0.3">
      <c r="A854" s="4">
        <v>44834</v>
      </c>
      <c r="B854" s="2">
        <v>36</v>
      </c>
      <c r="C854" s="2" t="str">
        <f>"5854"</f>
        <v>5854</v>
      </c>
      <c r="D854" s="2" t="str">
        <f>"Расходы от реализации запасов"</f>
        <v>Расходы от реализации запасов</v>
      </c>
      <c r="E854" s="2" t="str">
        <f>""</f>
        <v/>
      </c>
      <c r="F854" s="2" t="str">
        <f>""</f>
        <v/>
      </c>
      <c r="G854" s="2" t="str">
        <f>""</f>
        <v/>
      </c>
      <c r="H854" s="3">
        <v>7228116848.2399998</v>
      </c>
    </row>
    <row r="855" spans="1:8" x14ac:dyDescent="0.3">
      <c r="A855" s="4">
        <v>44834</v>
      </c>
      <c r="B855" s="2">
        <v>36</v>
      </c>
      <c r="C855" s="2" t="str">
        <f>"5857"</f>
        <v>5857</v>
      </c>
      <c r="D855" s="2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55" s="2" t="str">
        <f>""</f>
        <v/>
      </c>
      <c r="F855" s="2" t="str">
        <f>""</f>
        <v/>
      </c>
      <c r="G855" s="2" t="str">
        <f>""</f>
        <v/>
      </c>
      <c r="H855" s="3">
        <v>2292084.9300000002</v>
      </c>
    </row>
    <row r="856" spans="1:8" x14ac:dyDescent="0.3">
      <c r="A856" s="4">
        <v>44834</v>
      </c>
      <c r="B856" s="2">
        <v>36</v>
      </c>
      <c r="C856" s="2" t="str">
        <f>"5892"</f>
        <v>5892</v>
      </c>
      <c r="D856" s="2" t="str">
        <f>"Расходы по операциям форвард"</f>
        <v>Расходы по операциям форвард</v>
      </c>
      <c r="E856" s="2" t="str">
        <f>""</f>
        <v/>
      </c>
      <c r="F856" s="2" t="str">
        <f>""</f>
        <v/>
      </c>
      <c r="G856" s="2" t="str">
        <f>""</f>
        <v/>
      </c>
      <c r="H856" s="3">
        <v>29177512000</v>
      </c>
    </row>
    <row r="857" spans="1:8" x14ac:dyDescent="0.3">
      <c r="A857" s="4">
        <v>44834</v>
      </c>
      <c r="B857" s="2">
        <v>36</v>
      </c>
      <c r="C857" s="2" t="str">
        <f>"5895"</f>
        <v>5895</v>
      </c>
      <c r="D857" s="2" t="str">
        <f>"Расходы по операциям своп"</f>
        <v>Расходы по операциям своп</v>
      </c>
      <c r="E857" s="2" t="str">
        <f>""</f>
        <v/>
      </c>
      <c r="F857" s="2" t="str">
        <f>""</f>
        <v/>
      </c>
      <c r="G857" s="2" t="str">
        <f>""</f>
        <v/>
      </c>
      <c r="H857" s="3">
        <v>116914292594.88</v>
      </c>
    </row>
    <row r="858" spans="1:8" x14ac:dyDescent="0.3">
      <c r="A858" s="4">
        <v>44834</v>
      </c>
      <c r="B858" s="2">
        <v>36</v>
      </c>
      <c r="C858" s="2" t="str">
        <f>"5900"</f>
        <v>5900</v>
      </c>
      <c r="D858" s="2" t="str">
        <f>"Неустойка (штраф, пеня)"</f>
        <v>Неустойка (штраф, пеня)</v>
      </c>
      <c r="E858" s="2" t="str">
        <f>""</f>
        <v/>
      </c>
      <c r="F858" s="2" t="str">
        <f>""</f>
        <v/>
      </c>
      <c r="G858" s="2" t="str">
        <f>""</f>
        <v/>
      </c>
      <c r="H858" s="3">
        <v>11197465.6</v>
      </c>
    </row>
    <row r="859" spans="1:8" x14ac:dyDescent="0.3">
      <c r="A859" s="4">
        <v>44834</v>
      </c>
      <c r="B859" s="2">
        <v>36</v>
      </c>
      <c r="C859" s="2" t="str">
        <f>"5921"</f>
        <v>5921</v>
      </c>
      <c r="D859" s="2" t="str">
        <f>"Прочие расходы от банковской деятельности"</f>
        <v>Прочие расходы от банковской деятельности</v>
      </c>
      <c r="E859" s="2" t="str">
        <f>""</f>
        <v/>
      </c>
      <c r="F859" s="2" t="str">
        <f>""</f>
        <v/>
      </c>
      <c r="G859" s="2" t="str">
        <f>""</f>
        <v/>
      </c>
      <c r="H859" s="3">
        <v>1806069992.3599999</v>
      </c>
    </row>
    <row r="860" spans="1:8" x14ac:dyDescent="0.3">
      <c r="A860" s="4">
        <v>44834</v>
      </c>
      <c r="B860" s="2">
        <v>36</v>
      </c>
      <c r="C860" s="2" t="str">
        <f>"5922"</f>
        <v>5922</v>
      </c>
      <c r="D860" s="2" t="str">
        <f>"Прочие расходы от неосновной деятельности"</f>
        <v>Прочие расходы от неосновной деятельности</v>
      </c>
      <c r="E860" s="2" t="str">
        <f>""</f>
        <v/>
      </c>
      <c r="F860" s="2" t="str">
        <f>""</f>
        <v/>
      </c>
      <c r="G860" s="2" t="str">
        <f>""</f>
        <v/>
      </c>
      <c r="H860" s="3">
        <v>541598399.52999997</v>
      </c>
    </row>
    <row r="861" spans="1:8" x14ac:dyDescent="0.3">
      <c r="A861" s="4">
        <v>44834</v>
      </c>
      <c r="B861" s="2">
        <v>36</v>
      </c>
      <c r="C861" s="2" t="str">
        <f>"5923"</f>
        <v>5923</v>
      </c>
      <c r="D861" s="2" t="str">
        <f>"Расходы по аренде"</f>
        <v>Расходы по аренде</v>
      </c>
      <c r="E861" s="2" t="str">
        <f>""</f>
        <v/>
      </c>
      <c r="F861" s="2" t="str">
        <f>""</f>
        <v/>
      </c>
      <c r="G861" s="2" t="str">
        <f>""</f>
        <v/>
      </c>
      <c r="H861" s="3">
        <v>951247943.83000004</v>
      </c>
    </row>
    <row r="862" spans="1:8" x14ac:dyDescent="0.3">
      <c r="A862" s="4">
        <v>44834</v>
      </c>
      <c r="B862" s="2">
        <v>36</v>
      </c>
      <c r="C862" s="2" t="str">
        <f>"5999"</f>
        <v>5999</v>
      </c>
      <c r="D862" s="2" t="str">
        <f>"Корпоративный подоходный налог"</f>
        <v>Корпоративный подоходный налог</v>
      </c>
      <c r="E862" s="2" t="str">
        <f>""</f>
        <v/>
      </c>
      <c r="F862" s="2" t="str">
        <f>""</f>
        <v/>
      </c>
      <c r="G862" s="2" t="str">
        <f>""</f>
        <v/>
      </c>
      <c r="H862" s="3">
        <v>10900000000</v>
      </c>
    </row>
    <row r="863" spans="1:8" x14ac:dyDescent="0.3">
      <c r="A863" s="4">
        <v>44834</v>
      </c>
      <c r="B863" s="2">
        <v>36</v>
      </c>
      <c r="C863" s="2" t="str">
        <f>"6005"</f>
        <v>6005</v>
      </c>
      <c r="D863" s="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63" s="2" t="str">
        <f>""</f>
        <v/>
      </c>
      <c r="F863" s="2" t="str">
        <f>""</f>
        <v/>
      </c>
      <c r="G863" s="2" t="str">
        <f>""</f>
        <v/>
      </c>
      <c r="H863" s="3">
        <v>150094073.38</v>
      </c>
    </row>
    <row r="864" spans="1:8" x14ac:dyDescent="0.3">
      <c r="A864" s="4">
        <v>44834</v>
      </c>
      <c r="B864" s="2">
        <v>36</v>
      </c>
      <c r="C864" s="2" t="str">
        <f>"6020"</f>
        <v>6020</v>
      </c>
      <c r="D864" s="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E864" s="2" t="str">
        <f>""</f>
        <v/>
      </c>
      <c r="F864" s="2" t="str">
        <f>""</f>
        <v/>
      </c>
      <c r="G864" s="2" t="str">
        <f>""</f>
        <v/>
      </c>
      <c r="H864" s="3">
        <v>1298932558.3499999</v>
      </c>
    </row>
    <row r="865" spans="1:8" x14ac:dyDescent="0.3">
      <c r="A865" s="4">
        <v>44834</v>
      </c>
      <c r="B865" s="2">
        <v>36</v>
      </c>
      <c r="C865" s="2" t="str">
        <f>"6055"</f>
        <v>6055</v>
      </c>
      <c r="D865" s="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65" s="2" t="str">
        <f>""</f>
        <v/>
      </c>
      <c r="F865" s="2" t="str">
        <f>""</f>
        <v/>
      </c>
      <c r="G865" s="2" t="str">
        <f>""</f>
        <v/>
      </c>
      <c r="H865" s="3">
        <v>63995929348.059998</v>
      </c>
    </row>
    <row r="866" spans="1:8" x14ac:dyDescent="0.3">
      <c r="A866" s="4">
        <v>44834</v>
      </c>
      <c r="B866" s="2">
        <v>36</v>
      </c>
      <c r="C866" s="2" t="str">
        <f>"6075"</f>
        <v>6075</v>
      </c>
      <c r="D866" s="2" t="str">
        <f>"Возможные требования по принятым гарантиям"</f>
        <v>Возможные требования по принятым гарантиям</v>
      </c>
      <c r="E866" s="2" t="str">
        <f>""</f>
        <v/>
      </c>
      <c r="F866" s="2" t="str">
        <f>""</f>
        <v/>
      </c>
      <c r="G866" s="2" t="str">
        <f>""</f>
        <v/>
      </c>
      <c r="H866" s="3">
        <v>3492955073422.7402</v>
      </c>
    </row>
    <row r="867" spans="1:8" x14ac:dyDescent="0.3">
      <c r="A867" s="4">
        <v>44834</v>
      </c>
      <c r="B867" s="2">
        <v>36</v>
      </c>
      <c r="C867" s="2" t="str">
        <f>"6105"</f>
        <v>6105</v>
      </c>
      <c r="D867" s="2" t="str">
        <f>"Будущие требования по размещаемым вкладам"</f>
        <v>Будущие требования по размещаемым вкладам</v>
      </c>
      <c r="E867" s="2" t="str">
        <f>""</f>
        <v/>
      </c>
      <c r="F867" s="2" t="str">
        <f>""</f>
        <v/>
      </c>
      <c r="G867" s="2" t="str">
        <f>""</f>
        <v/>
      </c>
      <c r="H867" s="3">
        <v>126684850000</v>
      </c>
    </row>
    <row r="868" spans="1:8" x14ac:dyDescent="0.3">
      <c r="A868" s="4">
        <v>44834</v>
      </c>
      <c r="B868" s="2">
        <v>36</v>
      </c>
      <c r="C868" s="2" t="str">
        <f>"6126"</f>
        <v>6126</v>
      </c>
      <c r="D868" s="2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68" s="2" t="str">
        <f>""</f>
        <v/>
      </c>
      <c r="F868" s="2" t="str">
        <f>""</f>
        <v/>
      </c>
      <c r="G868" s="2" t="str">
        <f>""</f>
        <v/>
      </c>
      <c r="H868" s="3">
        <v>210026692026.75</v>
      </c>
    </row>
    <row r="869" spans="1:8" x14ac:dyDescent="0.3">
      <c r="A869" s="4">
        <v>44834</v>
      </c>
      <c r="B869" s="2">
        <v>36</v>
      </c>
      <c r="C869" s="2" t="str">
        <f>"6155"</f>
        <v>6155</v>
      </c>
      <c r="D869" s="2" t="str">
        <f>"Условные требования по получению вкладов в будущем"</f>
        <v>Условные требования по получению вкладов в будущем</v>
      </c>
      <c r="E869" s="2" t="str">
        <f>""</f>
        <v/>
      </c>
      <c r="F869" s="2" t="str">
        <f>""</f>
        <v/>
      </c>
      <c r="G869" s="2" t="str">
        <f>""</f>
        <v/>
      </c>
      <c r="H869" s="3">
        <v>244859475</v>
      </c>
    </row>
    <row r="870" spans="1:8" x14ac:dyDescent="0.3">
      <c r="A870" s="4">
        <v>44834</v>
      </c>
      <c r="B870" s="2">
        <v>36</v>
      </c>
      <c r="C870" s="2" t="str">
        <f>"6177"</f>
        <v>6177</v>
      </c>
      <c r="D870" s="2" t="str">
        <f>"Условные требования по предоставленным займам"</f>
        <v>Условные требования по предоставленным займам</v>
      </c>
      <c r="E870" s="2" t="str">
        <f>""</f>
        <v/>
      </c>
      <c r="F870" s="2" t="str">
        <f>""</f>
        <v/>
      </c>
      <c r="G870" s="2" t="str">
        <f>""</f>
        <v/>
      </c>
      <c r="H870" s="3">
        <v>1351205.29</v>
      </c>
    </row>
    <row r="871" spans="1:8" x14ac:dyDescent="0.3">
      <c r="A871" s="4">
        <v>44834</v>
      </c>
      <c r="B871" s="2">
        <v>36</v>
      </c>
      <c r="C871" s="2" t="str">
        <f>"6305"</f>
        <v>6305</v>
      </c>
      <c r="D871" s="2" t="str">
        <f>"Условные требования по продаже ценных бумаг"</f>
        <v>Условные требования по продаже ценных бумаг</v>
      </c>
      <c r="E871" s="2" t="str">
        <f>""</f>
        <v/>
      </c>
      <c r="F871" s="2" t="str">
        <f>""</f>
        <v/>
      </c>
      <c r="G871" s="2" t="str">
        <f>""</f>
        <v/>
      </c>
      <c r="H871" s="3">
        <v>2978892000</v>
      </c>
    </row>
    <row r="872" spans="1:8" x14ac:dyDescent="0.3">
      <c r="A872" s="4">
        <v>44834</v>
      </c>
      <c r="B872" s="2">
        <v>36</v>
      </c>
      <c r="C872" s="2" t="str">
        <f>"6405"</f>
        <v>6405</v>
      </c>
      <c r="D872" s="2" t="str">
        <f>"Условные требования по купле-продаже иностранной валюты"</f>
        <v>Условные требования по купле-продаже иностранной валюты</v>
      </c>
      <c r="E872" s="2" t="str">
        <f>""</f>
        <v/>
      </c>
      <c r="F872" s="2" t="str">
        <f>""</f>
        <v/>
      </c>
      <c r="G872" s="2" t="str">
        <f>""</f>
        <v/>
      </c>
      <c r="H872" s="3">
        <v>197252860690.29999</v>
      </c>
    </row>
    <row r="873" spans="1:8" x14ac:dyDescent="0.3">
      <c r="A873" s="4">
        <v>44834</v>
      </c>
      <c r="B873" s="2">
        <v>36</v>
      </c>
      <c r="C873" s="2" t="str">
        <f>"6505"</f>
        <v>6505</v>
      </c>
      <c r="D873" s="2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73" s="2" t="str">
        <f>""</f>
        <v/>
      </c>
      <c r="F873" s="2" t="str">
        <f>""</f>
        <v/>
      </c>
      <c r="G873" s="2" t="str">
        <f>""</f>
        <v/>
      </c>
      <c r="H873" s="3">
        <v>150094073.38</v>
      </c>
    </row>
    <row r="874" spans="1:8" x14ac:dyDescent="0.3">
      <c r="A874" s="4">
        <v>44834</v>
      </c>
      <c r="B874" s="2">
        <v>36</v>
      </c>
      <c r="C874" s="2" t="str">
        <f>"6520"</f>
        <v>6520</v>
      </c>
      <c r="D874" s="2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E874" s="2" t="str">
        <f>""</f>
        <v/>
      </c>
      <c r="F874" s="2" t="str">
        <f>""</f>
        <v/>
      </c>
      <c r="G874" s="2" t="str">
        <f>""</f>
        <v/>
      </c>
      <c r="H874" s="3">
        <v>1298932558.3499999</v>
      </c>
    </row>
    <row r="875" spans="1:8" x14ac:dyDescent="0.3">
      <c r="A875" s="4">
        <v>44834</v>
      </c>
      <c r="B875" s="2">
        <v>36</v>
      </c>
      <c r="C875" s="2" t="str">
        <f>"6555"</f>
        <v>6555</v>
      </c>
      <c r="D875" s="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75" s="2" t="str">
        <f>""</f>
        <v/>
      </c>
      <c r="F875" s="2" t="str">
        <f>""</f>
        <v/>
      </c>
      <c r="G875" s="2" t="str">
        <f>""</f>
        <v/>
      </c>
      <c r="H875" s="3">
        <v>63995929348.059998</v>
      </c>
    </row>
    <row r="876" spans="1:8" x14ac:dyDescent="0.3">
      <c r="A876" s="4">
        <v>44834</v>
      </c>
      <c r="B876" s="2">
        <v>36</v>
      </c>
      <c r="C876" s="2" t="str">
        <f>"6575"</f>
        <v>6575</v>
      </c>
      <c r="D876" s="2" t="str">
        <f>"Возможное уменьшение требований по принятым гарантиям"</f>
        <v>Возможное уменьшение требований по принятым гарантиям</v>
      </c>
      <c r="E876" s="2" t="str">
        <f>""</f>
        <v/>
      </c>
      <c r="F876" s="2" t="str">
        <f>""</f>
        <v/>
      </c>
      <c r="G876" s="2" t="str">
        <f>""</f>
        <v/>
      </c>
      <c r="H876" s="3">
        <v>3492955073422.7402</v>
      </c>
    </row>
    <row r="877" spans="1:8" x14ac:dyDescent="0.3">
      <c r="A877" s="4">
        <v>44834</v>
      </c>
      <c r="B877" s="2">
        <v>36</v>
      </c>
      <c r="C877" s="2" t="str">
        <f>"6605"</f>
        <v>6605</v>
      </c>
      <c r="D877" s="2" t="str">
        <f>"Условные обязательства по размещению вкладов в будущем"</f>
        <v>Условные обязательства по размещению вкладов в будущем</v>
      </c>
      <c r="E877" s="2" t="str">
        <f>""</f>
        <v/>
      </c>
      <c r="F877" s="2" t="str">
        <f>""</f>
        <v/>
      </c>
      <c r="G877" s="2" t="str">
        <f>""</f>
        <v/>
      </c>
      <c r="H877" s="3">
        <v>126684850000</v>
      </c>
    </row>
    <row r="878" spans="1:8" x14ac:dyDescent="0.3">
      <c r="A878" s="4">
        <v>44834</v>
      </c>
      <c r="B878" s="2">
        <v>36</v>
      </c>
      <c r="C878" s="2" t="str">
        <f>"6626"</f>
        <v>6626</v>
      </c>
      <c r="D878" s="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78" s="2" t="str">
        <f>""</f>
        <v/>
      </c>
      <c r="F878" s="2" t="str">
        <f>""</f>
        <v/>
      </c>
      <c r="G878" s="2" t="str">
        <f>""</f>
        <v/>
      </c>
      <c r="H878" s="3">
        <v>210026692026.75</v>
      </c>
    </row>
    <row r="879" spans="1:8" x14ac:dyDescent="0.3">
      <c r="A879" s="4">
        <v>44834</v>
      </c>
      <c r="B879" s="2">
        <v>36</v>
      </c>
      <c r="C879" s="2" t="str">
        <f>"6655"</f>
        <v>6655</v>
      </c>
      <c r="D879" s="2" t="str">
        <f>"Будущие обязательства по получаемым вкладам"</f>
        <v>Будущие обязательства по получаемым вкладам</v>
      </c>
      <c r="E879" s="2" t="str">
        <f>""</f>
        <v/>
      </c>
      <c r="F879" s="2" t="str">
        <f>""</f>
        <v/>
      </c>
      <c r="G879" s="2" t="str">
        <f>""</f>
        <v/>
      </c>
      <c r="H879" s="3">
        <v>244859475</v>
      </c>
    </row>
    <row r="880" spans="1:8" x14ac:dyDescent="0.3">
      <c r="A880" s="4">
        <v>44834</v>
      </c>
      <c r="B880" s="2">
        <v>36</v>
      </c>
      <c r="C880" s="2" t="str">
        <f>"6677"</f>
        <v>6677</v>
      </c>
      <c r="D880" s="2" t="str">
        <f>"Условные обязательства по предоставленным займам"</f>
        <v>Условные обязательства по предоставленным займам</v>
      </c>
      <c r="E880" s="2" t="str">
        <f>""</f>
        <v/>
      </c>
      <c r="F880" s="2" t="str">
        <f>""</f>
        <v/>
      </c>
      <c r="G880" s="2" t="str">
        <f>""</f>
        <v/>
      </c>
      <c r="H880" s="3">
        <v>1351205.29</v>
      </c>
    </row>
    <row r="881" spans="1:8" x14ac:dyDescent="0.3">
      <c r="A881" s="4">
        <v>44834</v>
      </c>
      <c r="B881" s="2">
        <v>36</v>
      </c>
      <c r="C881" s="2" t="str">
        <f>"6805"</f>
        <v>6805</v>
      </c>
      <c r="D881" s="2" t="str">
        <f>"Условные обязательства по продаже ценных бумаг"</f>
        <v>Условные обязательства по продаже ценных бумаг</v>
      </c>
      <c r="E881" s="2" t="str">
        <f>""</f>
        <v/>
      </c>
      <c r="F881" s="2" t="str">
        <f>""</f>
        <v/>
      </c>
      <c r="G881" s="2" t="str">
        <f>""</f>
        <v/>
      </c>
      <c r="H881" s="3">
        <v>2978892000</v>
      </c>
    </row>
    <row r="882" spans="1:8" x14ac:dyDescent="0.3">
      <c r="A882" s="4">
        <v>44834</v>
      </c>
      <c r="B882" s="2">
        <v>36</v>
      </c>
      <c r="C882" s="2" t="str">
        <f>"6905"</f>
        <v>6905</v>
      </c>
      <c r="D882" s="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82" s="2" t="str">
        <f>""</f>
        <v/>
      </c>
      <c r="F882" s="2" t="str">
        <f>""</f>
        <v/>
      </c>
      <c r="G882" s="2" t="str">
        <f>""</f>
        <v/>
      </c>
      <c r="H882" s="3">
        <v>196128169910.79001</v>
      </c>
    </row>
    <row r="883" spans="1:8" x14ac:dyDescent="0.3">
      <c r="A883" s="4">
        <v>44834</v>
      </c>
      <c r="B883" s="2">
        <v>36</v>
      </c>
      <c r="C883" s="2" t="str">
        <f>"6999"</f>
        <v>6999</v>
      </c>
      <c r="D883" s="2" t="str">
        <f>"Позиция по сделкам с иностранной валютой"</f>
        <v>Позиция по сделкам с иностранной валютой</v>
      </c>
      <c r="E883" s="2" t="str">
        <f>""</f>
        <v/>
      </c>
      <c r="F883" s="2" t="str">
        <f>""</f>
        <v/>
      </c>
      <c r="G883" s="2" t="str">
        <f>""</f>
        <v/>
      </c>
      <c r="H883" s="3">
        <v>1124690779.51</v>
      </c>
    </row>
    <row r="884" spans="1:8" x14ac:dyDescent="0.3">
      <c r="A884" s="4">
        <v>44834</v>
      </c>
      <c r="B884" s="2">
        <v>36</v>
      </c>
      <c r="C884" s="2" t="str">
        <f>"7110"</f>
        <v>7110</v>
      </c>
      <c r="D884" s="2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84" s="2" t="str">
        <f>""</f>
        <v/>
      </c>
      <c r="F884" s="2" t="str">
        <f>""</f>
        <v/>
      </c>
      <c r="G884" s="2" t="str">
        <f>""</f>
        <v/>
      </c>
      <c r="H884" s="3">
        <v>5483.09</v>
      </c>
    </row>
    <row r="885" spans="1:8" x14ac:dyDescent="0.3">
      <c r="A885" s="4">
        <v>44834</v>
      </c>
      <c r="B885" s="2">
        <v>36</v>
      </c>
      <c r="C885" s="2" t="str">
        <f>"7150"</f>
        <v>7150</v>
      </c>
      <c r="D885" s="2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85" s="2" t="str">
        <f>""</f>
        <v/>
      </c>
      <c r="F885" s="2" t="str">
        <f>""</f>
        <v/>
      </c>
      <c r="G885" s="2" t="str">
        <f>""</f>
        <v/>
      </c>
      <c r="H885" s="3">
        <v>5421044.5999999996</v>
      </c>
    </row>
    <row r="886" spans="1:8" x14ac:dyDescent="0.3">
      <c r="A886" s="4">
        <v>44834</v>
      </c>
      <c r="B886" s="2">
        <v>36</v>
      </c>
      <c r="C886" s="2" t="str">
        <f>"7220"</f>
        <v>7220</v>
      </c>
      <c r="D886" s="2" t="str">
        <f>"Арендованные активы"</f>
        <v>Арендованные активы</v>
      </c>
      <c r="E886" s="2" t="str">
        <f>""</f>
        <v/>
      </c>
      <c r="F886" s="2" t="str">
        <f>""</f>
        <v/>
      </c>
      <c r="G886" s="2" t="str">
        <f>""</f>
        <v/>
      </c>
      <c r="H886" s="3">
        <v>795272232.25999999</v>
      </c>
    </row>
    <row r="887" spans="1:8" x14ac:dyDescent="0.3">
      <c r="A887" s="4">
        <v>44834</v>
      </c>
      <c r="B887" s="2">
        <v>36</v>
      </c>
      <c r="C887" s="2" t="str">
        <f>"7240"</f>
        <v>7240</v>
      </c>
      <c r="D887" s="2" t="str">
        <f>"Документы и ценности, принятые на инкассо"</f>
        <v>Документы и ценности, принятые на инкассо</v>
      </c>
      <c r="E887" s="2" t="str">
        <f>""</f>
        <v/>
      </c>
      <c r="F887" s="2" t="str">
        <f>""</f>
        <v/>
      </c>
      <c r="G887" s="2" t="str">
        <f>""</f>
        <v/>
      </c>
      <c r="H887" s="3">
        <v>203038029.28999999</v>
      </c>
    </row>
    <row r="888" spans="1:8" x14ac:dyDescent="0.3">
      <c r="A888" s="4">
        <v>44834</v>
      </c>
      <c r="B888" s="2">
        <v>36</v>
      </c>
      <c r="C888" s="2" t="str">
        <f>"7250"</f>
        <v>7250</v>
      </c>
      <c r="D888" s="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88" s="2" t="str">
        <f>""</f>
        <v/>
      </c>
      <c r="F888" s="2" t="str">
        <f>""</f>
        <v/>
      </c>
      <c r="G888" s="2" t="str">
        <f>""</f>
        <v/>
      </c>
      <c r="H888" s="3">
        <v>1197388377096.5</v>
      </c>
    </row>
    <row r="889" spans="1:8" x14ac:dyDescent="0.3">
      <c r="A889" s="4">
        <v>44834</v>
      </c>
      <c r="B889" s="2">
        <v>36</v>
      </c>
      <c r="C889" s="2" t="str">
        <f>"7303"</f>
        <v>7303</v>
      </c>
      <c r="D889" s="2" t="str">
        <f>"Платежные документы, не оплаченные в срок"</f>
        <v>Платежные документы, не оплаченные в срок</v>
      </c>
      <c r="E889" s="2" t="str">
        <f>""</f>
        <v/>
      </c>
      <c r="F889" s="2" t="str">
        <f>""</f>
        <v/>
      </c>
      <c r="G889" s="2" t="str">
        <f>""</f>
        <v/>
      </c>
      <c r="H889" s="3">
        <v>21242637621010.699</v>
      </c>
    </row>
    <row r="890" spans="1:8" x14ac:dyDescent="0.3">
      <c r="A890" s="4">
        <v>44834</v>
      </c>
      <c r="B890" s="2">
        <v>36</v>
      </c>
      <c r="C890" s="2" t="str">
        <f>"7339"</f>
        <v>7339</v>
      </c>
      <c r="D890" s="2" t="str">
        <f>"Разные ценности и документы"</f>
        <v>Разные ценности и документы</v>
      </c>
      <c r="E890" s="2" t="str">
        <f>""</f>
        <v/>
      </c>
      <c r="F890" s="2" t="str">
        <f>""</f>
        <v/>
      </c>
      <c r="G890" s="2" t="str">
        <f>""</f>
        <v/>
      </c>
      <c r="H890" s="3">
        <v>117983683.90000001</v>
      </c>
    </row>
    <row r="891" spans="1:8" x14ac:dyDescent="0.3">
      <c r="A891" s="4">
        <v>44834</v>
      </c>
      <c r="B891" s="2">
        <v>36</v>
      </c>
      <c r="C891" s="2" t="str">
        <f>"7342"</f>
        <v>7342</v>
      </c>
      <c r="D891" s="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91" s="2" t="str">
        <f>""</f>
        <v/>
      </c>
      <c r="F891" s="2" t="str">
        <f>""</f>
        <v/>
      </c>
      <c r="G891" s="2" t="str">
        <f>""</f>
        <v/>
      </c>
      <c r="H891" s="3">
        <v>156634</v>
      </c>
    </row>
    <row r="892" spans="1:8" x14ac:dyDescent="0.3">
      <c r="A892" s="4">
        <v>44834</v>
      </c>
      <c r="B892" s="2">
        <v>36</v>
      </c>
      <c r="C892" s="2" t="str">
        <f>"7360"</f>
        <v>7360</v>
      </c>
      <c r="D892" s="2" t="str">
        <f>"Акции и другие ценные бумаги клиентов"</f>
        <v>Акции и другие ценные бумаги клиентов</v>
      </c>
      <c r="E892" s="2" t="str">
        <f>""</f>
        <v/>
      </c>
      <c r="F892" s="2" t="str">
        <f>""</f>
        <v/>
      </c>
      <c r="G892" s="2" t="str">
        <f>""</f>
        <v/>
      </c>
      <c r="H892" s="3">
        <v>38136800000</v>
      </c>
    </row>
    <row r="893" spans="1:8" x14ac:dyDescent="0.3">
      <c r="A893" s="4">
        <v>44834</v>
      </c>
      <c r="B893" s="2">
        <v>36</v>
      </c>
      <c r="C893" s="2" t="str">
        <f>"7403"</f>
        <v>7403</v>
      </c>
      <c r="D893" s="2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93" s="2" t="str">
        <f>""</f>
        <v/>
      </c>
      <c r="F893" s="2" t="str">
        <f>""</f>
        <v/>
      </c>
      <c r="G893" s="2" t="str">
        <f>""</f>
        <v/>
      </c>
      <c r="H893" s="3">
        <v>505465364.61000001</v>
      </c>
    </row>
    <row r="894" spans="1:8" x14ac:dyDescent="0.3">
      <c r="A894" s="4">
        <v>44834</v>
      </c>
      <c r="B894" s="2">
        <v>36</v>
      </c>
      <c r="C894" s="2" t="str">
        <f>"7404"</f>
        <v>7404</v>
      </c>
      <c r="D894" s="2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94" s="2" t="str">
        <f>""</f>
        <v/>
      </c>
      <c r="F894" s="2" t="str">
        <f>""</f>
        <v/>
      </c>
      <c r="G894" s="2" t="str">
        <f>""</f>
        <v/>
      </c>
      <c r="H894" s="3">
        <v>672789513.36000001</v>
      </c>
    </row>
    <row r="895" spans="1:8" x14ac:dyDescent="0.3">
      <c r="A895" s="4">
        <v>44834</v>
      </c>
      <c r="B895" s="2">
        <v>36</v>
      </c>
      <c r="C895" s="2" t="str">
        <f>"7405"</f>
        <v>7405</v>
      </c>
      <c r="D895" s="2" t="str">
        <f>"Ценные бумаги международных финансовых организаций"</f>
        <v>Ценные бумаги международных финансовых организаций</v>
      </c>
      <c r="E895" s="2" t="str">
        <f>""</f>
        <v/>
      </c>
      <c r="F895" s="2" t="str">
        <f>""</f>
        <v/>
      </c>
      <c r="G895" s="2" t="str">
        <f>""</f>
        <v/>
      </c>
      <c r="H895" s="3">
        <v>109438629</v>
      </c>
    </row>
    <row r="896" spans="1:8" x14ac:dyDescent="0.3">
      <c r="A896" s="4">
        <v>44834</v>
      </c>
      <c r="B896" s="2">
        <v>36</v>
      </c>
      <c r="C896" s="2" t="str">
        <f>"7407"</f>
        <v>7407</v>
      </c>
      <c r="D896" s="2" t="str">
        <f>"Прочие пенсионные активы"</f>
        <v>Прочие пенсионные активы</v>
      </c>
      <c r="E896" s="2" t="str">
        <f>""</f>
        <v/>
      </c>
      <c r="F896" s="2" t="str">
        <f>""</f>
        <v/>
      </c>
      <c r="G896" s="2" t="str">
        <f>""</f>
        <v/>
      </c>
      <c r="H896" s="3">
        <v>464075997.00999999</v>
      </c>
    </row>
    <row r="897" spans="1:8" x14ac:dyDescent="0.3">
      <c r="A897" s="4">
        <v>44834</v>
      </c>
      <c r="B897" s="2">
        <v>36</v>
      </c>
      <c r="C897" s="2" t="str">
        <f>"7409"</f>
        <v>7409</v>
      </c>
      <c r="D897" s="2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97" s="2" t="str">
        <f>""</f>
        <v/>
      </c>
      <c r="F897" s="2" t="str">
        <f>""</f>
        <v/>
      </c>
      <c r="G897" s="2" t="str">
        <f>""</f>
        <v/>
      </c>
      <c r="H897" s="3">
        <v>22445617.399999999</v>
      </c>
    </row>
    <row r="898" spans="1:8" x14ac:dyDescent="0.3">
      <c r="A898" s="4">
        <v>44834</v>
      </c>
      <c r="B898" s="2">
        <v>36</v>
      </c>
      <c r="C898" s="2" t="str">
        <f>"7410"</f>
        <v>7410</v>
      </c>
      <c r="D898" s="2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98" s="2" t="str">
        <f>""</f>
        <v/>
      </c>
      <c r="F898" s="2" t="str">
        <f>""</f>
        <v/>
      </c>
      <c r="G898" s="2" t="str">
        <f>""</f>
        <v/>
      </c>
      <c r="H898" s="3">
        <v>13456735.5</v>
      </c>
    </row>
    <row r="899" spans="1:8" x14ac:dyDescent="0.3">
      <c r="A899" s="4">
        <v>44834</v>
      </c>
      <c r="B899" s="2">
        <v>36</v>
      </c>
      <c r="C899" s="2" t="str">
        <f>"7411"</f>
        <v>7411</v>
      </c>
      <c r="D899" s="2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99" s="2" t="str">
        <f>""</f>
        <v/>
      </c>
      <c r="F899" s="2" t="str">
        <f>""</f>
        <v/>
      </c>
      <c r="G899" s="2" t="str">
        <f>""</f>
        <v/>
      </c>
      <c r="H899" s="3">
        <v>12880000</v>
      </c>
    </row>
    <row r="900" spans="1:8" x14ac:dyDescent="0.3">
      <c r="A900" s="4">
        <v>44834</v>
      </c>
      <c r="B900" s="2">
        <v>36</v>
      </c>
      <c r="C900" s="2" t="str">
        <f>"7413"</f>
        <v>7413</v>
      </c>
      <c r="D900" s="2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900" s="2" t="str">
        <f>""</f>
        <v/>
      </c>
      <c r="F900" s="2" t="str">
        <f>""</f>
        <v/>
      </c>
      <c r="G900" s="2" t="str">
        <f>""</f>
        <v/>
      </c>
      <c r="H900" s="3">
        <v>3241602.55</v>
      </c>
    </row>
    <row r="901" spans="1:8" x14ac:dyDescent="0.3">
      <c r="A901" s="4">
        <v>44834</v>
      </c>
      <c r="B901" s="2">
        <v>36</v>
      </c>
      <c r="C901" s="2" t="str">
        <f>"7416"</f>
        <v>7416</v>
      </c>
      <c r="D901" s="2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01" s="2" t="str">
        <f>""</f>
        <v/>
      </c>
      <c r="F901" s="2" t="str">
        <f>""</f>
        <v/>
      </c>
      <c r="G901" s="2" t="str">
        <f>""</f>
        <v/>
      </c>
      <c r="H901" s="3">
        <v>1428705322.1099999</v>
      </c>
    </row>
    <row r="902" spans="1:8" x14ac:dyDescent="0.3">
      <c r="A902" s="4">
        <v>44834</v>
      </c>
      <c r="B902" s="2">
        <v>36</v>
      </c>
      <c r="C902" s="2" t="str">
        <f>"7535"</f>
        <v>7535</v>
      </c>
      <c r="D902" s="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02" s="2" t="str">
        <f>""</f>
        <v/>
      </c>
      <c r="F902" s="2" t="str">
        <f>""</f>
        <v/>
      </c>
      <c r="G902" s="2" t="str">
        <f>""</f>
        <v/>
      </c>
      <c r="H902" s="3">
        <v>1175702.42</v>
      </c>
    </row>
    <row r="903" spans="1:8" x14ac:dyDescent="0.3">
      <c r="A903" s="4">
        <v>44834</v>
      </c>
      <c r="B903" s="2">
        <v>36</v>
      </c>
      <c r="C903" s="2" t="str">
        <f>"7536"</f>
        <v>7536</v>
      </c>
      <c r="D903" s="2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03" s="2" t="str">
        <f>""</f>
        <v/>
      </c>
      <c r="F903" s="2" t="str">
        <f>""</f>
        <v/>
      </c>
      <c r="G903" s="2" t="str">
        <f>""</f>
        <v/>
      </c>
      <c r="H903" s="3">
        <v>102747.65</v>
      </c>
    </row>
    <row r="904" spans="1:8" x14ac:dyDescent="0.3">
      <c r="A904" s="4">
        <v>44834</v>
      </c>
      <c r="B904" s="2">
        <v>36</v>
      </c>
      <c r="C904" s="2" t="str">
        <f>"7543"</f>
        <v>7543</v>
      </c>
      <c r="D904" s="2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04" s="2" t="str">
        <f>""</f>
        <v/>
      </c>
      <c r="F904" s="2" t="str">
        <f>""</f>
        <v/>
      </c>
      <c r="G904" s="2" t="str">
        <f>""</f>
        <v/>
      </c>
      <c r="H904" s="3">
        <v>7994.03</v>
      </c>
    </row>
    <row r="905" spans="1:8" x14ac:dyDescent="0.3">
      <c r="A905" s="4">
        <v>44834</v>
      </c>
      <c r="B905" s="2">
        <v>36</v>
      </c>
      <c r="C905" s="2" t="str">
        <f>"7544"</f>
        <v>7544</v>
      </c>
      <c r="D905" s="2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05" s="2" t="str">
        <f>""</f>
        <v/>
      </c>
      <c r="F905" s="2" t="str">
        <f>""</f>
        <v/>
      </c>
      <c r="G905" s="2" t="str">
        <f>""</f>
        <v/>
      </c>
      <c r="H905" s="3">
        <v>64761.19</v>
      </c>
    </row>
    <row r="906" spans="1:8" x14ac:dyDescent="0.3">
      <c r="A906" s="4">
        <v>44834</v>
      </c>
      <c r="B906" s="2">
        <v>36</v>
      </c>
      <c r="C906" s="2" t="str">
        <f>"7601"</f>
        <v>7601</v>
      </c>
      <c r="D906" s="2" t="str">
        <f>"Деньги"</f>
        <v>Деньги</v>
      </c>
      <c r="E906" s="2" t="str">
        <f>""</f>
        <v/>
      </c>
      <c r="F906" s="2" t="str">
        <f>""</f>
        <v/>
      </c>
      <c r="G906" s="2" t="str">
        <f>""</f>
        <v/>
      </c>
      <c r="H906" s="3">
        <v>4812707858.1400003</v>
      </c>
    </row>
    <row r="907" spans="1:8" x14ac:dyDescent="0.3">
      <c r="A907" s="4">
        <v>44834</v>
      </c>
      <c r="B907" s="2">
        <v>36</v>
      </c>
      <c r="C907" s="2" t="str">
        <f>"7651"</f>
        <v>7651</v>
      </c>
      <c r="D907" s="2" t="str">
        <f>"Капитал"</f>
        <v>Капитал</v>
      </c>
      <c r="E907" s="2" t="str">
        <f>""</f>
        <v/>
      </c>
      <c r="F907" s="2" t="str">
        <f>""</f>
        <v/>
      </c>
      <c r="G907" s="2" t="str">
        <f>""</f>
        <v/>
      </c>
      <c r="H907" s="3">
        <v>-9301097688.0200005</v>
      </c>
    </row>
    <row r="908" spans="1:8" x14ac:dyDescent="0.3">
      <c r="A908" s="4">
        <v>44834</v>
      </c>
      <c r="B908" s="2">
        <v>36</v>
      </c>
      <c r="C908" s="2" t="str">
        <f>"7701"</f>
        <v>7701</v>
      </c>
      <c r="D908" s="2" t="str">
        <f>"Ценные бумаги"</f>
        <v>Ценные бумаги</v>
      </c>
      <c r="E908" s="2" t="str">
        <f>""</f>
        <v/>
      </c>
      <c r="F908" s="2" t="str">
        <f>""</f>
        <v/>
      </c>
      <c r="G908" s="2" t="str">
        <f>""</f>
        <v/>
      </c>
      <c r="H908" s="3">
        <v>13466404285.65</v>
      </c>
    </row>
    <row r="909" spans="1:8" x14ac:dyDescent="0.3">
      <c r="A909" s="4">
        <v>44834</v>
      </c>
      <c r="B909" s="2">
        <v>36</v>
      </c>
      <c r="C909" s="2" t="str">
        <f>"7704"</f>
        <v>7704</v>
      </c>
      <c r="D909" s="2" t="str">
        <f>"Операции «обратное РЕПО»"</f>
        <v>Операции «обратное РЕПО»</v>
      </c>
      <c r="E909" s="2" t="str">
        <f>""</f>
        <v/>
      </c>
      <c r="F909" s="2" t="str">
        <f>""</f>
        <v/>
      </c>
      <c r="G909" s="2" t="str">
        <f>""</f>
        <v/>
      </c>
      <c r="H909" s="3">
        <v>1372509410.8399999</v>
      </c>
    </row>
    <row r="910" spans="1:8" x14ac:dyDescent="0.3">
      <c r="A910" s="4">
        <v>44834</v>
      </c>
      <c r="B910" s="2">
        <v>36</v>
      </c>
      <c r="C910" s="2" t="str">
        <f>"7708"</f>
        <v>7708</v>
      </c>
      <c r="D910" s="2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10" s="2" t="str">
        <f>""</f>
        <v/>
      </c>
      <c r="F910" s="2" t="str">
        <f>""</f>
        <v/>
      </c>
      <c r="G910" s="2" t="str">
        <f>""</f>
        <v/>
      </c>
      <c r="H910" s="3">
        <v>10923622676.860001</v>
      </c>
    </row>
    <row r="911" spans="1:8" x14ac:dyDescent="0.3">
      <c r="A911" s="4">
        <v>44834</v>
      </c>
      <c r="B911" s="2">
        <v>36</v>
      </c>
      <c r="C911" s="2" t="str">
        <f>"7709"</f>
        <v>7709</v>
      </c>
      <c r="D911" s="2" t="str">
        <f>"Прочие активы"</f>
        <v>Прочие активы</v>
      </c>
      <c r="E911" s="2" t="str">
        <f>""</f>
        <v/>
      </c>
      <c r="F911" s="2" t="str">
        <f>""</f>
        <v/>
      </c>
      <c r="G911" s="2" t="str">
        <f>""</f>
        <v/>
      </c>
      <c r="H911" s="3">
        <v>26094009838.470001</v>
      </c>
    </row>
    <row r="912" spans="1:8" x14ac:dyDescent="0.3">
      <c r="A912" s="4">
        <v>44834</v>
      </c>
      <c r="B912" s="2">
        <v>36</v>
      </c>
      <c r="C912" s="2" t="str">
        <f>"7711"</f>
        <v>7711</v>
      </c>
      <c r="D912" s="2" t="str">
        <f>"Вознаграждение"</f>
        <v>Вознаграждение</v>
      </c>
      <c r="E912" s="2" t="str">
        <f>""</f>
        <v/>
      </c>
      <c r="F912" s="2" t="str">
        <f>""</f>
        <v/>
      </c>
      <c r="G912" s="2" t="str">
        <f>""</f>
        <v/>
      </c>
      <c r="H912" s="3">
        <v>93553622.950000003</v>
      </c>
    </row>
    <row r="913" spans="1:8" x14ac:dyDescent="0.3">
      <c r="A913" s="4">
        <v>44834</v>
      </c>
      <c r="B913" s="2">
        <v>36</v>
      </c>
      <c r="C913" s="2" t="str">
        <f>"7712"</f>
        <v>7712</v>
      </c>
      <c r="D913" s="2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13" s="2" t="str">
        <f>""</f>
        <v/>
      </c>
      <c r="F913" s="2" t="str">
        <f>""</f>
        <v/>
      </c>
      <c r="G913" s="2" t="str">
        <f>""</f>
        <v/>
      </c>
      <c r="H913" s="3">
        <v>27898908.879999999</v>
      </c>
    </row>
  </sheetData>
  <sortState ref="A2:I908">
    <sortCondition ref="C2:C908"/>
  </sortState>
  <mergeCells count="3"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Разиева Гульзара Ахметовна</dc:creator>
  <cp:lastModifiedBy>Бейкенова Айнур Маратовна</cp:lastModifiedBy>
  <dcterms:created xsi:type="dcterms:W3CDTF">2022-10-04T10:07:26Z</dcterms:created>
  <dcterms:modified xsi:type="dcterms:W3CDTF">2022-10-10T06:03:24Z</dcterms:modified>
</cp:coreProperties>
</file>