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yeva.t\Desktop\"/>
    </mc:Choice>
  </mc:AlternateContent>
  <bookViews>
    <workbookView xWindow="0" yWindow="0" windowWidth="24000" windowHeight="9300"/>
  </bookViews>
  <sheets>
    <sheet name="VREP_700_ND_310325" sheetId="1" r:id="rId1"/>
  </sheets>
  <calcPr calcId="0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B9" i="1"/>
  <c r="C9" i="1"/>
  <c r="D9" i="1"/>
  <c r="E9" i="1"/>
  <c r="F9" i="1"/>
  <c r="B10" i="1"/>
  <c r="C10" i="1"/>
  <c r="D10" i="1"/>
  <c r="E10" i="1"/>
  <c r="F10" i="1"/>
  <c r="B12" i="1"/>
  <c r="C12" i="1"/>
  <c r="D12" i="1"/>
  <c r="E12" i="1"/>
  <c r="F12" i="1"/>
  <c r="B30" i="1"/>
  <c r="C30" i="1"/>
  <c r="D30" i="1"/>
  <c r="E30" i="1"/>
  <c r="F30" i="1"/>
  <c r="B29" i="1"/>
  <c r="C29" i="1"/>
  <c r="D29" i="1"/>
  <c r="E29" i="1"/>
  <c r="F29" i="1"/>
  <c r="B31" i="1"/>
  <c r="C31" i="1"/>
  <c r="D31" i="1"/>
  <c r="E31" i="1"/>
  <c r="F31" i="1"/>
  <c r="B15" i="1"/>
  <c r="C15" i="1"/>
  <c r="D15" i="1"/>
  <c r="E15" i="1"/>
  <c r="F15" i="1"/>
  <c r="B7" i="1"/>
  <c r="C7" i="1"/>
  <c r="D7" i="1"/>
  <c r="E7" i="1"/>
  <c r="F7" i="1"/>
  <c r="B11" i="1"/>
  <c r="C11" i="1"/>
  <c r="D11" i="1"/>
  <c r="E11" i="1"/>
  <c r="F11" i="1"/>
  <c r="B34" i="1"/>
  <c r="C34" i="1"/>
  <c r="D34" i="1"/>
  <c r="E34" i="1"/>
  <c r="F34" i="1"/>
  <c r="B13" i="1"/>
  <c r="C13" i="1"/>
  <c r="D13" i="1"/>
  <c r="E13" i="1"/>
  <c r="F13" i="1"/>
  <c r="B8" i="1"/>
  <c r="C8" i="1"/>
  <c r="D8" i="1"/>
  <c r="E8" i="1"/>
  <c r="F8" i="1"/>
  <c r="B18" i="1"/>
  <c r="C18" i="1"/>
  <c r="D18" i="1"/>
  <c r="E18" i="1"/>
  <c r="F18" i="1"/>
  <c r="B16" i="1"/>
  <c r="C16" i="1"/>
  <c r="D16" i="1"/>
  <c r="E16" i="1"/>
  <c r="F16" i="1"/>
  <c r="B33" i="1"/>
  <c r="C33" i="1"/>
  <c r="D33" i="1"/>
  <c r="E33" i="1"/>
  <c r="F33" i="1"/>
  <c r="B21" i="1"/>
  <c r="C21" i="1"/>
  <c r="D21" i="1"/>
  <c r="E21" i="1"/>
  <c r="F21" i="1"/>
  <c r="B14" i="1"/>
  <c r="C14" i="1"/>
  <c r="D14" i="1"/>
  <c r="E14" i="1"/>
  <c r="F14" i="1"/>
  <c r="B35" i="1"/>
  <c r="C35" i="1"/>
  <c r="D35" i="1"/>
  <c r="E35" i="1"/>
  <c r="F35" i="1"/>
  <c r="B19" i="1"/>
  <c r="C19" i="1"/>
  <c r="D19" i="1"/>
  <c r="E19" i="1"/>
  <c r="F19" i="1"/>
  <c r="B39" i="1"/>
  <c r="C39" i="1"/>
  <c r="D39" i="1"/>
  <c r="E39" i="1"/>
  <c r="F39" i="1"/>
  <c r="B5" i="1"/>
  <c r="C5" i="1"/>
  <c r="D5" i="1"/>
  <c r="E5" i="1"/>
  <c r="F5" i="1"/>
  <c r="B36" i="1"/>
  <c r="C36" i="1"/>
  <c r="D36" i="1"/>
  <c r="E36" i="1"/>
  <c r="F36" i="1"/>
  <c r="B22" i="1"/>
  <c r="C22" i="1"/>
  <c r="D22" i="1"/>
  <c r="E22" i="1"/>
  <c r="F22" i="1"/>
  <c r="B20" i="1"/>
  <c r="C20" i="1"/>
  <c r="D20" i="1"/>
  <c r="E20" i="1"/>
  <c r="F20" i="1"/>
  <c r="B27" i="1"/>
  <c r="C27" i="1"/>
  <c r="D27" i="1"/>
  <c r="E27" i="1"/>
  <c r="F27" i="1"/>
  <c r="B32" i="1"/>
  <c r="C32" i="1"/>
  <c r="D32" i="1"/>
  <c r="E32" i="1"/>
  <c r="F32" i="1"/>
  <c r="B23" i="1"/>
  <c r="C23" i="1"/>
  <c r="D23" i="1"/>
  <c r="E23" i="1"/>
  <c r="F23" i="1"/>
  <c r="B25" i="1"/>
  <c r="C25" i="1"/>
  <c r="D25" i="1"/>
  <c r="E25" i="1"/>
  <c r="F25" i="1"/>
  <c r="B17" i="1"/>
  <c r="C17" i="1"/>
  <c r="D17" i="1"/>
  <c r="E17" i="1"/>
  <c r="F17" i="1"/>
  <c r="B37" i="1"/>
  <c r="C37" i="1"/>
  <c r="D37" i="1"/>
  <c r="E37" i="1"/>
  <c r="F37" i="1"/>
  <c r="B40" i="1"/>
  <c r="C40" i="1"/>
  <c r="D40" i="1"/>
  <c r="E40" i="1"/>
  <c r="F40" i="1"/>
  <c r="B26" i="1"/>
  <c r="C26" i="1"/>
  <c r="D26" i="1"/>
  <c r="E26" i="1"/>
  <c r="F26" i="1"/>
  <c r="B28" i="1"/>
  <c r="C28" i="1"/>
  <c r="D28" i="1"/>
  <c r="E28" i="1"/>
  <c r="F28" i="1"/>
  <c r="B41" i="1"/>
  <c r="C41" i="1"/>
  <c r="D41" i="1"/>
  <c r="E41" i="1"/>
  <c r="F41" i="1"/>
  <c r="B24" i="1"/>
  <c r="C24" i="1"/>
  <c r="D24" i="1"/>
  <c r="E24" i="1"/>
  <c r="F24" i="1"/>
  <c r="B38" i="1"/>
  <c r="C38" i="1"/>
  <c r="D38" i="1"/>
  <c r="E38" i="1"/>
  <c r="F38" i="1"/>
  <c r="B44" i="1"/>
  <c r="C44" i="1"/>
  <c r="D44" i="1"/>
  <c r="E44" i="1"/>
  <c r="F44" i="1"/>
  <c r="B46" i="1"/>
  <c r="C46" i="1"/>
  <c r="D46" i="1"/>
  <c r="E46" i="1"/>
  <c r="F46" i="1"/>
  <c r="B43" i="1"/>
  <c r="C43" i="1"/>
  <c r="D43" i="1"/>
  <c r="E43" i="1"/>
  <c r="F43" i="1"/>
  <c r="B42" i="1"/>
  <c r="C42" i="1"/>
  <c r="D42" i="1"/>
  <c r="E42" i="1"/>
  <c r="F42" i="1"/>
  <c r="B45" i="1"/>
  <c r="C45" i="1"/>
  <c r="D45" i="1"/>
  <c r="E45" i="1"/>
  <c r="F45" i="1"/>
  <c r="B50" i="1"/>
  <c r="C50" i="1"/>
  <c r="D50" i="1"/>
  <c r="E50" i="1"/>
  <c r="F50" i="1"/>
  <c r="B47" i="1"/>
  <c r="C47" i="1"/>
  <c r="D47" i="1"/>
  <c r="E47" i="1"/>
  <c r="F47" i="1"/>
  <c r="B48" i="1"/>
  <c r="C48" i="1"/>
  <c r="D48" i="1"/>
  <c r="E48" i="1"/>
  <c r="F48" i="1"/>
  <c r="B52" i="1"/>
  <c r="C52" i="1"/>
  <c r="D52" i="1"/>
  <c r="E52" i="1"/>
  <c r="F52" i="1"/>
  <c r="B49" i="1"/>
  <c r="C49" i="1"/>
  <c r="D49" i="1"/>
  <c r="E49" i="1"/>
  <c r="F49" i="1"/>
  <c r="B51" i="1"/>
  <c r="C51" i="1"/>
  <c r="D51" i="1"/>
  <c r="E51" i="1"/>
  <c r="F51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8" i="1"/>
  <c r="C58" i="1"/>
  <c r="D58" i="1"/>
  <c r="E58" i="1"/>
  <c r="F58" i="1"/>
  <c r="B56" i="1"/>
  <c r="C56" i="1"/>
  <c r="D56" i="1"/>
  <c r="E56" i="1"/>
  <c r="F56" i="1"/>
  <c r="B59" i="1"/>
  <c r="C59" i="1"/>
  <c r="D59" i="1"/>
  <c r="E59" i="1"/>
  <c r="F59" i="1"/>
  <c r="B61" i="1"/>
  <c r="C61" i="1"/>
  <c r="D61" i="1"/>
  <c r="E61" i="1"/>
  <c r="F61" i="1"/>
  <c r="B57" i="1"/>
  <c r="C57" i="1"/>
  <c r="D57" i="1"/>
  <c r="E57" i="1"/>
  <c r="F57" i="1"/>
  <c r="B60" i="1"/>
  <c r="C60" i="1"/>
  <c r="D60" i="1"/>
  <c r="E60" i="1"/>
  <c r="F60" i="1"/>
  <c r="B67" i="1"/>
  <c r="C67" i="1"/>
  <c r="D67" i="1"/>
  <c r="E67" i="1"/>
  <c r="F67" i="1"/>
  <c r="B68" i="1"/>
  <c r="C68" i="1"/>
  <c r="D68" i="1"/>
  <c r="E68" i="1"/>
  <c r="F68" i="1"/>
  <c r="B70" i="1"/>
  <c r="C70" i="1"/>
  <c r="D70" i="1"/>
  <c r="E70" i="1"/>
  <c r="F70" i="1"/>
  <c r="B63" i="1"/>
  <c r="C63" i="1"/>
  <c r="D63" i="1"/>
  <c r="E63" i="1"/>
  <c r="F63" i="1"/>
  <c r="B69" i="1"/>
  <c r="C69" i="1"/>
  <c r="D69" i="1"/>
  <c r="E69" i="1"/>
  <c r="F69" i="1"/>
  <c r="B66" i="1"/>
  <c r="C66" i="1"/>
  <c r="D66" i="1"/>
  <c r="E66" i="1"/>
  <c r="F66" i="1"/>
  <c r="B72" i="1"/>
  <c r="C72" i="1"/>
  <c r="D72" i="1"/>
  <c r="E72" i="1"/>
  <c r="F72" i="1"/>
  <c r="B65" i="1"/>
  <c r="C65" i="1"/>
  <c r="D65" i="1"/>
  <c r="E65" i="1"/>
  <c r="F65" i="1"/>
  <c r="B71" i="1"/>
  <c r="C71" i="1"/>
  <c r="D71" i="1"/>
  <c r="E71" i="1"/>
  <c r="F71" i="1"/>
  <c r="B64" i="1"/>
  <c r="C64" i="1"/>
  <c r="D64" i="1"/>
  <c r="E64" i="1"/>
  <c r="F64" i="1"/>
  <c r="B62" i="1"/>
  <c r="C62" i="1"/>
  <c r="D62" i="1"/>
  <c r="E62" i="1"/>
  <c r="F62" i="1"/>
  <c r="B73" i="1"/>
  <c r="C73" i="1"/>
  <c r="D73" i="1"/>
  <c r="E73" i="1"/>
  <c r="F73" i="1"/>
  <c r="B74" i="1"/>
  <c r="C74" i="1"/>
  <c r="D74" i="1"/>
  <c r="E74" i="1"/>
  <c r="F74" i="1"/>
  <c r="B76" i="1"/>
  <c r="C76" i="1"/>
  <c r="D76" i="1"/>
  <c r="E76" i="1"/>
  <c r="F76" i="1"/>
  <c r="B75" i="1"/>
  <c r="C75" i="1"/>
  <c r="D75" i="1"/>
  <c r="E75" i="1"/>
  <c r="F75" i="1"/>
  <c r="B77" i="1"/>
  <c r="C77" i="1"/>
  <c r="D77" i="1"/>
  <c r="E77" i="1"/>
  <c r="F77" i="1"/>
  <c r="B78" i="1"/>
  <c r="C78" i="1"/>
  <c r="D78" i="1"/>
  <c r="E78" i="1"/>
  <c r="F78" i="1"/>
  <c r="B80" i="1"/>
  <c r="C80" i="1"/>
  <c r="D80" i="1"/>
  <c r="E80" i="1"/>
  <c r="F80" i="1"/>
  <c r="B79" i="1"/>
  <c r="C79" i="1"/>
  <c r="D79" i="1"/>
  <c r="E79" i="1"/>
  <c r="F79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85" i="1"/>
  <c r="C85" i="1"/>
  <c r="D85" i="1"/>
  <c r="E85" i="1"/>
  <c r="F85" i="1"/>
  <c r="B87" i="1"/>
  <c r="C87" i="1"/>
  <c r="D87" i="1"/>
  <c r="E87" i="1"/>
  <c r="F87" i="1"/>
  <c r="B86" i="1"/>
  <c r="C86" i="1"/>
  <c r="D86" i="1"/>
  <c r="E86" i="1"/>
  <c r="F86" i="1"/>
  <c r="B88" i="1"/>
  <c r="C88" i="1"/>
  <c r="D88" i="1"/>
  <c r="E88" i="1"/>
  <c r="F88" i="1"/>
  <c r="B89" i="1"/>
  <c r="C89" i="1"/>
  <c r="D89" i="1"/>
  <c r="E89" i="1"/>
  <c r="F89" i="1"/>
  <c r="B90" i="1"/>
  <c r="C90" i="1"/>
  <c r="D90" i="1"/>
  <c r="E90" i="1"/>
  <c r="F90" i="1"/>
  <c r="B92" i="1"/>
  <c r="C92" i="1"/>
  <c r="D92" i="1"/>
  <c r="E92" i="1"/>
  <c r="F92" i="1"/>
  <c r="B91" i="1"/>
  <c r="C91" i="1"/>
  <c r="D91" i="1"/>
  <c r="E91" i="1"/>
  <c r="F91" i="1"/>
  <c r="B93" i="1"/>
  <c r="C93" i="1"/>
  <c r="D93" i="1"/>
  <c r="E93" i="1"/>
  <c r="F93" i="1"/>
  <c r="B94" i="1"/>
  <c r="C94" i="1"/>
  <c r="D94" i="1"/>
  <c r="E94" i="1"/>
  <c r="F94" i="1"/>
  <c r="B95" i="1"/>
  <c r="C95" i="1"/>
  <c r="D95" i="1"/>
  <c r="E95" i="1"/>
  <c r="F95" i="1"/>
  <c r="B96" i="1"/>
  <c r="C96" i="1"/>
  <c r="D96" i="1"/>
  <c r="E96" i="1"/>
  <c r="F96" i="1"/>
  <c r="B97" i="1"/>
  <c r="C97" i="1"/>
  <c r="D97" i="1"/>
  <c r="E97" i="1"/>
  <c r="F97" i="1"/>
  <c r="B98" i="1"/>
  <c r="C98" i="1"/>
  <c r="D98" i="1"/>
  <c r="E98" i="1"/>
  <c r="F98" i="1"/>
  <c r="B99" i="1"/>
  <c r="C99" i="1"/>
  <c r="D99" i="1"/>
  <c r="E99" i="1"/>
  <c r="F99" i="1"/>
  <c r="B100" i="1"/>
  <c r="C100" i="1"/>
  <c r="D100" i="1"/>
  <c r="E100" i="1"/>
  <c r="F100" i="1"/>
  <c r="B101" i="1"/>
  <c r="C101" i="1"/>
  <c r="D101" i="1"/>
  <c r="E101" i="1"/>
  <c r="F101" i="1"/>
  <c r="B103" i="1"/>
  <c r="C103" i="1"/>
  <c r="D103" i="1"/>
  <c r="E103" i="1"/>
  <c r="F103" i="1"/>
  <c r="B104" i="1"/>
  <c r="C104" i="1"/>
  <c r="D104" i="1"/>
  <c r="E104" i="1"/>
  <c r="F104" i="1"/>
  <c r="B102" i="1"/>
  <c r="C102" i="1"/>
  <c r="D102" i="1"/>
  <c r="E102" i="1"/>
  <c r="F102" i="1"/>
  <c r="B107" i="1"/>
  <c r="C107" i="1"/>
  <c r="D107" i="1"/>
  <c r="E107" i="1"/>
  <c r="F107" i="1"/>
  <c r="B105" i="1"/>
  <c r="C105" i="1"/>
  <c r="D105" i="1"/>
  <c r="E105" i="1"/>
  <c r="F105" i="1"/>
  <c r="B106" i="1"/>
  <c r="C106" i="1"/>
  <c r="D106" i="1"/>
  <c r="E106" i="1"/>
  <c r="F106" i="1"/>
  <c r="B110" i="1"/>
  <c r="C110" i="1"/>
  <c r="D110" i="1"/>
  <c r="E110" i="1"/>
  <c r="F110" i="1"/>
  <c r="B108" i="1"/>
  <c r="C108" i="1"/>
  <c r="D108" i="1"/>
  <c r="E108" i="1"/>
  <c r="F108" i="1"/>
  <c r="B111" i="1"/>
  <c r="C111" i="1"/>
  <c r="D111" i="1"/>
  <c r="E111" i="1"/>
  <c r="F111" i="1"/>
  <c r="B109" i="1"/>
  <c r="C109" i="1"/>
  <c r="D109" i="1"/>
  <c r="E109" i="1"/>
  <c r="F109" i="1"/>
  <c r="B112" i="1"/>
  <c r="C112" i="1"/>
  <c r="D112" i="1"/>
  <c r="E112" i="1"/>
  <c r="F112" i="1"/>
  <c r="B120" i="1"/>
  <c r="C120" i="1"/>
  <c r="D120" i="1"/>
  <c r="E120" i="1"/>
  <c r="F120" i="1"/>
  <c r="B113" i="1"/>
  <c r="C113" i="1"/>
  <c r="D113" i="1"/>
  <c r="E113" i="1"/>
  <c r="F113" i="1"/>
  <c r="B116" i="1"/>
  <c r="C116" i="1"/>
  <c r="D116" i="1"/>
  <c r="E116" i="1"/>
  <c r="F116" i="1"/>
  <c r="B122" i="1"/>
  <c r="C122" i="1"/>
  <c r="D122" i="1"/>
  <c r="E122" i="1"/>
  <c r="F122" i="1"/>
  <c r="B119" i="1"/>
  <c r="C119" i="1"/>
  <c r="D119" i="1"/>
  <c r="E119" i="1"/>
  <c r="F119" i="1"/>
  <c r="B114" i="1"/>
  <c r="C114" i="1"/>
  <c r="D114" i="1"/>
  <c r="E114" i="1"/>
  <c r="F114" i="1"/>
  <c r="B121" i="1"/>
  <c r="C121" i="1"/>
  <c r="D121" i="1"/>
  <c r="E121" i="1"/>
  <c r="F121" i="1"/>
  <c r="B115" i="1"/>
  <c r="C115" i="1"/>
  <c r="D115" i="1"/>
  <c r="E115" i="1"/>
  <c r="F115" i="1"/>
  <c r="B124" i="1"/>
  <c r="C124" i="1"/>
  <c r="D124" i="1"/>
  <c r="E124" i="1"/>
  <c r="F124" i="1"/>
  <c r="B123" i="1"/>
  <c r="C123" i="1"/>
  <c r="D123" i="1"/>
  <c r="E123" i="1"/>
  <c r="F123" i="1"/>
  <c r="B126" i="1"/>
  <c r="C126" i="1"/>
  <c r="D126" i="1"/>
  <c r="E126" i="1"/>
  <c r="F126" i="1"/>
  <c r="B117" i="1"/>
  <c r="C117" i="1"/>
  <c r="D117" i="1"/>
  <c r="E117" i="1"/>
  <c r="F117" i="1"/>
  <c r="B125" i="1"/>
  <c r="C125" i="1"/>
  <c r="D125" i="1"/>
  <c r="E125" i="1"/>
  <c r="F125" i="1"/>
  <c r="B127" i="1"/>
  <c r="C127" i="1"/>
  <c r="D127" i="1"/>
  <c r="E127" i="1"/>
  <c r="F127" i="1"/>
  <c r="B128" i="1"/>
  <c r="C128" i="1"/>
  <c r="D128" i="1"/>
  <c r="E128" i="1"/>
  <c r="F128" i="1"/>
  <c r="B130" i="1"/>
  <c r="C130" i="1"/>
  <c r="D130" i="1"/>
  <c r="E130" i="1"/>
  <c r="F130" i="1"/>
  <c r="B129" i="1"/>
  <c r="C129" i="1"/>
  <c r="D129" i="1"/>
  <c r="E129" i="1"/>
  <c r="F129" i="1"/>
  <c r="B118" i="1"/>
  <c r="C118" i="1"/>
  <c r="D118" i="1"/>
  <c r="E118" i="1"/>
  <c r="F118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5" i="1"/>
  <c r="C135" i="1"/>
  <c r="D135" i="1"/>
  <c r="E135" i="1"/>
  <c r="F135" i="1"/>
  <c r="B134" i="1"/>
  <c r="C134" i="1"/>
  <c r="D134" i="1"/>
  <c r="E134" i="1"/>
  <c r="F134" i="1"/>
  <c r="B137" i="1"/>
  <c r="C137" i="1"/>
  <c r="D137" i="1"/>
  <c r="E137" i="1"/>
  <c r="F137" i="1"/>
  <c r="B136" i="1"/>
  <c r="C136" i="1"/>
  <c r="D136" i="1"/>
  <c r="E136" i="1"/>
  <c r="F136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8" i="1"/>
  <c r="C148" i="1"/>
  <c r="D148" i="1"/>
  <c r="E148" i="1"/>
  <c r="F148" i="1"/>
  <c r="B147" i="1"/>
  <c r="C147" i="1"/>
  <c r="D147" i="1"/>
  <c r="E147" i="1"/>
  <c r="F147" i="1"/>
  <c r="B150" i="1"/>
  <c r="C150" i="1"/>
  <c r="D150" i="1"/>
  <c r="E150" i="1"/>
  <c r="F150" i="1"/>
  <c r="B149" i="1"/>
  <c r="C149" i="1"/>
  <c r="D149" i="1"/>
  <c r="E149" i="1"/>
  <c r="F149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6" i="1"/>
  <c r="C156" i="1"/>
  <c r="D156" i="1"/>
  <c r="E156" i="1"/>
  <c r="F156" i="1"/>
  <c r="B157" i="1"/>
  <c r="C157" i="1"/>
  <c r="D157" i="1"/>
  <c r="E157" i="1"/>
  <c r="F157" i="1"/>
  <c r="B155" i="1"/>
  <c r="C155" i="1"/>
  <c r="D155" i="1"/>
  <c r="E155" i="1"/>
  <c r="F155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3" i="1"/>
  <c r="C163" i="1"/>
  <c r="D163" i="1"/>
  <c r="E163" i="1"/>
  <c r="F163" i="1"/>
  <c r="B164" i="1"/>
  <c r="C164" i="1"/>
  <c r="D164" i="1"/>
  <c r="E164" i="1"/>
  <c r="F164" i="1"/>
  <c r="B162" i="1"/>
  <c r="C162" i="1"/>
  <c r="D162" i="1"/>
  <c r="E162" i="1"/>
  <c r="F162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1" i="1"/>
  <c r="C171" i="1"/>
  <c r="D171" i="1"/>
  <c r="E171" i="1"/>
  <c r="F171" i="1"/>
  <c r="B170" i="1"/>
  <c r="C170" i="1"/>
  <c r="D170" i="1"/>
  <c r="E170" i="1"/>
  <c r="F170" i="1"/>
  <c r="B172" i="1"/>
  <c r="C172" i="1"/>
  <c r="D172" i="1"/>
  <c r="E172" i="1"/>
  <c r="F172" i="1"/>
  <c r="B174" i="1"/>
  <c r="C174" i="1"/>
  <c r="D174" i="1"/>
  <c r="E174" i="1"/>
  <c r="F174" i="1"/>
  <c r="B173" i="1"/>
  <c r="C173" i="1"/>
  <c r="D173" i="1"/>
  <c r="E173" i="1"/>
  <c r="F173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9" i="1"/>
  <c r="C179" i="1"/>
  <c r="D179" i="1"/>
  <c r="E179" i="1"/>
  <c r="F179" i="1"/>
  <c r="B180" i="1"/>
  <c r="C180" i="1"/>
  <c r="D180" i="1"/>
  <c r="E180" i="1"/>
  <c r="F180" i="1"/>
  <c r="B178" i="1"/>
  <c r="C178" i="1"/>
  <c r="D178" i="1"/>
  <c r="E178" i="1"/>
  <c r="F178" i="1"/>
  <c r="B181" i="1"/>
  <c r="C181" i="1"/>
  <c r="D181" i="1"/>
  <c r="E181" i="1"/>
  <c r="F181" i="1"/>
  <c r="B182" i="1"/>
  <c r="C182" i="1"/>
  <c r="D182" i="1"/>
  <c r="E182" i="1"/>
  <c r="F182" i="1"/>
  <c r="B184" i="1"/>
  <c r="C184" i="1"/>
  <c r="D184" i="1"/>
  <c r="E184" i="1"/>
  <c r="F184" i="1"/>
  <c r="B185" i="1"/>
  <c r="C185" i="1"/>
  <c r="D185" i="1"/>
  <c r="E185" i="1"/>
  <c r="F185" i="1"/>
  <c r="B183" i="1"/>
  <c r="C183" i="1"/>
  <c r="D183" i="1"/>
  <c r="E183" i="1"/>
  <c r="F183" i="1"/>
  <c r="B186" i="1"/>
  <c r="C186" i="1"/>
  <c r="D186" i="1"/>
  <c r="E186" i="1"/>
  <c r="F186" i="1"/>
  <c r="B187" i="1"/>
  <c r="C187" i="1"/>
  <c r="D187" i="1"/>
  <c r="E187" i="1"/>
  <c r="F187" i="1"/>
  <c r="B189" i="1"/>
  <c r="C189" i="1"/>
  <c r="D189" i="1"/>
  <c r="E189" i="1"/>
  <c r="F189" i="1"/>
  <c r="B188" i="1"/>
  <c r="C188" i="1"/>
  <c r="D188" i="1"/>
  <c r="E188" i="1"/>
  <c r="F188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</calcChain>
</file>

<file path=xl/sharedStrings.xml><?xml version="1.0" encoding="utf-8"?>
<sst xmlns="http://schemas.openxmlformats.org/spreadsheetml/2006/main" count="27" uniqueCount="27">
  <si>
    <t>REPORT_DATE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</si>
  <si>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</si>
  <si>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</si>
  <si>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</si>
  <si>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</si>
  <si>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</si>
  <si>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</si>
  <si>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 xml:space="preserve">   Отчет об остатках на балансовых и внебалансовых счетах</t>
  </si>
  <si>
    <t>Наименование</t>
  </si>
  <si>
    <t>АО ДБ "БАНК КИТАЯ В КАЗАХСТАНЕ"</t>
  </si>
  <si>
    <t>Адрес</t>
  </si>
  <si>
    <t>г. Алматы. мкр. Жетысу 2, д. 71Б</t>
  </si>
  <si>
    <t>Телефон</t>
  </si>
  <si>
    <t>8(727)258-55-10</t>
  </si>
  <si>
    <t>Адрес электронной почты</t>
  </si>
  <si>
    <t>totyi@bankofchina.com</t>
  </si>
  <si>
    <t>Исполнитель</t>
  </si>
  <si>
    <t>Исаева Тоты Оналбековна</t>
  </si>
  <si>
    <t>2585510 вн. 1132</t>
  </si>
  <si>
    <t xml:space="preserve">Главный бухгалтер </t>
  </si>
  <si>
    <t>Сулейменова Жанат Идрисовна</t>
  </si>
  <si>
    <t>2585510 вн. 1196</t>
  </si>
  <si>
    <t>Руководитель или лицо,на которое возложена функция по подписанию отчета:</t>
  </si>
  <si>
    <t/>
  </si>
  <si>
    <t>Дата подписания отчета</t>
  </si>
  <si>
    <t>Ли Инцай</t>
  </si>
  <si>
    <t>2585510 вн.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</si>
</sst>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/>
    <xf numFmtId="0" fontId="0" fillId="0" borderId="10" xfId="0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33" borderId="0" xfId="0" applyFont="1" applyFill="1" applyAlignment="1">
      <alignment horizontal="left" vertical="top"/>
    </xf>
    <xf numFmtId="0" fontId="19" fillId="0" borderId="0" xfId="0" applyFont="1"/>
    <xf numFmtId="0" fontId="20" fillId="0" borderId="0" xfId="0" applyFont="1" applyAlignment="1">
      <alignment horizontal="left" vertical="top"/>
    </xf>
    <xf numFmtId="4" fontId="19" fillId="0" borderId="0" xfId="0" applyNumberFormat="1" applyFont="1"/>
    <xf numFmtId="0" fontId="0" fillId="0" borderId="0" xfId="0" applyFont="1"/>
    <xf numFmtId="0" fontId="21" fillId="0" borderId="0" xfId="42" applyAlignment="1">
      <alignment horizontal="left" vertical="top"/>
    </xf>
    <xf numFmtId="0" fontId="19" fillId="0" borderId="0" xfId="0" applyFont="1" applyAlignment="1">
      <alignment horizontal="left" vertical="top"/>
    </xf>
    <xf numFmtId="14" fontId="19" fillId="0" borderId="0" xfId="0" applyNumberFormat="1" applyFont="1" applyAlignment="1">
      <alignment horizontal="left" vertical="top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yi@bankofch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5"/>
  <sheetViews>
    <sheetView tabSelected="1" workbookViewId="0">
      <selection activeCell="C3" sqref="C3"/>
    </sheetView>
  </sheetViews>
  <sheetFormatPr defaultRowHeight="15" x14ac:dyDescent="0.25"/>
  <cols>
    <col min="1" max="1" width="13.5703125" bestFit="1" customWidth="1"/>
    <col min="3" max="3" width="16.85546875" customWidth="1"/>
    <col min="7" max="7" width="17" style="1" bestFit="1" customWidth="1"/>
  </cols>
  <sheetData>
    <row r="2" spans="1:7" ht="15.75" x14ac:dyDescent="0.25">
      <c r="B2" s="7" t="s">
        <v>7</v>
      </c>
    </row>
    <row r="4" spans="1:7" ht="60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</row>
    <row r="5" spans="1:7" x14ac:dyDescent="0.25">
      <c r="A5" s="4">
        <v>45747</v>
      </c>
      <c r="B5" s="2" t="str">
        <f>"1001"</f>
        <v>1001</v>
      </c>
      <c r="C5" s="2" t="str">
        <f>"Наличность в кассе"</f>
        <v>Наличность в кассе</v>
      </c>
      <c r="D5" s="2" t="str">
        <f>"1"</f>
        <v>1</v>
      </c>
      <c r="E5" s="2" t="str">
        <f>"3"</f>
        <v>3</v>
      </c>
      <c r="F5" s="2" t="str">
        <f>"1"</f>
        <v>1</v>
      </c>
      <c r="G5" s="3">
        <v>455286271</v>
      </c>
    </row>
    <row r="6" spans="1:7" x14ac:dyDescent="0.25">
      <c r="A6" s="4">
        <v>45747</v>
      </c>
      <c r="B6" s="2" t="str">
        <f>"1001"</f>
        <v>1001</v>
      </c>
      <c r="C6" s="2" t="str">
        <f>"Наличность в кассе"</f>
        <v>Наличность в кассе</v>
      </c>
      <c r="D6" s="2" t="str">
        <f>"2"</f>
        <v>2</v>
      </c>
      <c r="E6" s="2" t="str">
        <f>"3"</f>
        <v>3</v>
      </c>
      <c r="F6" s="2" t="str">
        <f>"2"</f>
        <v>2</v>
      </c>
      <c r="G6" s="3">
        <v>671407838.61000001</v>
      </c>
    </row>
    <row r="7" spans="1:7" x14ac:dyDescent="0.25">
      <c r="A7" s="4">
        <v>45747</v>
      </c>
      <c r="B7" s="2" t="str">
        <f>"1051"</f>
        <v>1051</v>
      </c>
      <c r="C7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D7" s="2" t="str">
        <f>"1"</f>
        <v>1</v>
      </c>
      <c r="E7" s="2" t="str">
        <f>"3"</f>
        <v>3</v>
      </c>
      <c r="F7" s="2" t="str">
        <f>"1"</f>
        <v>1</v>
      </c>
      <c r="G7" s="3">
        <v>8119546297.0100002</v>
      </c>
    </row>
    <row r="8" spans="1:7" x14ac:dyDescent="0.25">
      <c r="A8" s="4">
        <v>45747</v>
      </c>
      <c r="B8" s="2" t="str">
        <f>"1051"</f>
        <v>1051</v>
      </c>
      <c r="C8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D8" s="2" t="str">
        <f>"1"</f>
        <v>1</v>
      </c>
      <c r="E8" s="2" t="str">
        <f>"3"</f>
        <v>3</v>
      </c>
      <c r="F8" s="2" t="str">
        <f>"2"</f>
        <v>2</v>
      </c>
      <c r="G8" s="3">
        <v>68476258715.959999</v>
      </c>
    </row>
    <row r="9" spans="1:7" x14ac:dyDescent="0.25">
      <c r="A9" s="4">
        <v>45747</v>
      </c>
      <c r="B9" s="2" t="str">
        <f>"1052"</f>
        <v>1052</v>
      </c>
      <c r="C9" s="2" t="str">
        <f>"Корреспондентские счета в других банках"</f>
        <v>Корреспондентские счета в других банках</v>
      </c>
      <c r="D9" s="2" t="str">
        <f>"1"</f>
        <v>1</v>
      </c>
      <c r="E9" s="2" t="str">
        <f>"4"</f>
        <v>4</v>
      </c>
      <c r="F9" s="2" t="str">
        <f>"2"</f>
        <v>2</v>
      </c>
      <c r="G9" s="3">
        <v>222737816.40000001</v>
      </c>
    </row>
    <row r="10" spans="1:7" x14ac:dyDescent="0.25">
      <c r="A10" s="4">
        <v>45747</v>
      </c>
      <c r="B10" s="2" t="str">
        <f>"1052"</f>
        <v>1052</v>
      </c>
      <c r="C10" s="2" t="str">
        <f>"Корреспондентские счета в других банках"</f>
        <v>Корреспондентские счета в других банках</v>
      </c>
      <c r="D10" s="2" t="str">
        <f>"2"</f>
        <v>2</v>
      </c>
      <c r="E10" s="2" t="str">
        <f>"4"</f>
        <v>4</v>
      </c>
      <c r="F10" s="2" t="str">
        <f>"2"</f>
        <v>2</v>
      </c>
      <c r="G10" s="3">
        <v>70030159612.960007</v>
      </c>
    </row>
    <row r="11" spans="1:7" x14ac:dyDescent="0.25">
      <c r="A11" s="4">
        <v>45747</v>
      </c>
      <c r="B11" s="2" t="str">
        <f>"1052"</f>
        <v>1052</v>
      </c>
      <c r="C11" s="2" t="str">
        <f>"Корреспондентские счета в других банках"</f>
        <v>Корреспондентские счета в других банках</v>
      </c>
      <c r="D11" s="2" t="str">
        <f>"2"</f>
        <v>2</v>
      </c>
      <c r="E11" s="2" t="str">
        <f>"4"</f>
        <v>4</v>
      </c>
      <c r="F11" s="2" t="str">
        <f>"3"</f>
        <v>3</v>
      </c>
      <c r="G11" s="3">
        <v>24344464.149999999</v>
      </c>
    </row>
    <row r="12" spans="1:7" x14ac:dyDescent="0.25">
      <c r="A12" s="4">
        <v>45747</v>
      </c>
      <c r="B12" s="2" t="str">
        <f>"1054"</f>
        <v>1054</v>
      </c>
      <c r="C12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D12" s="2" t="str">
        <f>"1"</f>
        <v>1</v>
      </c>
      <c r="E12" s="2" t="str">
        <f>"3"</f>
        <v>3</v>
      </c>
      <c r="F12" s="2" t="str">
        <f>"1"</f>
        <v>1</v>
      </c>
      <c r="G12" s="3">
        <v>-299933.23</v>
      </c>
    </row>
    <row r="13" spans="1:7" x14ac:dyDescent="0.25">
      <c r="A13" s="4">
        <v>45747</v>
      </c>
      <c r="B13" s="2" t="str">
        <f>"1054"</f>
        <v>1054</v>
      </c>
      <c r="C13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D13" s="2" t="str">
        <f>"1"</f>
        <v>1</v>
      </c>
      <c r="E13" s="2" t="str">
        <f>"3"</f>
        <v>3</v>
      </c>
      <c r="F13" s="2" t="str">
        <f>"2"</f>
        <v>2</v>
      </c>
      <c r="G13" s="3">
        <v>-1484877.94</v>
      </c>
    </row>
    <row r="14" spans="1:7" x14ac:dyDescent="0.25">
      <c r="A14" s="4">
        <v>45747</v>
      </c>
      <c r="B14" s="2" t="str">
        <f>"1054"</f>
        <v>1054</v>
      </c>
      <c r="C14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D14" s="2" t="str">
        <f>"1"</f>
        <v>1</v>
      </c>
      <c r="E14" s="2" t="str">
        <f>"4"</f>
        <v>4</v>
      </c>
      <c r="F14" s="2" t="str">
        <f>"2"</f>
        <v>2</v>
      </c>
      <c r="G14" s="3">
        <v>-2272.1999999999998</v>
      </c>
    </row>
    <row r="15" spans="1:7" x14ac:dyDescent="0.25">
      <c r="A15" s="4">
        <v>45747</v>
      </c>
      <c r="B15" s="2" t="str">
        <f>"1054"</f>
        <v>1054</v>
      </c>
      <c r="C15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D15" s="2" t="str">
        <f>"2"</f>
        <v>2</v>
      </c>
      <c r="E15" s="2" t="str">
        <f>"4"</f>
        <v>4</v>
      </c>
      <c r="F15" s="2" t="str">
        <f>"2"</f>
        <v>2</v>
      </c>
      <c r="G15" s="3">
        <v>-570439.82999999996</v>
      </c>
    </row>
    <row r="16" spans="1:7" x14ac:dyDescent="0.25">
      <c r="A16" s="4">
        <v>45747</v>
      </c>
      <c r="B16" s="2" t="str">
        <f>"1054"</f>
        <v>1054</v>
      </c>
      <c r="C16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D16" s="2" t="str">
        <f>"2"</f>
        <v>2</v>
      </c>
      <c r="E16" s="2" t="str">
        <f>"4"</f>
        <v>4</v>
      </c>
      <c r="F16" s="2" t="str">
        <f>"3"</f>
        <v>3</v>
      </c>
      <c r="G16" s="3">
        <v>-248.77</v>
      </c>
    </row>
    <row r="17" spans="1:7" x14ac:dyDescent="0.25">
      <c r="A17" s="4">
        <v>45747</v>
      </c>
      <c r="B17" s="2" t="str">
        <f>"1103"</f>
        <v>1103</v>
      </c>
      <c r="C17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D17" s="2" t="str">
        <f>"1"</f>
        <v>1</v>
      </c>
      <c r="E17" s="2" t="str">
        <f>"3"</f>
        <v>3</v>
      </c>
      <c r="F17" s="2" t="str">
        <f>"1"</f>
        <v>1</v>
      </c>
      <c r="G17" s="3">
        <v>194000000000</v>
      </c>
    </row>
    <row r="18" spans="1:7" x14ac:dyDescent="0.25">
      <c r="A18" s="4">
        <v>45747</v>
      </c>
      <c r="B18" s="2" t="str">
        <f>"1103"</f>
        <v>1103</v>
      </c>
      <c r="C18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D18" s="2" t="str">
        <f>"1"</f>
        <v>1</v>
      </c>
      <c r="E18" s="2" t="str">
        <f>"3"</f>
        <v>3</v>
      </c>
      <c r="F18" s="2" t="str">
        <f>"2"</f>
        <v>2</v>
      </c>
      <c r="G18" s="3">
        <v>70621600000</v>
      </c>
    </row>
    <row r="19" spans="1:7" x14ac:dyDescent="0.25">
      <c r="A19" s="4">
        <v>45747</v>
      </c>
      <c r="B19" s="2" t="str">
        <f>"1267"</f>
        <v>1267</v>
      </c>
      <c r="C19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D19" s="2" t="str">
        <f>"1"</f>
        <v>1</v>
      </c>
      <c r="E19" s="2" t="str">
        <f>"5"</f>
        <v>5</v>
      </c>
      <c r="F19" s="2" t="str">
        <f>"1"</f>
        <v>1</v>
      </c>
      <c r="G19" s="3">
        <v>1025000000</v>
      </c>
    </row>
    <row r="20" spans="1:7" x14ac:dyDescent="0.25">
      <c r="A20" s="4">
        <v>45747</v>
      </c>
      <c r="B20" s="2" t="str">
        <f>"1417"</f>
        <v>1417</v>
      </c>
      <c r="C20" s="2" t="str">
        <f>"Долгосрочные займы, предоставленные клиентам"</f>
        <v>Долгосрочные займы, предоставленные клиентам</v>
      </c>
      <c r="D20" s="2" t="str">
        <f>"1"</f>
        <v>1</v>
      </c>
      <c r="E20" s="2" t="str">
        <f>"5"</f>
        <v>5</v>
      </c>
      <c r="F20" s="2" t="str">
        <f>"1"</f>
        <v>1</v>
      </c>
      <c r="G20" s="3">
        <v>15308333333.379999</v>
      </c>
    </row>
    <row r="21" spans="1:7" x14ac:dyDescent="0.25">
      <c r="A21" s="4">
        <v>45747</v>
      </c>
      <c r="B21" s="2" t="str">
        <f>"1417"</f>
        <v>1417</v>
      </c>
      <c r="C21" s="2" t="str">
        <f>"Долгосрочные займы, предоставленные клиентам"</f>
        <v>Долгосрочные займы, предоставленные клиентам</v>
      </c>
      <c r="D21" s="2" t="str">
        <f>"1"</f>
        <v>1</v>
      </c>
      <c r="E21" s="2" t="str">
        <f>"7"</f>
        <v>7</v>
      </c>
      <c r="F21" s="2" t="str">
        <f>"1"</f>
        <v>1</v>
      </c>
      <c r="G21" s="3">
        <v>9838592000</v>
      </c>
    </row>
    <row r="22" spans="1:7" x14ac:dyDescent="0.25">
      <c r="A22" s="4">
        <v>45747</v>
      </c>
      <c r="B22" s="2" t="str">
        <f>"1417"</f>
        <v>1417</v>
      </c>
      <c r="C22" s="2" t="str">
        <f>"Долгосрочные займы, предоставленные клиентам"</f>
        <v>Долгосрочные займы, предоставленные клиентам</v>
      </c>
      <c r="D22" s="2" t="str">
        <f>"1"</f>
        <v>1</v>
      </c>
      <c r="E22" s="2" t="str">
        <f>"7"</f>
        <v>7</v>
      </c>
      <c r="F22" s="2" t="str">
        <f>"2"</f>
        <v>2</v>
      </c>
      <c r="G22" s="3">
        <v>24820684780.610001</v>
      </c>
    </row>
    <row r="23" spans="1:7" x14ac:dyDescent="0.25">
      <c r="A23" s="4">
        <v>45747</v>
      </c>
      <c r="B23" s="2" t="str">
        <f>"1428"</f>
        <v>1428</v>
      </c>
      <c r="C23" s="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D23" s="2" t="str">
        <f>"1"</f>
        <v>1</v>
      </c>
      <c r="E23" s="2" t="str">
        <f>"5"</f>
        <v>5</v>
      </c>
      <c r="F23" s="2" t="str">
        <f>"1"</f>
        <v>1</v>
      </c>
      <c r="G23" s="3">
        <v>-8455505.7200000007</v>
      </c>
    </row>
    <row r="24" spans="1:7" x14ac:dyDescent="0.25">
      <c r="A24" s="4">
        <v>45747</v>
      </c>
      <c r="B24" s="2" t="str">
        <f>"1428"</f>
        <v>1428</v>
      </c>
      <c r="C24" s="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D24" s="2" t="str">
        <f>"1"</f>
        <v>1</v>
      </c>
      <c r="E24" s="2" t="str">
        <f>"7"</f>
        <v>7</v>
      </c>
      <c r="F24" s="2" t="str">
        <f>"1"</f>
        <v>1</v>
      </c>
      <c r="G24" s="3">
        <v>-7190491.0899999999</v>
      </c>
    </row>
    <row r="25" spans="1:7" x14ac:dyDescent="0.25">
      <c r="A25" s="4">
        <v>45747</v>
      </c>
      <c r="B25" s="2" t="str">
        <f>"1428"</f>
        <v>1428</v>
      </c>
      <c r="C25" s="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D25" s="2" t="str">
        <f>"1"</f>
        <v>1</v>
      </c>
      <c r="E25" s="2" t="str">
        <f>"7"</f>
        <v>7</v>
      </c>
      <c r="F25" s="2" t="str">
        <f>"2"</f>
        <v>2</v>
      </c>
      <c r="G25" s="3">
        <v>-76539582.930000007</v>
      </c>
    </row>
    <row r="26" spans="1:7" x14ac:dyDescent="0.25">
      <c r="A26" s="4">
        <v>45747</v>
      </c>
      <c r="B26" s="2" t="str">
        <f>"1481"</f>
        <v>1481</v>
      </c>
      <c r="C26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D26" s="2" t="str">
        <f>"1"</f>
        <v>1</v>
      </c>
      <c r="E26" s="2" t="str">
        <f>"1"</f>
        <v>1</v>
      </c>
      <c r="F26" s="2" t="str">
        <f>"2"</f>
        <v>2</v>
      </c>
      <c r="G26" s="3">
        <v>63695638800</v>
      </c>
    </row>
    <row r="27" spans="1:7" x14ac:dyDescent="0.25">
      <c r="A27" s="4">
        <v>45747</v>
      </c>
      <c r="B27" s="2" t="str">
        <f>"1483"</f>
        <v>1483</v>
      </c>
      <c r="C27" s="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D27" s="2" t="str">
        <f>"1"</f>
        <v>1</v>
      </c>
      <c r="E27" s="2" t="str">
        <f>"1"</f>
        <v>1</v>
      </c>
      <c r="F27" s="2" t="str">
        <f>"2"</f>
        <v>2</v>
      </c>
      <c r="G27" s="3">
        <v>379636696.32999998</v>
      </c>
    </row>
    <row r="28" spans="1:7" x14ac:dyDescent="0.25">
      <c r="A28" s="4">
        <v>45747</v>
      </c>
      <c r="B28" s="2" t="str">
        <f>"1486"</f>
        <v>1486</v>
      </c>
      <c r="C28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D28" s="2" t="str">
        <f>"1"</f>
        <v>1</v>
      </c>
      <c r="E28" s="2" t="str">
        <f>"1"</f>
        <v>1</v>
      </c>
      <c r="F28" s="2" t="str">
        <f>"2"</f>
        <v>2</v>
      </c>
      <c r="G28" s="3">
        <v>-19708859.219999999</v>
      </c>
    </row>
    <row r="29" spans="1:7" x14ac:dyDescent="0.25">
      <c r="A29" s="4">
        <v>45747</v>
      </c>
      <c r="B29" s="2" t="str">
        <f>"1602"</f>
        <v>1602</v>
      </c>
      <c r="C29" s="2" t="str">
        <f>"Прочие запасы"</f>
        <v>Прочие запасы</v>
      </c>
      <c r="D29" s="2" t="str">
        <f>""</f>
        <v/>
      </c>
      <c r="E29" s="2" t="str">
        <f>""</f>
        <v/>
      </c>
      <c r="F29" s="2" t="str">
        <f>""</f>
        <v/>
      </c>
      <c r="G29" s="3">
        <v>1859186.45</v>
      </c>
    </row>
    <row r="30" spans="1:7" x14ac:dyDescent="0.25">
      <c r="A30" s="4">
        <v>45747</v>
      </c>
      <c r="B30" s="2" t="str">
        <f>"1652"</f>
        <v>1652</v>
      </c>
      <c r="C30" s="2" t="str">
        <f>"Земля, здания и сооружения"</f>
        <v>Земля, здания и сооружения</v>
      </c>
      <c r="D30" s="2" t="str">
        <f>""</f>
        <v/>
      </c>
      <c r="E30" s="2" t="str">
        <f>""</f>
        <v/>
      </c>
      <c r="F30" s="2" t="str">
        <f>""</f>
        <v/>
      </c>
      <c r="G30" s="3">
        <v>2650122400.9299998</v>
      </c>
    </row>
    <row r="31" spans="1:7" x14ac:dyDescent="0.25">
      <c r="A31" s="4">
        <v>45747</v>
      </c>
      <c r="B31" s="2" t="str">
        <f>"1653"</f>
        <v>1653</v>
      </c>
      <c r="C31" s="2" t="str">
        <f>"Компьютерное оборудование"</f>
        <v>Компьютерное оборудование</v>
      </c>
      <c r="D31" s="2" t="str">
        <f>""</f>
        <v/>
      </c>
      <c r="E31" s="2" t="str">
        <f>""</f>
        <v/>
      </c>
      <c r="F31" s="2" t="str">
        <f>""</f>
        <v/>
      </c>
      <c r="G31" s="3">
        <v>428575921.17000002</v>
      </c>
    </row>
    <row r="32" spans="1:7" x14ac:dyDescent="0.25">
      <c r="A32" s="4">
        <v>45747</v>
      </c>
      <c r="B32" s="2" t="str">
        <f>"1654"</f>
        <v>1654</v>
      </c>
      <c r="C32" s="2" t="str">
        <f>"Прочие основные средства"</f>
        <v>Прочие основные средства</v>
      </c>
      <c r="D32" s="2" t="str">
        <f>""</f>
        <v/>
      </c>
      <c r="E32" s="2" t="str">
        <f>""</f>
        <v/>
      </c>
      <c r="F32" s="2" t="str">
        <f>""</f>
        <v/>
      </c>
      <c r="G32" s="3">
        <v>269867658.95999998</v>
      </c>
    </row>
    <row r="33" spans="1:7" x14ac:dyDescent="0.25">
      <c r="A33" s="4">
        <v>45747</v>
      </c>
      <c r="B33" s="2" t="str">
        <f>"1655"</f>
        <v>1655</v>
      </c>
      <c r="C33" s="2" t="str">
        <f>"Активы в форме права пользования"</f>
        <v>Активы в форме права пользования</v>
      </c>
      <c r="D33" s="2" t="str">
        <f>""</f>
        <v/>
      </c>
      <c r="E33" s="2" t="str">
        <f>""</f>
        <v/>
      </c>
      <c r="F33" s="2" t="str">
        <f>""</f>
        <v/>
      </c>
      <c r="G33" s="3">
        <v>45934442</v>
      </c>
    </row>
    <row r="34" spans="1:7" x14ac:dyDescent="0.25">
      <c r="A34" s="4">
        <v>45747</v>
      </c>
      <c r="B34" s="2" t="str">
        <f>"1658"</f>
        <v>1658</v>
      </c>
      <c r="C34" s="2" t="str">
        <f>"Транспортные средства"</f>
        <v>Транспортные средства</v>
      </c>
      <c r="D34" s="2" t="str">
        <f>""</f>
        <v/>
      </c>
      <c r="E34" s="2" t="str">
        <f>""</f>
        <v/>
      </c>
      <c r="F34" s="2" t="str">
        <f>""</f>
        <v/>
      </c>
      <c r="G34" s="3">
        <v>69733610</v>
      </c>
    </row>
    <row r="35" spans="1:7" x14ac:dyDescent="0.25">
      <c r="A35" s="4">
        <v>45747</v>
      </c>
      <c r="B35" s="2" t="str">
        <f>"1659"</f>
        <v>1659</v>
      </c>
      <c r="C35" s="2" t="str">
        <f>"Нематериальные активы"</f>
        <v>Нематериальные активы</v>
      </c>
      <c r="D35" s="2" t="str">
        <f>""</f>
        <v/>
      </c>
      <c r="E35" s="2" t="str">
        <f>""</f>
        <v/>
      </c>
      <c r="F35" s="2" t="str">
        <f>""</f>
        <v/>
      </c>
      <c r="G35" s="3">
        <v>324254864.83999997</v>
      </c>
    </row>
    <row r="36" spans="1:7" x14ac:dyDescent="0.25">
      <c r="A36" s="4">
        <v>45747</v>
      </c>
      <c r="B36" s="2" t="str">
        <f>"1692"</f>
        <v>1692</v>
      </c>
      <c r="C36" s="2" t="str">
        <f>"Начисленная амортизация по зданиям и сооружениям"</f>
        <v>Начисленная амортизация по зданиям и сооружениям</v>
      </c>
      <c r="D36" s="2" t="str">
        <f>""</f>
        <v/>
      </c>
      <c r="E36" s="2" t="str">
        <f>""</f>
        <v/>
      </c>
      <c r="F36" s="2" t="str">
        <f>""</f>
        <v/>
      </c>
      <c r="G36" s="3">
        <v>-722757833.34000003</v>
      </c>
    </row>
    <row r="37" spans="1:7" x14ac:dyDescent="0.25">
      <c r="A37" s="4">
        <v>45747</v>
      </c>
      <c r="B37" s="2" t="str">
        <f>"1693"</f>
        <v>1693</v>
      </c>
      <c r="C37" s="2" t="str">
        <f>"Начисленная амортизация по компьютерному оборудованию"</f>
        <v>Начисленная амортизация по компьютерному оборудованию</v>
      </c>
      <c r="D37" s="2" t="str">
        <f>""</f>
        <v/>
      </c>
      <c r="E37" s="2" t="str">
        <f>""</f>
        <v/>
      </c>
      <c r="F37" s="2" t="str">
        <f>""</f>
        <v/>
      </c>
      <c r="G37" s="3">
        <v>-287899134.50999999</v>
      </c>
    </row>
    <row r="38" spans="1:7" x14ac:dyDescent="0.25">
      <c r="A38" s="4">
        <v>45747</v>
      </c>
      <c r="B38" s="2" t="str">
        <f>"1694"</f>
        <v>1694</v>
      </c>
      <c r="C38" s="2" t="str">
        <f>"Начисленная амортизация по прочим основным средствам"</f>
        <v>Начисленная амортизация по прочим основным средствам</v>
      </c>
      <c r="D38" s="2" t="str">
        <f>""</f>
        <v/>
      </c>
      <c r="E38" s="2" t="str">
        <f>""</f>
        <v/>
      </c>
      <c r="F38" s="2" t="str">
        <f>""</f>
        <v/>
      </c>
      <c r="G38" s="3">
        <v>-190531266.28</v>
      </c>
    </row>
    <row r="39" spans="1:7" x14ac:dyDescent="0.25">
      <c r="A39" s="4">
        <v>45747</v>
      </c>
      <c r="B39" s="2" t="str">
        <f>"1695"</f>
        <v>1695</v>
      </c>
      <c r="C39" s="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D39" s="2" t="str">
        <f>""</f>
        <v/>
      </c>
      <c r="E39" s="2" t="str">
        <f>""</f>
        <v/>
      </c>
      <c r="F39" s="2" t="str">
        <f>""</f>
        <v/>
      </c>
      <c r="G39" s="3">
        <v>-28709025</v>
      </c>
    </row>
    <row r="40" spans="1:7" x14ac:dyDescent="0.25">
      <c r="A40" s="4">
        <v>45747</v>
      </c>
      <c r="B40" s="2" t="str">
        <f>"1698"</f>
        <v>1698</v>
      </c>
      <c r="C40" s="2" t="str">
        <f>"Начисленная амортизация по транспортным средствам"</f>
        <v>Начисленная амортизация по транспортным средствам</v>
      </c>
      <c r="D40" s="2" t="str">
        <f>""</f>
        <v/>
      </c>
      <c r="E40" s="2" t="str">
        <f>""</f>
        <v/>
      </c>
      <c r="F40" s="2" t="str">
        <f>""</f>
        <v/>
      </c>
      <c r="G40" s="3">
        <v>-69733610</v>
      </c>
    </row>
    <row r="41" spans="1:7" x14ac:dyDescent="0.25">
      <c r="A41" s="4">
        <v>45747</v>
      </c>
      <c r="B41" s="2" t="str">
        <f>"1699"</f>
        <v>1699</v>
      </c>
      <c r="C41" s="2" t="str">
        <f>"Начисленная амортизация по нематериальным активам"</f>
        <v>Начисленная амортизация по нематериальным активам</v>
      </c>
      <c r="D41" s="2" t="str">
        <f>""</f>
        <v/>
      </c>
      <c r="E41" s="2" t="str">
        <f>""</f>
        <v/>
      </c>
      <c r="F41" s="2" t="str">
        <f>""</f>
        <v/>
      </c>
      <c r="G41" s="3">
        <v>-238560774.09</v>
      </c>
    </row>
    <row r="42" spans="1:7" x14ac:dyDescent="0.25">
      <c r="A42" s="4">
        <v>45747</v>
      </c>
      <c r="B42" s="2" t="str">
        <f>"1710"</f>
        <v>1710</v>
      </c>
      <c r="C42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D42" s="2" t="str">
        <f>"1"</f>
        <v>1</v>
      </c>
      <c r="E42" s="2" t="str">
        <f>"3"</f>
        <v>3</v>
      </c>
      <c r="F42" s="2" t="str">
        <f>"1"</f>
        <v>1</v>
      </c>
      <c r="G42" s="3">
        <v>117193694.44</v>
      </c>
    </row>
    <row r="43" spans="1:7" x14ac:dyDescent="0.25">
      <c r="A43" s="4">
        <v>45747</v>
      </c>
      <c r="B43" s="2" t="str">
        <f>"1710"</f>
        <v>1710</v>
      </c>
      <c r="C43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D43" s="2" t="str">
        <f>"1"</f>
        <v>1</v>
      </c>
      <c r="E43" s="2" t="str">
        <f>"3"</f>
        <v>3</v>
      </c>
      <c r="F43" s="2" t="str">
        <f>"2"</f>
        <v>2</v>
      </c>
      <c r="G43" s="3">
        <v>88550240.010000005</v>
      </c>
    </row>
    <row r="44" spans="1:7" x14ac:dyDescent="0.25">
      <c r="A44" s="4">
        <v>45747</v>
      </c>
      <c r="B44" s="2" t="str">
        <f>"1740"</f>
        <v>1740</v>
      </c>
      <c r="C44" s="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D44" s="2" t="str">
        <f>"1"</f>
        <v>1</v>
      </c>
      <c r="E44" s="2" t="str">
        <f>"5"</f>
        <v>5</v>
      </c>
      <c r="F44" s="2" t="str">
        <f>"1"</f>
        <v>1</v>
      </c>
      <c r="G44" s="3">
        <v>37127893.520000003</v>
      </c>
    </row>
    <row r="45" spans="1:7" x14ac:dyDescent="0.25">
      <c r="A45" s="4">
        <v>45747</v>
      </c>
      <c r="B45" s="2" t="str">
        <f>"1740"</f>
        <v>1740</v>
      </c>
      <c r="C45" s="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D45" s="2" t="str">
        <f>"1"</f>
        <v>1</v>
      </c>
      <c r="E45" s="2" t="str">
        <f>"7"</f>
        <v>7</v>
      </c>
      <c r="F45" s="2" t="str">
        <f>"1"</f>
        <v>1</v>
      </c>
      <c r="G45" s="3">
        <v>100150910.33</v>
      </c>
    </row>
    <row r="46" spans="1:7" x14ac:dyDescent="0.25">
      <c r="A46" s="4">
        <v>45747</v>
      </c>
      <c r="B46" s="2" t="str">
        <f>"1740"</f>
        <v>1740</v>
      </c>
      <c r="C46" s="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D46" s="2" t="str">
        <f>"1"</f>
        <v>1</v>
      </c>
      <c r="E46" s="2" t="str">
        <f>"7"</f>
        <v>7</v>
      </c>
      <c r="F46" s="2" t="str">
        <f>"2"</f>
        <v>2</v>
      </c>
      <c r="G46" s="3">
        <v>55824550.539999999</v>
      </c>
    </row>
    <row r="47" spans="1:7" x14ac:dyDescent="0.25">
      <c r="A47" s="4">
        <v>45747</v>
      </c>
      <c r="B47" s="2" t="str">
        <f>"1745"</f>
        <v>1745</v>
      </c>
      <c r="C47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D47" s="2" t="str">
        <f>"1"</f>
        <v>1</v>
      </c>
      <c r="E47" s="2" t="str">
        <f>"1"</f>
        <v>1</v>
      </c>
      <c r="F47" s="2" t="str">
        <f>"2"</f>
        <v>2</v>
      </c>
      <c r="G47" s="3">
        <v>634744736.39999998</v>
      </c>
    </row>
    <row r="48" spans="1:7" x14ac:dyDescent="0.25">
      <c r="A48" s="4">
        <v>45747</v>
      </c>
      <c r="B48" s="2" t="str">
        <f>"1793"</f>
        <v>1793</v>
      </c>
      <c r="C48" s="2" t="str">
        <f>"Расходы будущих периодов"</f>
        <v>Расходы будущих периодов</v>
      </c>
      <c r="D48" s="2" t="str">
        <f>"1"</f>
        <v>1</v>
      </c>
      <c r="E48" s="2" t="str">
        <f>"7"</f>
        <v>7</v>
      </c>
      <c r="F48" s="2" t="str">
        <f>"1"</f>
        <v>1</v>
      </c>
      <c r="G48" s="3">
        <v>62885413.68</v>
      </c>
    </row>
    <row r="49" spans="1:7" x14ac:dyDescent="0.25">
      <c r="A49" s="4">
        <v>45747</v>
      </c>
      <c r="B49" s="2" t="str">
        <f>"1851"</f>
        <v>1851</v>
      </c>
      <c r="C49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D49" s="2" t="str">
        <f>"1"</f>
        <v>1</v>
      </c>
      <c r="E49" s="2" t="str">
        <f>"1"</f>
        <v>1</v>
      </c>
      <c r="F49" s="2" t="str">
        <f>"1"</f>
        <v>1</v>
      </c>
      <c r="G49" s="3">
        <v>7586288.6699999999</v>
      </c>
    </row>
    <row r="50" spans="1:7" x14ac:dyDescent="0.25">
      <c r="A50" s="4">
        <v>45747</v>
      </c>
      <c r="B50" s="2" t="str">
        <f>"1854"</f>
        <v>1854</v>
      </c>
      <c r="C50" s="2" t="str">
        <f>"Расчеты с работниками"</f>
        <v>Расчеты с работниками</v>
      </c>
      <c r="D50" s="2" t="str">
        <f>""</f>
        <v/>
      </c>
      <c r="E50" s="2" t="str">
        <f>""</f>
        <v/>
      </c>
      <c r="F50" s="2" t="str">
        <f>""</f>
        <v/>
      </c>
      <c r="G50" s="3">
        <v>3742119.1</v>
      </c>
    </row>
    <row r="51" spans="1:7" x14ac:dyDescent="0.25">
      <c r="A51" s="4">
        <v>45747</v>
      </c>
      <c r="B51" s="2" t="str">
        <f>"1856"</f>
        <v>1856</v>
      </c>
      <c r="C51" s="2" t="str">
        <f>"Дебиторы по капитальным вложениям"</f>
        <v>Дебиторы по капитальным вложениям</v>
      </c>
      <c r="D51" s="2" t="str">
        <f>"1"</f>
        <v>1</v>
      </c>
      <c r="E51" s="2" t="str">
        <f>"7"</f>
        <v>7</v>
      </c>
      <c r="F51" s="2" t="str">
        <f>"1"</f>
        <v>1</v>
      </c>
      <c r="G51" s="3">
        <v>13228372</v>
      </c>
    </row>
    <row r="52" spans="1:7" x14ac:dyDescent="0.25">
      <c r="A52" s="4">
        <v>45747</v>
      </c>
      <c r="B52" s="2" t="str">
        <f>"1857"</f>
        <v>1857</v>
      </c>
      <c r="C52" s="2" t="str">
        <f>"Отложенные налоговые активы"</f>
        <v>Отложенные налоговые активы</v>
      </c>
      <c r="D52" s="2" t="str">
        <f>""</f>
        <v/>
      </c>
      <c r="E52" s="2" t="str">
        <f>""</f>
        <v/>
      </c>
      <c r="F52" s="2" t="str">
        <f>""</f>
        <v/>
      </c>
      <c r="G52" s="3">
        <v>28971000</v>
      </c>
    </row>
    <row r="53" spans="1:7" x14ac:dyDescent="0.25">
      <c r="A53" s="4">
        <v>45747</v>
      </c>
      <c r="B53" s="2" t="str">
        <f>"1867"</f>
        <v>1867</v>
      </c>
      <c r="C53" s="2" t="str">
        <f>"Прочие дебиторы по неосновной деятельности"</f>
        <v>Прочие дебиторы по неосновной деятельности</v>
      </c>
      <c r="D53" s="2" t="str">
        <f>"1"</f>
        <v>1</v>
      </c>
      <c r="E53" s="2" t="str">
        <f>"7"</f>
        <v>7</v>
      </c>
      <c r="F53" s="2" t="str">
        <f>"1"</f>
        <v>1</v>
      </c>
      <c r="G53" s="3">
        <v>76480863.400000006</v>
      </c>
    </row>
    <row r="54" spans="1:7" x14ac:dyDescent="0.25">
      <c r="A54" s="4">
        <v>45747</v>
      </c>
      <c r="B54" s="2" t="str">
        <f>"1870"</f>
        <v>1870</v>
      </c>
      <c r="C54" s="2" t="str">
        <f>"Прочие транзитные счета"</f>
        <v>Прочие транзитные счета</v>
      </c>
      <c r="D54" s="2" t="str">
        <f>"2"</f>
        <v>2</v>
      </c>
      <c r="E54" s="2" t="str">
        <f>"5"</f>
        <v>5</v>
      </c>
      <c r="F54" s="2" t="str">
        <f>"2"</f>
        <v>2</v>
      </c>
      <c r="G54" s="3">
        <v>694850350.13999999</v>
      </c>
    </row>
    <row r="55" spans="1:7" x14ac:dyDescent="0.25">
      <c r="A55" s="4">
        <v>45747</v>
      </c>
      <c r="B55" s="2" t="str">
        <f>"1894"</f>
        <v>1894</v>
      </c>
      <c r="C55" s="2" t="str">
        <f>"Требования по операциям спот"</f>
        <v>Требования по операциям спот</v>
      </c>
      <c r="D55" s="2" t="str">
        <f>"1"</f>
        <v>1</v>
      </c>
      <c r="E55" s="2" t="str">
        <f>"5"</f>
        <v>5</v>
      </c>
      <c r="F55" s="2" t="str">
        <f>"1"</f>
        <v>1</v>
      </c>
      <c r="G55" s="3">
        <v>4437827.09</v>
      </c>
    </row>
    <row r="56" spans="1:7" x14ac:dyDescent="0.25">
      <c r="A56" s="4">
        <v>45747</v>
      </c>
      <c r="B56" s="2" t="str">
        <f>"1894"</f>
        <v>1894</v>
      </c>
      <c r="C56" s="2" t="str">
        <f>"Требования по операциям спот"</f>
        <v>Требования по операциям спот</v>
      </c>
      <c r="D56" s="2" t="str">
        <f>"2"</f>
        <v>2</v>
      </c>
      <c r="E56" s="2" t="str">
        <f>"4"</f>
        <v>4</v>
      </c>
      <c r="F56" s="2" t="str">
        <f>"1"</f>
        <v>1</v>
      </c>
      <c r="G56" s="3">
        <v>638873.77</v>
      </c>
    </row>
    <row r="57" spans="1:7" x14ac:dyDescent="0.25">
      <c r="A57" s="4">
        <v>45747</v>
      </c>
      <c r="B57" s="2" t="str">
        <f>"2013"</f>
        <v>2013</v>
      </c>
      <c r="C57" s="2" t="str">
        <f>"Корреспондентские счета других банков"</f>
        <v>Корреспондентские счета других банков</v>
      </c>
      <c r="D57" s="2" t="str">
        <f>"1"</f>
        <v>1</v>
      </c>
      <c r="E57" s="2" t="str">
        <f>"4"</f>
        <v>4</v>
      </c>
      <c r="F57" s="2" t="str">
        <f>"2"</f>
        <v>2</v>
      </c>
      <c r="G57" s="3">
        <v>45411662113.730003</v>
      </c>
    </row>
    <row r="58" spans="1:7" x14ac:dyDescent="0.25">
      <c r="A58" s="4">
        <v>45747</v>
      </c>
      <c r="B58" s="2" t="str">
        <f>"2013"</f>
        <v>2013</v>
      </c>
      <c r="C58" s="2" t="str">
        <f>"Корреспондентские счета других банков"</f>
        <v>Корреспондентские счета других банков</v>
      </c>
      <c r="D58" s="2" t="str">
        <f>"2"</f>
        <v>2</v>
      </c>
      <c r="E58" s="2" t="str">
        <f>"4"</f>
        <v>4</v>
      </c>
      <c r="F58" s="2" t="str">
        <f>"1"</f>
        <v>1</v>
      </c>
      <c r="G58" s="3">
        <v>9889133079.6200008</v>
      </c>
    </row>
    <row r="59" spans="1:7" x14ac:dyDescent="0.25">
      <c r="A59" s="4">
        <v>45747</v>
      </c>
      <c r="B59" s="2" t="str">
        <f>"2013"</f>
        <v>2013</v>
      </c>
      <c r="C59" s="2" t="str">
        <f>"Корреспондентские счета других банков"</f>
        <v>Корреспондентские счета других банков</v>
      </c>
      <c r="D59" s="2" t="str">
        <f>"2"</f>
        <v>2</v>
      </c>
      <c r="E59" s="2" t="str">
        <f>"4"</f>
        <v>4</v>
      </c>
      <c r="F59" s="2" t="str">
        <f>"2"</f>
        <v>2</v>
      </c>
      <c r="G59" s="3">
        <v>4441046.4000000004</v>
      </c>
    </row>
    <row r="60" spans="1:7" x14ac:dyDescent="0.25">
      <c r="A60" s="4">
        <v>45747</v>
      </c>
      <c r="B60" s="2" t="str">
        <f>"2014"</f>
        <v>2014</v>
      </c>
      <c r="C60" s="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D60" s="2" t="str">
        <f>"1"</f>
        <v>1</v>
      </c>
      <c r="E60" s="2" t="str">
        <f>"5"</f>
        <v>5</v>
      </c>
      <c r="F60" s="2" t="str">
        <f>"2"</f>
        <v>2</v>
      </c>
      <c r="G60" s="3">
        <v>905617.51</v>
      </c>
    </row>
    <row r="61" spans="1:7" x14ac:dyDescent="0.25">
      <c r="A61" s="4">
        <v>45747</v>
      </c>
      <c r="B61" s="2" t="str">
        <f>"2203"</f>
        <v>2203</v>
      </c>
      <c r="C61" s="2" t="str">
        <f>"Текущие счета юридических лиц"</f>
        <v>Текущие счета юридических лиц</v>
      </c>
      <c r="D61" s="2" t="str">
        <f>"1"</f>
        <v>1</v>
      </c>
      <c r="E61" s="2" t="str">
        <f>"5"</f>
        <v>5</v>
      </c>
      <c r="F61" s="2" t="str">
        <f>"1"</f>
        <v>1</v>
      </c>
      <c r="G61" s="3">
        <v>839438.67</v>
      </c>
    </row>
    <row r="62" spans="1:7" x14ac:dyDescent="0.25">
      <c r="A62" s="4">
        <v>45747</v>
      </c>
      <c r="B62" s="2" t="str">
        <f>"2203"</f>
        <v>2203</v>
      </c>
      <c r="C62" s="2" t="str">
        <f>"Текущие счета юридических лиц"</f>
        <v>Текущие счета юридических лиц</v>
      </c>
      <c r="D62" s="2" t="str">
        <f>"1"</f>
        <v>1</v>
      </c>
      <c r="E62" s="2" t="str">
        <f>"5"</f>
        <v>5</v>
      </c>
      <c r="F62" s="2" t="str">
        <f>"2"</f>
        <v>2</v>
      </c>
      <c r="G62" s="3">
        <v>360536011.35000002</v>
      </c>
    </row>
    <row r="63" spans="1:7" x14ac:dyDescent="0.25">
      <c r="A63" s="4">
        <v>45747</v>
      </c>
      <c r="B63" s="2" t="str">
        <f>"2203"</f>
        <v>2203</v>
      </c>
      <c r="C63" s="2" t="str">
        <f>"Текущие счета юридических лиц"</f>
        <v>Текущие счета юридических лиц</v>
      </c>
      <c r="D63" s="2" t="str">
        <f>"1"</f>
        <v>1</v>
      </c>
      <c r="E63" s="2" t="str">
        <f>"6"</f>
        <v>6</v>
      </c>
      <c r="F63" s="2" t="str">
        <f>"1"</f>
        <v>1</v>
      </c>
      <c r="G63" s="3">
        <v>2117120.81</v>
      </c>
    </row>
    <row r="64" spans="1:7" x14ac:dyDescent="0.25">
      <c r="A64" s="4">
        <v>45747</v>
      </c>
      <c r="B64" s="2" t="str">
        <f>"2203"</f>
        <v>2203</v>
      </c>
      <c r="C64" s="2" t="str">
        <f>"Текущие счета юридических лиц"</f>
        <v>Текущие счета юридических лиц</v>
      </c>
      <c r="D64" s="2" t="str">
        <f>"1"</f>
        <v>1</v>
      </c>
      <c r="E64" s="2" t="str">
        <f>"7"</f>
        <v>7</v>
      </c>
      <c r="F64" s="2" t="str">
        <f>"1"</f>
        <v>1</v>
      </c>
      <c r="G64" s="3">
        <v>45162999246.389999</v>
      </c>
    </row>
    <row r="65" spans="1:7" x14ac:dyDescent="0.25">
      <c r="A65" s="4">
        <v>45747</v>
      </c>
      <c r="B65" s="2" t="str">
        <f>"2203"</f>
        <v>2203</v>
      </c>
      <c r="C65" s="2" t="str">
        <f>"Текущие счета юридических лиц"</f>
        <v>Текущие счета юридических лиц</v>
      </c>
      <c r="D65" s="2" t="str">
        <f>"1"</f>
        <v>1</v>
      </c>
      <c r="E65" s="2" t="str">
        <f>"7"</f>
        <v>7</v>
      </c>
      <c r="F65" s="2" t="str">
        <f>"2"</f>
        <v>2</v>
      </c>
      <c r="G65" s="3">
        <v>137566549998.73999</v>
      </c>
    </row>
    <row r="66" spans="1:7" x14ac:dyDescent="0.25">
      <c r="A66" s="4">
        <v>45747</v>
      </c>
      <c r="B66" s="2" t="str">
        <f>"2203"</f>
        <v>2203</v>
      </c>
      <c r="C66" s="2" t="str">
        <f>"Текущие счета юридических лиц"</f>
        <v>Текущие счета юридических лиц</v>
      </c>
      <c r="D66" s="2" t="str">
        <f>"1"</f>
        <v>1</v>
      </c>
      <c r="E66" s="2" t="str">
        <f>"7"</f>
        <v>7</v>
      </c>
      <c r="F66" s="2" t="str">
        <f>"3"</f>
        <v>3</v>
      </c>
      <c r="G66" s="3">
        <v>1092632.06</v>
      </c>
    </row>
    <row r="67" spans="1:7" x14ac:dyDescent="0.25">
      <c r="A67" s="4">
        <v>45747</v>
      </c>
      <c r="B67" s="2" t="str">
        <f>"2203"</f>
        <v>2203</v>
      </c>
      <c r="C67" s="2" t="str">
        <f>"Текущие счета юридических лиц"</f>
        <v>Текущие счета юридических лиц</v>
      </c>
      <c r="D67" s="2" t="str">
        <f>"1"</f>
        <v>1</v>
      </c>
      <c r="E67" s="2" t="str">
        <f>"8"</f>
        <v>8</v>
      </c>
      <c r="F67" s="2" t="str">
        <f>"1"</f>
        <v>1</v>
      </c>
      <c r="G67" s="3">
        <v>14488352</v>
      </c>
    </row>
    <row r="68" spans="1:7" x14ac:dyDescent="0.25">
      <c r="A68" s="4">
        <v>45747</v>
      </c>
      <c r="B68" s="2" t="str">
        <f>"2203"</f>
        <v>2203</v>
      </c>
      <c r="C68" s="2" t="str">
        <f>"Текущие счета юридических лиц"</f>
        <v>Текущие счета юридических лиц</v>
      </c>
      <c r="D68" s="2" t="str">
        <f>"2"</f>
        <v>2</v>
      </c>
      <c r="E68" s="2" t="str">
        <f>"1"</f>
        <v>1</v>
      </c>
      <c r="F68" s="2" t="str">
        <f>"1"</f>
        <v>1</v>
      </c>
      <c r="G68" s="3">
        <v>10012660.93</v>
      </c>
    </row>
    <row r="69" spans="1:7" x14ac:dyDescent="0.25">
      <c r="A69" s="4">
        <v>45747</v>
      </c>
      <c r="B69" s="2" t="str">
        <f>"2203"</f>
        <v>2203</v>
      </c>
      <c r="C69" s="2" t="str">
        <f>"Текущие счета юридических лиц"</f>
        <v>Текущие счета юридических лиц</v>
      </c>
      <c r="D69" s="2" t="str">
        <f>"2"</f>
        <v>2</v>
      </c>
      <c r="E69" s="2" t="str">
        <f>"6"</f>
        <v>6</v>
      </c>
      <c r="F69" s="2" t="str">
        <f>"1"</f>
        <v>1</v>
      </c>
      <c r="G69" s="3">
        <v>38150914.520000003</v>
      </c>
    </row>
    <row r="70" spans="1:7" x14ac:dyDescent="0.25">
      <c r="A70" s="4">
        <v>45747</v>
      </c>
      <c r="B70" s="2" t="str">
        <f>"2203"</f>
        <v>2203</v>
      </c>
      <c r="C70" s="2" t="str">
        <f>"Текущие счета юридических лиц"</f>
        <v>Текущие счета юридических лиц</v>
      </c>
      <c r="D70" s="2" t="str">
        <f>"2"</f>
        <v>2</v>
      </c>
      <c r="E70" s="2" t="str">
        <f>"6"</f>
        <v>6</v>
      </c>
      <c r="F70" s="2" t="str">
        <f>"2"</f>
        <v>2</v>
      </c>
      <c r="G70" s="3">
        <v>382825115.11000001</v>
      </c>
    </row>
    <row r="71" spans="1:7" x14ac:dyDescent="0.25">
      <c r="A71" s="4">
        <v>45747</v>
      </c>
      <c r="B71" s="2" t="str">
        <f>"2203"</f>
        <v>2203</v>
      </c>
      <c r="C71" s="2" t="str">
        <f>"Текущие счета юридических лиц"</f>
        <v>Текущие счета юридических лиц</v>
      </c>
      <c r="D71" s="2" t="str">
        <f>"2"</f>
        <v>2</v>
      </c>
      <c r="E71" s="2" t="str">
        <f>"7"</f>
        <v>7</v>
      </c>
      <c r="F71" s="2" t="str">
        <f>"1"</f>
        <v>1</v>
      </c>
      <c r="G71" s="3">
        <v>8881062.5299999993</v>
      </c>
    </row>
    <row r="72" spans="1:7" x14ac:dyDescent="0.25">
      <c r="A72" s="4">
        <v>45747</v>
      </c>
      <c r="B72" s="2" t="str">
        <f>"2203"</f>
        <v>2203</v>
      </c>
      <c r="C72" s="2" t="str">
        <f>"Текущие счета юридических лиц"</f>
        <v>Текущие счета юридических лиц</v>
      </c>
      <c r="D72" s="2" t="str">
        <f>"2"</f>
        <v>2</v>
      </c>
      <c r="E72" s="2" t="str">
        <f>"7"</f>
        <v>7</v>
      </c>
      <c r="F72" s="2" t="str">
        <f>"2"</f>
        <v>2</v>
      </c>
      <c r="G72" s="3">
        <v>203996524.69999999</v>
      </c>
    </row>
    <row r="73" spans="1:7" x14ac:dyDescent="0.25">
      <c r="A73" s="4">
        <v>45747</v>
      </c>
      <c r="B73" s="2" t="str">
        <f>"2204"</f>
        <v>2204</v>
      </c>
      <c r="C73" s="2" t="str">
        <f>"Текущие счета физических лиц"</f>
        <v>Текущие счета физических лиц</v>
      </c>
      <c r="D73" s="2" t="str">
        <f>"1"</f>
        <v>1</v>
      </c>
      <c r="E73" s="2" t="str">
        <f>"9"</f>
        <v>9</v>
      </c>
      <c r="F73" s="2" t="str">
        <f>"1"</f>
        <v>1</v>
      </c>
      <c r="G73" s="3">
        <v>43060478.57</v>
      </c>
    </row>
    <row r="74" spans="1:7" x14ac:dyDescent="0.25">
      <c r="A74" s="4">
        <v>45747</v>
      </c>
      <c r="B74" s="2" t="str">
        <f>"2204"</f>
        <v>2204</v>
      </c>
      <c r="C74" s="2" t="str">
        <f>"Текущие счета физических лиц"</f>
        <v>Текущие счета физических лиц</v>
      </c>
      <c r="D74" s="2" t="str">
        <f>"1"</f>
        <v>1</v>
      </c>
      <c r="E74" s="2" t="str">
        <f>"9"</f>
        <v>9</v>
      </c>
      <c r="F74" s="2" t="str">
        <f>"2"</f>
        <v>2</v>
      </c>
      <c r="G74" s="3">
        <v>169680371.55000001</v>
      </c>
    </row>
    <row r="75" spans="1:7" x14ac:dyDescent="0.25">
      <c r="A75" s="4">
        <v>45747</v>
      </c>
      <c r="B75" s="2" t="str">
        <f>"2204"</f>
        <v>2204</v>
      </c>
      <c r="C75" s="2" t="str">
        <f>"Текущие счета физических лиц"</f>
        <v>Текущие счета физических лиц</v>
      </c>
      <c r="D75" s="2" t="str">
        <f>"2"</f>
        <v>2</v>
      </c>
      <c r="E75" s="2" t="str">
        <f>"9"</f>
        <v>9</v>
      </c>
      <c r="F75" s="2" t="str">
        <f>"1"</f>
        <v>1</v>
      </c>
      <c r="G75" s="3">
        <v>2804494035.1599998</v>
      </c>
    </row>
    <row r="76" spans="1:7" x14ac:dyDescent="0.25">
      <c r="A76" s="4">
        <v>45747</v>
      </c>
      <c r="B76" s="2" t="str">
        <f>"2204"</f>
        <v>2204</v>
      </c>
      <c r="C76" s="2" t="str">
        <f>"Текущие счета физических лиц"</f>
        <v>Текущие счета физических лиц</v>
      </c>
      <c r="D76" s="2" t="str">
        <f>"2"</f>
        <v>2</v>
      </c>
      <c r="E76" s="2" t="str">
        <f>"9"</f>
        <v>9</v>
      </c>
      <c r="F76" s="2" t="str">
        <f>"2"</f>
        <v>2</v>
      </c>
      <c r="G76" s="3">
        <v>160712648.28</v>
      </c>
    </row>
    <row r="77" spans="1:7" x14ac:dyDescent="0.25">
      <c r="A77" s="4">
        <v>45747</v>
      </c>
      <c r="B77" s="2" t="str">
        <f>"2205"</f>
        <v>2205</v>
      </c>
      <c r="C77" s="2" t="str">
        <f>"Вклады до востребования физических лиц"</f>
        <v>Вклады до востребования физических лиц</v>
      </c>
      <c r="D77" s="2" t="str">
        <f>"1"</f>
        <v>1</v>
      </c>
      <c r="E77" s="2" t="str">
        <f>"9"</f>
        <v>9</v>
      </c>
      <c r="F77" s="2" t="str">
        <f>"1"</f>
        <v>1</v>
      </c>
      <c r="G77" s="3">
        <v>7.0000000000000007E-2</v>
      </c>
    </row>
    <row r="78" spans="1:7" x14ac:dyDescent="0.25">
      <c r="A78" s="4">
        <v>45747</v>
      </c>
      <c r="B78" s="2" t="str">
        <f>"2205"</f>
        <v>2205</v>
      </c>
      <c r="C78" s="2" t="str">
        <f>"Вклады до востребования физических лиц"</f>
        <v>Вклады до востребования физических лиц</v>
      </c>
      <c r="D78" s="2" t="str">
        <f>"1"</f>
        <v>1</v>
      </c>
      <c r="E78" s="2" t="str">
        <f>"9"</f>
        <v>9</v>
      </c>
      <c r="F78" s="2" t="str">
        <f>"2"</f>
        <v>2</v>
      </c>
      <c r="G78" s="3">
        <v>63241252.899999999</v>
      </c>
    </row>
    <row r="79" spans="1:7" x14ac:dyDescent="0.25">
      <c r="A79" s="4">
        <v>45747</v>
      </c>
      <c r="B79" s="2" t="str">
        <f>"2205"</f>
        <v>2205</v>
      </c>
      <c r="C79" s="2" t="str">
        <f>"Вклады до востребования физических лиц"</f>
        <v>Вклады до востребования физических лиц</v>
      </c>
      <c r="D79" s="2" t="str">
        <f>"2"</f>
        <v>2</v>
      </c>
      <c r="E79" s="2" t="str">
        <f>"9"</f>
        <v>9</v>
      </c>
      <c r="F79" s="2" t="str">
        <f>"1"</f>
        <v>1</v>
      </c>
      <c r="G79" s="3">
        <v>16502440.619999999</v>
      </c>
    </row>
    <row r="80" spans="1:7" x14ac:dyDescent="0.25">
      <c r="A80" s="4">
        <v>45747</v>
      </c>
      <c r="B80" s="2" t="str">
        <f>"2205"</f>
        <v>2205</v>
      </c>
      <c r="C80" s="2" t="str">
        <f>"Вклады до востребования физических лиц"</f>
        <v>Вклады до востребования физических лиц</v>
      </c>
      <c r="D80" s="2" t="str">
        <f>"2"</f>
        <v>2</v>
      </c>
      <c r="E80" s="2" t="str">
        <f>"9"</f>
        <v>9</v>
      </c>
      <c r="F80" s="2" t="str">
        <f>"2"</f>
        <v>2</v>
      </c>
      <c r="G80" s="3">
        <v>158720850.49000001</v>
      </c>
    </row>
    <row r="81" spans="1:7" x14ac:dyDescent="0.25">
      <c r="A81" s="4">
        <v>45747</v>
      </c>
      <c r="B81" s="2" t="str">
        <f>"2206"</f>
        <v>2206</v>
      </c>
      <c r="C81" s="2" t="str">
        <f>"Краткосрочные вклады физических лиц"</f>
        <v>Краткосрочные вклады физических лиц</v>
      </c>
      <c r="D81" s="2" t="str">
        <f>"1"</f>
        <v>1</v>
      </c>
      <c r="E81" s="2" t="str">
        <f>"9"</f>
        <v>9</v>
      </c>
      <c r="F81" s="2" t="str">
        <f>"2"</f>
        <v>2</v>
      </c>
      <c r="G81" s="3">
        <v>6494091.4500000002</v>
      </c>
    </row>
    <row r="82" spans="1:7" x14ac:dyDescent="0.25">
      <c r="A82" s="4">
        <v>45747</v>
      </c>
      <c r="B82" s="2" t="str">
        <f>"2206"</f>
        <v>2206</v>
      </c>
      <c r="C82" s="2" t="str">
        <f>"Краткосрочные вклады физических лиц"</f>
        <v>Краткосрочные вклады физических лиц</v>
      </c>
      <c r="D82" s="2" t="str">
        <f>"2"</f>
        <v>2</v>
      </c>
      <c r="E82" s="2" t="str">
        <f>"9"</f>
        <v>9</v>
      </c>
      <c r="F82" s="2" t="str">
        <f>"2"</f>
        <v>2</v>
      </c>
      <c r="G82" s="3">
        <v>18456390.18</v>
      </c>
    </row>
    <row r="83" spans="1:7" x14ac:dyDescent="0.25">
      <c r="A83" s="4">
        <v>45747</v>
      </c>
      <c r="B83" s="2" t="str">
        <f>"2208"</f>
        <v>2208</v>
      </c>
      <c r="C83" s="2" t="str">
        <f>"Условные вклады физических лиц"</f>
        <v>Условные вклады физических лиц</v>
      </c>
      <c r="D83" s="2" t="str">
        <f>"2"</f>
        <v>2</v>
      </c>
      <c r="E83" s="2" t="str">
        <f>"9"</f>
        <v>9</v>
      </c>
      <c r="F83" s="2" t="str">
        <f>"2"</f>
        <v>2</v>
      </c>
      <c r="G83" s="3">
        <v>75666</v>
      </c>
    </row>
    <row r="84" spans="1:7" x14ac:dyDescent="0.25">
      <c r="A84" s="4">
        <v>45747</v>
      </c>
      <c r="B84" s="2" t="str">
        <f>"2215"</f>
        <v>2215</v>
      </c>
      <c r="C84" s="2" t="str">
        <f>"Краткосрочные вклады юридических лиц"</f>
        <v>Краткосрочные вклады юридических лиц</v>
      </c>
      <c r="D84" s="2" t="str">
        <f>"1"</f>
        <v>1</v>
      </c>
      <c r="E84" s="2" t="str">
        <f>"7"</f>
        <v>7</v>
      </c>
      <c r="F84" s="2" t="str">
        <f>"1"</f>
        <v>1</v>
      </c>
      <c r="G84" s="3">
        <v>45612090787.809998</v>
      </c>
    </row>
    <row r="85" spans="1:7" x14ac:dyDescent="0.25">
      <c r="A85" s="4">
        <v>45747</v>
      </c>
      <c r="B85" s="2" t="str">
        <f>"2215"</f>
        <v>2215</v>
      </c>
      <c r="C85" s="2" t="str">
        <f>"Краткосрочные вклады юридических лиц"</f>
        <v>Краткосрочные вклады юридических лиц</v>
      </c>
      <c r="D85" s="2" t="str">
        <f>"1"</f>
        <v>1</v>
      </c>
      <c r="E85" s="2" t="str">
        <f>"7"</f>
        <v>7</v>
      </c>
      <c r="F85" s="2" t="str">
        <f>"2"</f>
        <v>2</v>
      </c>
      <c r="G85" s="3">
        <v>73968773920.690002</v>
      </c>
    </row>
    <row r="86" spans="1:7" x14ac:dyDescent="0.25">
      <c r="A86" s="4">
        <v>45747</v>
      </c>
      <c r="B86" s="2" t="str">
        <f>"2219"</f>
        <v>2219</v>
      </c>
      <c r="C86" s="2" t="str">
        <f>"Условные вклады юридических лиц"</f>
        <v>Условные вклады юридических лиц</v>
      </c>
      <c r="D86" s="2" t="str">
        <f>"1"</f>
        <v>1</v>
      </c>
      <c r="E86" s="2" t="str">
        <f>"6"</f>
        <v>6</v>
      </c>
      <c r="F86" s="2" t="str">
        <f>"1"</f>
        <v>1</v>
      </c>
      <c r="G86" s="3">
        <v>32335.599999999999</v>
      </c>
    </row>
    <row r="87" spans="1:7" x14ac:dyDescent="0.25">
      <c r="A87" s="4">
        <v>45747</v>
      </c>
      <c r="B87" s="2" t="str">
        <f>"2219"</f>
        <v>2219</v>
      </c>
      <c r="C87" s="2" t="str">
        <f>"Условные вклады юридических лиц"</f>
        <v>Условные вклады юридических лиц</v>
      </c>
      <c r="D87" s="2" t="str">
        <f>"1"</f>
        <v>1</v>
      </c>
      <c r="E87" s="2" t="str">
        <f>"7"</f>
        <v>7</v>
      </c>
      <c r="F87" s="2" t="str">
        <f>"1"</f>
        <v>1</v>
      </c>
      <c r="G87" s="3">
        <v>8982203250.1200008</v>
      </c>
    </row>
    <row r="88" spans="1:7" x14ac:dyDescent="0.25">
      <c r="A88" s="4">
        <v>45747</v>
      </c>
      <c r="B88" s="2" t="str">
        <f>"2219"</f>
        <v>2219</v>
      </c>
      <c r="C88" s="2" t="str">
        <f>"Условные вклады юридических лиц"</f>
        <v>Условные вклады юридических лиц</v>
      </c>
      <c r="D88" s="2" t="str">
        <f>"1"</f>
        <v>1</v>
      </c>
      <c r="E88" s="2" t="str">
        <f>"7"</f>
        <v>7</v>
      </c>
      <c r="F88" s="2" t="str">
        <f>"2"</f>
        <v>2</v>
      </c>
      <c r="G88" s="3">
        <v>38752211073.489998</v>
      </c>
    </row>
    <row r="89" spans="1:7" x14ac:dyDescent="0.25">
      <c r="A89" s="4">
        <v>45747</v>
      </c>
      <c r="B89" s="2" t="str">
        <f>"2227"</f>
        <v>2227</v>
      </c>
      <c r="C89" s="2" t="str">
        <f>"Обязательства по аренде"</f>
        <v>Обязательства по аренде</v>
      </c>
      <c r="D89" s="2" t="str">
        <f>"1"</f>
        <v>1</v>
      </c>
      <c r="E89" s="2" t="str">
        <f>"9"</f>
        <v>9</v>
      </c>
      <c r="F89" s="2" t="str">
        <f>"1"</f>
        <v>1</v>
      </c>
      <c r="G89" s="3">
        <v>19311506.789999999</v>
      </c>
    </row>
    <row r="90" spans="1:7" x14ac:dyDescent="0.25">
      <c r="A90" s="4">
        <v>45747</v>
      </c>
      <c r="B90" s="2" t="str">
        <f>"2237"</f>
        <v>2237</v>
      </c>
      <c r="C90" s="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D90" s="2" t="str">
        <f>"1"</f>
        <v>1</v>
      </c>
      <c r="E90" s="2" t="str">
        <f>"7"</f>
        <v>7</v>
      </c>
      <c r="F90" s="2" t="str">
        <f>"1"</f>
        <v>1</v>
      </c>
      <c r="G90" s="3">
        <v>787242.15</v>
      </c>
    </row>
    <row r="91" spans="1:7" x14ac:dyDescent="0.25">
      <c r="A91" s="4">
        <v>45747</v>
      </c>
      <c r="B91" s="2" t="str">
        <f>"2237"</f>
        <v>2237</v>
      </c>
      <c r="C91" s="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D91" s="2" t="str">
        <f>"1"</f>
        <v>1</v>
      </c>
      <c r="E91" s="2" t="str">
        <f>"7"</f>
        <v>7</v>
      </c>
      <c r="F91" s="2" t="str">
        <f>"2"</f>
        <v>2</v>
      </c>
      <c r="G91" s="3">
        <v>30734840.5</v>
      </c>
    </row>
    <row r="92" spans="1:7" x14ac:dyDescent="0.25">
      <c r="A92" s="4">
        <v>45747</v>
      </c>
      <c r="B92" s="2" t="str">
        <f>"2237"</f>
        <v>2237</v>
      </c>
      <c r="C92" s="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D92" s="2" t="str">
        <f>"1"</f>
        <v>1</v>
      </c>
      <c r="E92" s="2" t="str">
        <f>"7"</f>
        <v>7</v>
      </c>
      <c r="F92" s="2" t="str">
        <f>"3"</f>
        <v>3</v>
      </c>
      <c r="G92" s="3">
        <v>7735000</v>
      </c>
    </row>
    <row r="93" spans="1:7" x14ac:dyDescent="0.25">
      <c r="A93" s="4">
        <v>45747</v>
      </c>
      <c r="B93" s="2" t="str">
        <f>"2240"</f>
        <v>2240</v>
      </c>
      <c r="C93" s="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D93" s="2" t="str">
        <f>"1"</f>
        <v>1</v>
      </c>
      <c r="E93" s="2" t="str">
        <f>"7"</f>
        <v>7</v>
      </c>
      <c r="F93" s="2" t="str">
        <f>"1"</f>
        <v>1</v>
      </c>
      <c r="G93" s="3">
        <v>526045650.35000002</v>
      </c>
    </row>
    <row r="94" spans="1:7" x14ac:dyDescent="0.25">
      <c r="A94" s="4">
        <v>45747</v>
      </c>
      <c r="B94" s="2" t="str">
        <f>"2719"</f>
        <v>2719</v>
      </c>
      <c r="C94" s="2" t="str">
        <f>"Начисленные расходы по условным вкладам клиентов"</f>
        <v>Начисленные расходы по условным вкладам клиентов</v>
      </c>
      <c r="D94" s="2" t="str">
        <f>"1"</f>
        <v>1</v>
      </c>
      <c r="E94" s="2" t="str">
        <f>"7"</f>
        <v>7</v>
      </c>
      <c r="F94" s="2" t="str">
        <f>"1"</f>
        <v>1</v>
      </c>
      <c r="G94" s="3">
        <v>107500363.90000001</v>
      </c>
    </row>
    <row r="95" spans="1:7" x14ac:dyDescent="0.25">
      <c r="A95" s="4">
        <v>45747</v>
      </c>
      <c r="B95" s="2" t="str">
        <f>"2719"</f>
        <v>2719</v>
      </c>
      <c r="C95" s="2" t="str">
        <f>"Начисленные расходы по условным вкладам клиентов"</f>
        <v>Начисленные расходы по условным вкладам клиентов</v>
      </c>
      <c r="D95" s="2" t="str">
        <f>"1"</f>
        <v>1</v>
      </c>
      <c r="E95" s="2" t="str">
        <f>"7"</f>
        <v>7</v>
      </c>
      <c r="F95" s="2" t="str">
        <f>"2"</f>
        <v>2</v>
      </c>
      <c r="G95" s="3">
        <v>159664602.22999999</v>
      </c>
    </row>
    <row r="96" spans="1:7" x14ac:dyDescent="0.25">
      <c r="A96" s="4">
        <v>45747</v>
      </c>
      <c r="B96" s="2" t="str">
        <f>"2721"</f>
        <v>2721</v>
      </c>
      <c r="C96" s="2" t="str">
        <f>"Начисленные расходы по срочным вкладам клиентов"</f>
        <v>Начисленные расходы по срочным вкладам клиентов</v>
      </c>
      <c r="D96" s="2" t="str">
        <f>"1"</f>
        <v>1</v>
      </c>
      <c r="E96" s="2" t="str">
        <f>"7"</f>
        <v>7</v>
      </c>
      <c r="F96" s="2" t="str">
        <f>"1"</f>
        <v>1</v>
      </c>
      <c r="G96" s="3">
        <v>63506088.609999999</v>
      </c>
    </row>
    <row r="97" spans="1:7" x14ac:dyDescent="0.25">
      <c r="A97" s="4">
        <v>45747</v>
      </c>
      <c r="B97" s="2" t="str">
        <f>"2721"</f>
        <v>2721</v>
      </c>
      <c r="C97" s="2" t="str">
        <f>"Начисленные расходы по срочным вкладам клиентов"</f>
        <v>Начисленные расходы по срочным вкладам клиентов</v>
      </c>
      <c r="D97" s="2" t="str">
        <f>"1"</f>
        <v>1</v>
      </c>
      <c r="E97" s="2" t="str">
        <f>"7"</f>
        <v>7</v>
      </c>
      <c r="F97" s="2" t="str">
        <f>"2"</f>
        <v>2</v>
      </c>
      <c r="G97" s="3">
        <v>121013440.31</v>
      </c>
    </row>
    <row r="98" spans="1:7" x14ac:dyDescent="0.25">
      <c r="A98" s="4">
        <v>45747</v>
      </c>
      <c r="B98" s="2" t="str">
        <f>"2745"</f>
        <v>2745</v>
      </c>
      <c r="C98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D98" s="2" t="str">
        <f>"1"</f>
        <v>1</v>
      </c>
      <c r="E98" s="2" t="str">
        <f>"9"</f>
        <v>9</v>
      </c>
      <c r="F98" s="2" t="str">
        <f>"1"</f>
        <v>1</v>
      </c>
      <c r="G98" s="3">
        <v>94410.99</v>
      </c>
    </row>
    <row r="99" spans="1:7" x14ac:dyDescent="0.25">
      <c r="A99" s="4">
        <v>45747</v>
      </c>
      <c r="B99" s="2" t="str">
        <f>"2770"</f>
        <v>2770</v>
      </c>
      <c r="C99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D99" s="2" t="str">
        <f>"2"</f>
        <v>2</v>
      </c>
      <c r="E99" s="2" t="str">
        <f>"4"</f>
        <v>4</v>
      </c>
      <c r="F99" s="2" t="str">
        <f>"1"</f>
        <v>1</v>
      </c>
      <c r="G99" s="3">
        <v>93630092.060000002</v>
      </c>
    </row>
    <row r="100" spans="1:7" x14ac:dyDescent="0.25">
      <c r="A100" s="4">
        <v>45747</v>
      </c>
      <c r="B100" s="2" t="str">
        <f>"2794"</f>
        <v>2794</v>
      </c>
      <c r="C100" s="2" t="str">
        <f>"Доходы будущих периодов"</f>
        <v>Доходы будущих периодов</v>
      </c>
      <c r="D100" s="2" t="str">
        <f>"1"</f>
        <v>1</v>
      </c>
      <c r="E100" s="2" t="str">
        <f>"7"</f>
        <v>7</v>
      </c>
      <c r="F100" s="2" t="str">
        <f>"1"</f>
        <v>1</v>
      </c>
      <c r="G100" s="3">
        <v>64508640.43</v>
      </c>
    </row>
    <row r="101" spans="1:7" x14ac:dyDescent="0.25">
      <c r="A101" s="4">
        <v>45747</v>
      </c>
      <c r="B101" s="2" t="str">
        <f>"2799"</f>
        <v>2799</v>
      </c>
      <c r="C101" s="2" t="str">
        <f>"Прочие предоплаты"</f>
        <v>Прочие предоплаты</v>
      </c>
      <c r="D101" s="2" t="str">
        <f>"1"</f>
        <v>1</v>
      </c>
      <c r="E101" s="2" t="str">
        <f>"9"</f>
        <v>9</v>
      </c>
      <c r="F101" s="2" t="str">
        <f>"1"</f>
        <v>1</v>
      </c>
      <c r="G101" s="3">
        <v>565346.31999999995</v>
      </c>
    </row>
    <row r="102" spans="1:7" x14ac:dyDescent="0.25">
      <c r="A102" s="4">
        <v>45747</v>
      </c>
      <c r="B102" s="2" t="str">
        <f>"2799"</f>
        <v>2799</v>
      </c>
      <c r="C102" s="2" t="str">
        <f>"Прочие предоплаты"</f>
        <v>Прочие предоплаты</v>
      </c>
      <c r="D102" s="2" t="str">
        <f>"2"</f>
        <v>2</v>
      </c>
      <c r="E102" s="2" t="str">
        <f>"9"</f>
        <v>9</v>
      </c>
      <c r="F102" s="2" t="str">
        <f>"1"</f>
        <v>1</v>
      </c>
      <c r="G102" s="3">
        <v>153422.81</v>
      </c>
    </row>
    <row r="103" spans="1:7" x14ac:dyDescent="0.25">
      <c r="A103" s="4">
        <v>45747</v>
      </c>
      <c r="B103" s="2" t="str">
        <f>"2811"</f>
        <v>2811</v>
      </c>
      <c r="C103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D103" s="2" t="str">
        <f>"1"</f>
        <v>1</v>
      </c>
      <c r="E103" s="2" t="str">
        <f>""</f>
        <v/>
      </c>
      <c r="F103" s="2" t="str">
        <f>"1"</f>
        <v>1</v>
      </c>
      <c r="G103" s="3">
        <v>1900000</v>
      </c>
    </row>
    <row r="104" spans="1:7" x14ac:dyDescent="0.25">
      <c r="A104" s="4">
        <v>45747</v>
      </c>
      <c r="B104" s="2" t="str">
        <f>"2820"</f>
        <v>2820</v>
      </c>
      <c r="C104" s="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D104" s="2" t="str">
        <f>"1"</f>
        <v>1</v>
      </c>
      <c r="E104" s="2" t="str">
        <f>""</f>
        <v/>
      </c>
      <c r="F104" s="2" t="str">
        <f>"1"</f>
        <v>1</v>
      </c>
      <c r="G104" s="3">
        <v>22209000</v>
      </c>
    </row>
    <row r="105" spans="1:7" x14ac:dyDescent="0.25">
      <c r="A105" s="4">
        <v>45747</v>
      </c>
      <c r="B105" s="2" t="str">
        <f>"2851"</f>
        <v>2851</v>
      </c>
      <c r="C105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D105" s="2" t="str">
        <f>"1"</f>
        <v>1</v>
      </c>
      <c r="E105" s="2" t="str">
        <f>"1"</f>
        <v>1</v>
      </c>
      <c r="F105" s="2" t="str">
        <f>"1"</f>
        <v>1</v>
      </c>
      <c r="G105" s="3">
        <v>14529733.300000001</v>
      </c>
    </row>
    <row r="106" spans="1:7" x14ac:dyDescent="0.25">
      <c r="A106" s="4">
        <v>45747</v>
      </c>
      <c r="B106" s="2" t="str">
        <f>"2855"</f>
        <v>2855</v>
      </c>
      <c r="C106" s="2" t="str">
        <f>"Кредиторы по документарным расчетам"</f>
        <v>Кредиторы по документарным расчетам</v>
      </c>
      <c r="D106" s="2" t="str">
        <f>"2"</f>
        <v>2</v>
      </c>
      <c r="E106" s="2" t="str">
        <f>"7"</f>
        <v>7</v>
      </c>
      <c r="F106" s="2" t="str">
        <f>"2"</f>
        <v>2</v>
      </c>
      <c r="G106" s="3">
        <v>31037890.530000001</v>
      </c>
    </row>
    <row r="107" spans="1:7" x14ac:dyDescent="0.25">
      <c r="A107" s="4">
        <v>45747</v>
      </c>
      <c r="B107" s="2" t="str">
        <f>"2861"</f>
        <v>2861</v>
      </c>
      <c r="C107" s="2" t="str">
        <f>"Резерв на отпускные выплаты"</f>
        <v>Резерв на отпускные выплаты</v>
      </c>
      <c r="D107" s="2" t="str">
        <f>""</f>
        <v/>
      </c>
      <c r="E107" s="2" t="str">
        <f>""</f>
        <v/>
      </c>
      <c r="F107" s="2" t="str">
        <f>""</f>
        <v/>
      </c>
      <c r="G107" s="3">
        <v>195466763</v>
      </c>
    </row>
    <row r="108" spans="1:7" x14ac:dyDescent="0.25">
      <c r="A108" s="4">
        <v>45747</v>
      </c>
      <c r="B108" s="2" t="str">
        <f>"2867"</f>
        <v>2867</v>
      </c>
      <c r="C108" s="2" t="str">
        <f>"Прочие кредиторы по неосновной деятельности"</f>
        <v>Прочие кредиторы по неосновной деятельности</v>
      </c>
      <c r="D108" s="2" t="str">
        <f>"1"</f>
        <v>1</v>
      </c>
      <c r="E108" s="2" t="str">
        <f>"9"</f>
        <v>9</v>
      </c>
      <c r="F108" s="2" t="str">
        <f>"1"</f>
        <v>1</v>
      </c>
      <c r="G108" s="3">
        <v>4847808.16</v>
      </c>
    </row>
    <row r="109" spans="1:7" x14ac:dyDescent="0.25">
      <c r="A109" s="4">
        <v>45747</v>
      </c>
      <c r="B109" s="2" t="str">
        <f>"2869"</f>
        <v>2869</v>
      </c>
      <c r="C109" s="2" t="str">
        <f>"Выданные гарантии"</f>
        <v>Выданные гарантии</v>
      </c>
      <c r="D109" s="2" t="str">
        <f>"1"</f>
        <v>1</v>
      </c>
      <c r="E109" s="2" t="str">
        <f>"7"</f>
        <v>7</v>
      </c>
      <c r="F109" s="2" t="str">
        <f>"1"</f>
        <v>1</v>
      </c>
      <c r="G109" s="3">
        <v>2476653.27</v>
      </c>
    </row>
    <row r="110" spans="1:7" x14ac:dyDescent="0.25">
      <c r="A110" s="4">
        <v>45747</v>
      </c>
      <c r="B110" s="2" t="str">
        <f>"2870"</f>
        <v>2870</v>
      </c>
      <c r="C110" s="2" t="str">
        <f>"Прочие транзитные счета"</f>
        <v>Прочие транзитные счета</v>
      </c>
      <c r="D110" s="2" t="str">
        <f>"1"</f>
        <v>1</v>
      </c>
      <c r="E110" s="2" t="str">
        <f>"7"</f>
        <v>7</v>
      </c>
      <c r="F110" s="2" t="str">
        <f>"1"</f>
        <v>1</v>
      </c>
      <c r="G110" s="3">
        <v>537712.25</v>
      </c>
    </row>
    <row r="111" spans="1:7" x14ac:dyDescent="0.25">
      <c r="A111" s="4">
        <v>45747</v>
      </c>
      <c r="B111" s="2" t="str">
        <f>"2870"</f>
        <v>2870</v>
      </c>
      <c r="C111" s="2" t="str">
        <f>"Прочие транзитные счета"</f>
        <v>Прочие транзитные счета</v>
      </c>
      <c r="D111" s="2" t="str">
        <f>"1"</f>
        <v>1</v>
      </c>
      <c r="E111" s="2" t="str">
        <f>"7"</f>
        <v>7</v>
      </c>
      <c r="F111" s="2" t="str">
        <f>"2"</f>
        <v>2</v>
      </c>
      <c r="G111" s="3">
        <v>532312593.43000001</v>
      </c>
    </row>
    <row r="112" spans="1:7" x14ac:dyDescent="0.25">
      <c r="A112" s="4">
        <v>45747</v>
      </c>
      <c r="B112" s="2" t="str">
        <f>"2870"</f>
        <v>2870</v>
      </c>
      <c r="C112" s="2" t="str">
        <f>"Прочие транзитные счета"</f>
        <v>Прочие транзитные счета</v>
      </c>
      <c r="D112" s="2" t="str">
        <f>"1"</f>
        <v>1</v>
      </c>
      <c r="E112" s="2" t="str">
        <f>"9"</f>
        <v>9</v>
      </c>
      <c r="F112" s="2" t="str">
        <f>"1"</f>
        <v>1</v>
      </c>
      <c r="G112" s="3">
        <v>6758940.8300000001</v>
      </c>
    </row>
    <row r="113" spans="1:7" x14ac:dyDescent="0.25">
      <c r="A113" s="4">
        <v>45747</v>
      </c>
      <c r="B113" s="2" t="str">
        <f>"2875"</f>
        <v>2875</v>
      </c>
      <c r="C113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D113" s="2" t="str">
        <f>"1"</f>
        <v>1</v>
      </c>
      <c r="E113" s="2" t="str">
        <f>"5"</f>
        <v>5</v>
      </c>
      <c r="F113" s="2" t="str">
        <f>"1"</f>
        <v>1</v>
      </c>
      <c r="G113" s="3">
        <v>863548.01</v>
      </c>
    </row>
    <row r="114" spans="1:7" x14ac:dyDescent="0.25">
      <c r="A114" s="4">
        <v>45747</v>
      </c>
      <c r="B114" s="2" t="str">
        <f>"2875"</f>
        <v>2875</v>
      </c>
      <c r="C114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D114" s="2" t="str">
        <f>"1"</f>
        <v>1</v>
      </c>
      <c r="E114" s="2" t="str">
        <f>"7"</f>
        <v>7</v>
      </c>
      <c r="F114" s="2" t="str">
        <f>"1"</f>
        <v>1</v>
      </c>
      <c r="G114" s="3">
        <v>12070183.23</v>
      </c>
    </row>
    <row r="115" spans="1:7" x14ac:dyDescent="0.25">
      <c r="A115" s="4">
        <v>45747</v>
      </c>
      <c r="B115" s="2" t="str">
        <f>"2875"</f>
        <v>2875</v>
      </c>
      <c r="C115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D115" s="2" t="str">
        <f>"2"</f>
        <v>2</v>
      </c>
      <c r="E115" s="2" t="str">
        <f>"4"</f>
        <v>4</v>
      </c>
      <c r="F115" s="2" t="str">
        <f>"1"</f>
        <v>1</v>
      </c>
      <c r="G115" s="3">
        <v>501340.52</v>
      </c>
    </row>
    <row r="116" spans="1:7" x14ac:dyDescent="0.25">
      <c r="A116" s="4">
        <v>45747</v>
      </c>
      <c r="B116" s="2" t="str">
        <f>"2875"</f>
        <v>2875</v>
      </c>
      <c r="C116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D116" s="2" t="str">
        <f>"2"</f>
        <v>2</v>
      </c>
      <c r="E116" s="2" t="str">
        <f>"4"</f>
        <v>4</v>
      </c>
      <c r="F116" s="2" t="str">
        <f>"2"</f>
        <v>2</v>
      </c>
      <c r="G116" s="3">
        <v>189861.13</v>
      </c>
    </row>
    <row r="117" spans="1:7" x14ac:dyDescent="0.25">
      <c r="A117" s="4">
        <v>45747</v>
      </c>
      <c r="B117" s="2" t="str">
        <f>"2894"</f>
        <v>2894</v>
      </c>
      <c r="C117" s="2" t="str">
        <f>"Обязательства по операциям спот"</f>
        <v>Обязательства по операциям спот</v>
      </c>
      <c r="D117" s="2" t="str">
        <f>"1"</f>
        <v>1</v>
      </c>
      <c r="E117" s="2" t="str">
        <f>"5"</f>
        <v>5</v>
      </c>
      <c r="F117" s="2" t="str">
        <f>"1"</f>
        <v>1</v>
      </c>
      <c r="G117" s="3">
        <v>1579212.63</v>
      </c>
    </row>
    <row r="118" spans="1:7" x14ac:dyDescent="0.25">
      <c r="A118" s="4">
        <v>45747</v>
      </c>
      <c r="B118" s="2" t="str">
        <f>"2894"</f>
        <v>2894</v>
      </c>
      <c r="C118" s="2" t="str">
        <f>"Обязательства по операциям спот"</f>
        <v>Обязательства по операциям спот</v>
      </c>
      <c r="D118" s="2" t="str">
        <f>"2"</f>
        <v>2</v>
      </c>
      <c r="E118" s="2" t="str">
        <f>"4"</f>
        <v>4</v>
      </c>
      <c r="F118" s="2" t="str">
        <f>"1"</f>
        <v>1</v>
      </c>
      <c r="G118" s="3">
        <v>3469091.49</v>
      </c>
    </row>
    <row r="119" spans="1:7" x14ac:dyDescent="0.25">
      <c r="A119" s="4">
        <v>45747</v>
      </c>
      <c r="B119" s="2" t="str">
        <f>"3001"</f>
        <v>3001</v>
      </c>
      <c r="C119" s="2" t="str">
        <f>"Уставный капитал – простые акции"</f>
        <v>Уставный капитал – простые акции</v>
      </c>
      <c r="D119" s="2" t="str">
        <f>""</f>
        <v/>
      </c>
      <c r="E119" s="2" t="str">
        <f>""</f>
        <v/>
      </c>
      <c r="F119" s="2" t="str">
        <f>""</f>
        <v/>
      </c>
      <c r="G119" s="3">
        <v>5485007500</v>
      </c>
    </row>
    <row r="120" spans="1:7" x14ac:dyDescent="0.25">
      <c r="A120" s="4">
        <v>45747</v>
      </c>
      <c r="B120" s="2" t="str">
        <f>"3510"</f>
        <v>3510</v>
      </c>
      <c r="C120" s="2" t="str">
        <f>"Резервный капитал"</f>
        <v>Резервный капитал</v>
      </c>
      <c r="D120" s="2" t="str">
        <f>""</f>
        <v/>
      </c>
      <c r="E120" s="2" t="str">
        <f>""</f>
        <v/>
      </c>
      <c r="F120" s="2" t="str">
        <f>""</f>
        <v/>
      </c>
      <c r="G120" s="3">
        <v>3922493896.9099998</v>
      </c>
    </row>
    <row r="121" spans="1:7" x14ac:dyDescent="0.25">
      <c r="A121" s="4">
        <v>45747</v>
      </c>
      <c r="B121" s="2" t="str">
        <f>"3580"</f>
        <v>3580</v>
      </c>
      <c r="C121" s="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D121" s="2" t="str">
        <f>""</f>
        <v/>
      </c>
      <c r="E121" s="2" t="str">
        <f>""</f>
        <v/>
      </c>
      <c r="F121" s="2" t="str">
        <f>""</f>
        <v/>
      </c>
      <c r="G121" s="3">
        <v>104085899711.12</v>
      </c>
    </row>
    <row r="122" spans="1:7" x14ac:dyDescent="0.25">
      <c r="A122" s="4">
        <v>45747</v>
      </c>
      <c r="B122" s="2" t="str">
        <f>"3599"</f>
        <v>3599</v>
      </c>
      <c r="C122" s="2" t="str">
        <f>"Нераспределенная чистая прибыль (непокрытый убыток)"</f>
        <v>Нераспределенная чистая прибыль (непокрытый убыток)</v>
      </c>
      <c r="D122" s="2" t="str">
        <f>""</f>
        <v/>
      </c>
      <c r="E122" s="2" t="str">
        <f>""</f>
        <v/>
      </c>
      <c r="F122" s="2" t="str">
        <f>""</f>
        <v/>
      </c>
      <c r="G122" s="3">
        <v>6418761374.3900003</v>
      </c>
    </row>
    <row r="123" spans="1:7" x14ac:dyDescent="0.25">
      <c r="A123" s="4">
        <v>45747</v>
      </c>
      <c r="B123" s="2" t="str">
        <f>"4052"</f>
        <v>4052</v>
      </c>
      <c r="C123" s="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D123" s="2" t="str">
        <f>""</f>
        <v/>
      </c>
      <c r="E123" s="2" t="str">
        <f>""</f>
        <v/>
      </c>
      <c r="F123" s="2" t="str">
        <f>""</f>
        <v/>
      </c>
      <c r="G123" s="3">
        <v>111309126.45</v>
      </c>
    </row>
    <row r="124" spans="1:7" x14ac:dyDescent="0.25">
      <c r="A124" s="4">
        <v>45747</v>
      </c>
      <c r="B124" s="2" t="str">
        <f>"4103"</f>
        <v>4103</v>
      </c>
      <c r="C124" s="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D124" s="2" t="str">
        <f>""</f>
        <v/>
      </c>
      <c r="E124" s="2" t="str">
        <f>""</f>
        <v/>
      </c>
      <c r="F124" s="2" t="str">
        <f>""</f>
        <v/>
      </c>
      <c r="G124" s="3">
        <v>7002384541.04</v>
      </c>
    </row>
    <row r="125" spans="1:7" x14ac:dyDescent="0.25">
      <c r="A125" s="4">
        <v>45747</v>
      </c>
      <c r="B125" s="2" t="str">
        <f>"4417"</f>
        <v>4417</v>
      </c>
      <c r="C125" s="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D125" s="2" t="str">
        <f>""</f>
        <v/>
      </c>
      <c r="E125" s="2" t="str">
        <f>""</f>
        <v/>
      </c>
      <c r="F125" s="2" t="str">
        <f>""</f>
        <v/>
      </c>
      <c r="G125" s="3">
        <v>1344379341.8599999</v>
      </c>
    </row>
    <row r="126" spans="1:7" x14ac:dyDescent="0.25">
      <c r="A126" s="4">
        <v>45747</v>
      </c>
      <c r="B126" s="2" t="str">
        <f>"4481"</f>
        <v>4481</v>
      </c>
      <c r="C126" s="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D126" s="2" t="str">
        <f>""</f>
        <v/>
      </c>
      <c r="E126" s="2" t="str">
        <f>""</f>
        <v/>
      </c>
      <c r="F126" s="2" t="str">
        <f>""</f>
        <v/>
      </c>
      <c r="G126" s="3">
        <v>788564114.20000005</v>
      </c>
    </row>
    <row r="127" spans="1:7" x14ac:dyDescent="0.25">
      <c r="A127" s="4">
        <v>45747</v>
      </c>
      <c r="B127" s="2" t="str">
        <f>"4530"</f>
        <v>4530</v>
      </c>
      <c r="C127" s="2" t="str">
        <f>"Доходы по купле-продаже иностранной валюты"</f>
        <v>Доходы по купле-продаже иностранной валюты</v>
      </c>
      <c r="D127" s="2" t="str">
        <f>""</f>
        <v/>
      </c>
      <c r="E127" s="2" t="str">
        <f>""</f>
        <v/>
      </c>
      <c r="F127" s="2" t="str">
        <f>""</f>
        <v/>
      </c>
      <c r="G127" s="3">
        <v>2792295993.6199999</v>
      </c>
    </row>
    <row r="128" spans="1:7" x14ac:dyDescent="0.25">
      <c r="A128" s="4">
        <v>45747</v>
      </c>
      <c r="B128" s="2" t="str">
        <f>"4601"</f>
        <v>4601</v>
      </c>
      <c r="C128" s="2" t="str">
        <f>"Комиссионные доходы за услуги по переводным операциям"</f>
        <v>Комиссионные доходы за услуги по переводным операциям</v>
      </c>
      <c r="D128" s="2" t="str">
        <f>""</f>
        <v/>
      </c>
      <c r="E128" s="2" t="str">
        <f>""</f>
        <v/>
      </c>
      <c r="F128" s="2" t="str">
        <f>""</f>
        <v/>
      </c>
      <c r="G128" s="3">
        <v>98124282.969999999</v>
      </c>
    </row>
    <row r="129" spans="1:7" x14ac:dyDescent="0.25">
      <c r="A129" s="4">
        <v>45747</v>
      </c>
      <c r="B129" s="2" t="str">
        <f>"4602"</f>
        <v>4602</v>
      </c>
      <c r="C129" s="2" t="str">
        <f>"Комиссионные доходы за агентские услуги"</f>
        <v>Комиссионные доходы за агентские услуги</v>
      </c>
      <c r="D129" s="2" t="str">
        <f>""</f>
        <v/>
      </c>
      <c r="E129" s="2" t="str">
        <f>""</f>
        <v/>
      </c>
      <c r="F129" s="2" t="str">
        <f>""</f>
        <v/>
      </c>
      <c r="G129" s="3">
        <v>109949696.75</v>
      </c>
    </row>
    <row r="130" spans="1:7" x14ac:dyDescent="0.25">
      <c r="A130" s="4">
        <v>45747</v>
      </c>
      <c r="B130" s="2" t="str">
        <f>"4606"</f>
        <v>4606</v>
      </c>
      <c r="C130" s="2" t="str">
        <f>"Комиссионные доходы за услуги по операциям с гарантиями"</f>
        <v>Комиссионные доходы за услуги по операциям с гарантиями</v>
      </c>
      <c r="D130" s="2" t="str">
        <f>""</f>
        <v/>
      </c>
      <c r="E130" s="2" t="str">
        <f>""</f>
        <v/>
      </c>
      <c r="F130" s="2" t="str">
        <f>""</f>
        <v/>
      </c>
      <c r="G130" s="3">
        <v>40471945.609999999</v>
      </c>
    </row>
    <row r="131" spans="1:7" x14ac:dyDescent="0.25">
      <c r="A131" s="4">
        <v>45747</v>
      </c>
      <c r="B131" s="2" t="str">
        <f>"4607"</f>
        <v>4607</v>
      </c>
      <c r="C131" s="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D131" s="2" t="str">
        <f>""</f>
        <v/>
      </c>
      <c r="E131" s="2" t="str">
        <f>""</f>
        <v/>
      </c>
      <c r="F131" s="2" t="str">
        <f>""</f>
        <v/>
      </c>
      <c r="G131" s="3">
        <v>6483118.1399999997</v>
      </c>
    </row>
    <row r="132" spans="1:7" x14ac:dyDescent="0.25">
      <c r="A132" s="4">
        <v>45747</v>
      </c>
      <c r="B132" s="2" t="str">
        <f>"4608"</f>
        <v>4608</v>
      </c>
      <c r="C132" s="2" t="str">
        <f>"Прочие комиссионные доходы"</f>
        <v>Прочие комиссионные доходы</v>
      </c>
      <c r="D132" s="2" t="str">
        <f>""</f>
        <v/>
      </c>
      <c r="E132" s="2" t="str">
        <f>""</f>
        <v/>
      </c>
      <c r="F132" s="2" t="str">
        <f>""</f>
        <v/>
      </c>
      <c r="G132" s="3">
        <v>4344865.12</v>
      </c>
    </row>
    <row r="133" spans="1:7" x14ac:dyDescent="0.25">
      <c r="A133" s="4">
        <v>45747</v>
      </c>
      <c r="B133" s="2" t="str">
        <f>"4611"</f>
        <v>4611</v>
      </c>
      <c r="C133" s="2" t="str">
        <f>"Комиссионные доходы за услуги по кассовым операциям"</f>
        <v>Комиссионные доходы за услуги по кассовым операциям</v>
      </c>
      <c r="D133" s="2" t="str">
        <f>""</f>
        <v/>
      </c>
      <c r="E133" s="2" t="str">
        <f>""</f>
        <v/>
      </c>
      <c r="F133" s="2" t="str">
        <f>""</f>
        <v/>
      </c>
      <c r="G133" s="3">
        <v>1887420.9</v>
      </c>
    </row>
    <row r="134" spans="1:7" x14ac:dyDescent="0.25">
      <c r="A134" s="4">
        <v>45747</v>
      </c>
      <c r="B134" s="2" t="str">
        <f>"4612"</f>
        <v>4612</v>
      </c>
      <c r="C134" s="2" t="str">
        <f>"Комиссионные доходы по документарным расчетам"</f>
        <v>Комиссионные доходы по документарным расчетам</v>
      </c>
      <c r="D134" s="2" t="str">
        <f>""</f>
        <v/>
      </c>
      <c r="E134" s="2" t="str">
        <f>""</f>
        <v/>
      </c>
      <c r="F134" s="2" t="str">
        <f>""</f>
        <v/>
      </c>
      <c r="G134" s="3">
        <v>1908056.04</v>
      </c>
    </row>
    <row r="135" spans="1:7" x14ac:dyDescent="0.25">
      <c r="A135" s="4">
        <v>45747</v>
      </c>
      <c r="B135" s="2" t="str">
        <f>"4617"</f>
        <v>4617</v>
      </c>
      <c r="C135" s="2" t="str">
        <f>"Комиссионные доходы за услуги по сейфовым операциям"</f>
        <v>Комиссионные доходы за услуги по сейфовым операциям</v>
      </c>
      <c r="D135" s="2" t="str">
        <f>""</f>
        <v/>
      </c>
      <c r="E135" s="2" t="str">
        <f>""</f>
        <v/>
      </c>
      <c r="F135" s="2" t="str">
        <f>""</f>
        <v/>
      </c>
      <c r="G135" s="3">
        <v>359811.55</v>
      </c>
    </row>
    <row r="136" spans="1:7" x14ac:dyDescent="0.25">
      <c r="A136" s="4">
        <v>45747</v>
      </c>
      <c r="B136" s="2" t="str">
        <f>"4703"</f>
        <v>4703</v>
      </c>
      <c r="C136" s="2" t="str">
        <f>"Доход от переоценки иностранной валюты"</f>
        <v>Доход от переоценки иностранной валюты</v>
      </c>
      <c r="D136" s="2" t="str">
        <f>""</f>
        <v/>
      </c>
      <c r="E136" s="2" t="str">
        <f>""</f>
        <v/>
      </c>
      <c r="F136" s="2" t="str">
        <f>""</f>
        <v/>
      </c>
      <c r="G136" s="3">
        <v>689776143.67999995</v>
      </c>
    </row>
    <row r="137" spans="1:7" x14ac:dyDescent="0.25">
      <c r="A137" s="4">
        <v>45747</v>
      </c>
      <c r="B137" s="2" t="str">
        <f>"4921"</f>
        <v>4921</v>
      </c>
      <c r="C137" s="2" t="str">
        <f>"Прочие доходы от банковской деятельности"</f>
        <v>Прочие доходы от банковской деятельности</v>
      </c>
      <c r="D137" s="2" t="str">
        <f>""</f>
        <v/>
      </c>
      <c r="E137" s="2" t="str">
        <f>""</f>
        <v/>
      </c>
      <c r="F137" s="2" t="str">
        <f>""</f>
        <v/>
      </c>
      <c r="G137" s="3">
        <v>2.58</v>
      </c>
    </row>
    <row r="138" spans="1:7" x14ac:dyDescent="0.25">
      <c r="A138" s="4">
        <v>45747</v>
      </c>
      <c r="B138" s="2" t="str">
        <f>"4954"</f>
        <v>4954</v>
      </c>
      <c r="C138" s="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D138" s="2" t="str">
        <f>""</f>
        <v/>
      </c>
      <c r="E138" s="2" t="str">
        <f>""</f>
        <v/>
      </c>
      <c r="F138" s="2" t="str">
        <f>""</f>
        <v/>
      </c>
      <c r="G138" s="3">
        <v>15093121.890000001</v>
      </c>
    </row>
    <row r="139" spans="1:7" x14ac:dyDescent="0.25">
      <c r="A139" s="4">
        <v>45747</v>
      </c>
      <c r="B139" s="2" t="str">
        <f>"4955"</f>
        <v>4955</v>
      </c>
      <c r="C139" s="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D139" s="2" t="str">
        <f>""</f>
        <v/>
      </c>
      <c r="E139" s="2" t="str">
        <f>""</f>
        <v/>
      </c>
      <c r="F139" s="2" t="str">
        <f>""</f>
        <v/>
      </c>
      <c r="G139" s="3">
        <v>7801760.2199999997</v>
      </c>
    </row>
    <row r="140" spans="1:7" x14ac:dyDescent="0.25">
      <c r="A140" s="4">
        <v>45747</v>
      </c>
      <c r="B140" s="2" t="str">
        <f>"4956"</f>
        <v>4956</v>
      </c>
      <c r="C140" s="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D140" s="2" t="str">
        <f>""</f>
        <v/>
      </c>
      <c r="E140" s="2" t="str">
        <f>""</f>
        <v/>
      </c>
      <c r="F140" s="2" t="str">
        <f>""</f>
        <v/>
      </c>
      <c r="G140" s="3">
        <v>3385417.29</v>
      </c>
    </row>
    <row r="141" spans="1:7" x14ac:dyDescent="0.25">
      <c r="A141" s="4">
        <v>45747</v>
      </c>
      <c r="B141" s="2" t="str">
        <f>"4958"</f>
        <v>4958</v>
      </c>
      <c r="C141" s="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D141" s="2" t="str">
        <f>""</f>
        <v/>
      </c>
      <c r="E141" s="2" t="str">
        <f>""</f>
        <v/>
      </c>
      <c r="F141" s="2" t="str">
        <f>""</f>
        <v/>
      </c>
      <c r="G141" s="3">
        <v>6238260.5</v>
      </c>
    </row>
    <row r="142" spans="1:7" x14ac:dyDescent="0.25">
      <c r="A142" s="4">
        <v>45747</v>
      </c>
      <c r="B142" s="2" t="str">
        <f>"5215"</f>
        <v>5215</v>
      </c>
      <c r="C142" s="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D142" s="2" t="str">
        <f>""</f>
        <v/>
      </c>
      <c r="E142" s="2" t="str">
        <f>""</f>
        <v/>
      </c>
      <c r="F142" s="2" t="str">
        <f>""</f>
        <v/>
      </c>
      <c r="G142" s="3">
        <v>1502423222.3399999</v>
      </c>
    </row>
    <row r="143" spans="1:7" x14ac:dyDescent="0.25">
      <c r="A143" s="4">
        <v>45747</v>
      </c>
      <c r="B143" s="2" t="str">
        <f>"5219"</f>
        <v>5219</v>
      </c>
      <c r="C143" s="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D143" s="2" t="str">
        <f>""</f>
        <v/>
      </c>
      <c r="E143" s="2" t="str">
        <f>""</f>
        <v/>
      </c>
      <c r="F143" s="2" t="str">
        <f>""</f>
        <v/>
      </c>
      <c r="G143" s="3">
        <v>153553059.78999999</v>
      </c>
    </row>
    <row r="144" spans="1:7" x14ac:dyDescent="0.25">
      <c r="A144" s="4">
        <v>45747</v>
      </c>
      <c r="B144" s="2" t="str">
        <f>"5227"</f>
        <v>5227</v>
      </c>
      <c r="C144" s="2" t="str">
        <f>"Процентные расходы по обязательствам по аренде"</f>
        <v>Процентные расходы по обязательствам по аренде</v>
      </c>
      <c r="D144" s="2" t="str">
        <f>""</f>
        <v/>
      </c>
      <c r="E144" s="2" t="str">
        <f>""</f>
        <v/>
      </c>
      <c r="F144" s="2" t="str">
        <f>""</f>
        <v/>
      </c>
      <c r="G144" s="3">
        <v>95153.69</v>
      </c>
    </row>
    <row r="145" spans="1:7" x14ac:dyDescent="0.25">
      <c r="A145" s="4">
        <v>45747</v>
      </c>
      <c r="B145" s="2" t="str">
        <f>"5308"</f>
        <v>5308</v>
      </c>
      <c r="C145" s="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D145" s="2" t="str">
        <f>""</f>
        <v/>
      </c>
      <c r="E145" s="2" t="str">
        <f>""</f>
        <v/>
      </c>
      <c r="F145" s="2" t="str">
        <f>""</f>
        <v/>
      </c>
      <c r="G145" s="3">
        <v>312911310.33999997</v>
      </c>
    </row>
    <row r="146" spans="1:7" x14ac:dyDescent="0.25">
      <c r="A146" s="4">
        <v>45747</v>
      </c>
      <c r="B146" s="2" t="str">
        <f>"5455"</f>
        <v>5455</v>
      </c>
      <c r="C146" s="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D146" s="2" t="str">
        <f>""</f>
        <v/>
      </c>
      <c r="E146" s="2" t="str">
        <f>""</f>
        <v/>
      </c>
      <c r="F146" s="2" t="str">
        <f>""</f>
        <v/>
      </c>
      <c r="G146" s="3">
        <v>9231437.3499999996</v>
      </c>
    </row>
    <row r="147" spans="1:7" x14ac:dyDescent="0.25">
      <c r="A147" s="4">
        <v>45747</v>
      </c>
      <c r="B147" s="2" t="str">
        <f>"5456"</f>
        <v>5456</v>
      </c>
      <c r="C147" s="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D147" s="2" t="str">
        <f>""</f>
        <v/>
      </c>
      <c r="E147" s="2" t="str">
        <f>""</f>
        <v/>
      </c>
      <c r="F147" s="2" t="str">
        <f>""</f>
        <v/>
      </c>
      <c r="G147" s="3">
        <v>1325877.82</v>
      </c>
    </row>
    <row r="148" spans="1:7" x14ac:dyDescent="0.25">
      <c r="A148" s="4">
        <v>45747</v>
      </c>
      <c r="B148" s="2" t="str">
        <f>"5465"</f>
        <v>5465</v>
      </c>
      <c r="C148" s="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D148" s="2" t="str">
        <f>""</f>
        <v/>
      </c>
      <c r="E148" s="2" t="str">
        <f>""</f>
        <v/>
      </c>
      <c r="F148" s="2" t="str">
        <f>""</f>
        <v/>
      </c>
      <c r="G148" s="3">
        <v>12379213.82</v>
      </c>
    </row>
    <row r="149" spans="1:7" x14ac:dyDescent="0.25">
      <c r="A149" s="4">
        <v>45747</v>
      </c>
      <c r="B149" s="2" t="str">
        <f>"5530"</f>
        <v>5530</v>
      </c>
      <c r="C149" s="2" t="str">
        <f>"Расходы по купле-продаже иностранной валюты"</f>
        <v>Расходы по купле-продаже иностранной валюты</v>
      </c>
      <c r="D149" s="2" t="str">
        <f>""</f>
        <v/>
      </c>
      <c r="E149" s="2" t="str">
        <f>""</f>
        <v/>
      </c>
      <c r="F149" s="2" t="str">
        <f>""</f>
        <v/>
      </c>
      <c r="G149" s="3">
        <v>1279045594.6500001</v>
      </c>
    </row>
    <row r="150" spans="1:7" x14ac:dyDescent="0.25">
      <c r="A150" s="4">
        <v>45747</v>
      </c>
      <c r="B150" s="2" t="str">
        <f>"5601"</f>
        <v>5601</v>
      </c>
      <c r="C150" s="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D150" s="2" t="str">
        <f>""</f>
        <v/>
      </c>
      <c r="E150" s="2" t="str">
        <f>""</f>
        <v/>
      </c>
      <c r="F150" s="2" t="str">
        <f>""</f>
        <v/>
      </c>
      <c r="G150" s="3">
        <v>2589537.0099999998</v>
      </c>
    </row>
    <row r="151" spans="1:7" x14ac:dyDescent="0.25">
      <c r="A151" s="4">
        <v>45747</v>
      </c>
      <c r="B151" s="2" t="str">
        <f>"5608"</f>
        <v>5608</v>
      </c>
      <c r="C151" s="2" t="str">
        <f>"Прочие комиссионные расходы"</f>
        <v>Прочие комиссионные расходы</v>
      </c>
      <c r="D151" s="2" t="str">
        <f>""</f>
        <v/>
      </c>
      <c r="E151" s="2" t="str">
        <f>""</f>
        <v/>
      </c>
      <c r="F151" s="2" t="str">
        <f>""</f>
        <v/>
      </c>
      <c r="G151" s="3">
        <v>12720569.66</v>
      </c>
    </row>
    <row r="152" spans="1:7" x14ac:dyDescent="0.25">
      <c r="A152" s="4">
        <v>45747</v>
      </c>
      <c r="B152" s="2" t="str">
        <f>"5703"</f>
        <v>5703</v>
      </c>
      <c r="C152" s="2" t="str">
        <f>"Расходы от переоценки иностранной валюты"</f>
        <v>Расходы от переоценки иностранной валюты</v>
      </c>
      <c r="D152" s="2" t="str">
        <f>""</f>
        <v/>
      </c>
      <c r="E152" s="2" t="str">
        <f>""</f>
        <v/>
      </c>
      <c r="F152" s="2" t="str">
        <f>""</f>
        <v/>
      </c>
      <c r="G152" s="3">
        <v>1257667977.04</v>
      </c>
    </row>
    <row r="153" spans="1:7" x14ac:dyDescent="0.25">
      <c r="A153" s="4">
        <v>45747</v>
      </c>
      <c r="B153" s="2" t="str">
        <f>"5721"</f>
        <v>5721</v>
      </c>
      <c r="C153" s="2" t="str">
        <f>"Расходы по оплате труда"</f>
        <v>Расходы по оплате труда</v>
      </c>
      <c r="D153" s="2" t="str">
        <f>""</f>
        <v/>
      </c>
      <c r="E153" s="2" t="str">
        <f>""</f>
        <v/>
      </c>
      <c r="F153" s="2" t="str">
        <f>""</f>
        <v/>
      </c>
      <c r="G153" s="3">
        <v>325213967.97000003</v>
      </c>
    </row>
    <row r="154" spans="1:7" x14ac:dyDescent="0.25">
      <c r="A154" s="4">
        <v>45747</v>
      </c>
      <c r="B154" s="2" t="str">
        <f>"5722"</f>
        <v>5722</v>
      </c>
      <c r="C154" s="2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D154" s="2" t="str">
        <f>""</f>
        <v/>
      </c>
      <c r="E154" s="2" t="str">
        <f>""</f>
        <v/>
      </c>
      <c r="F154" s="2" t="str">
        <f>""</f>
        <v/>
      </c>
      <c r="G154" s="3">
        <v>22962638</v>
      </c>
    </row>
    <row r="155" spans="1:7" x14ac:dyDescent="0.25">
      <c r="A155" s="4">
        <v>45747</v>
      </c>
      <c r="B155" s="2" t="str">
        <f>"5729"</f>
        <v>5729</v>
      </c>
      <c r="C155" s="2" t="str">
        <f>"Прочие выплаты"</f>
        <v>Прочие выплаты</v>
      </c>
      <c r="D155" s="2" t="str">
        <f>""</f>
        <v/>
      </c>
      <c r="E155" s="2" t="str">
        <f>""</f>
        <v/>
      </c>
      <c r="F155" s="2" t="str">
        <f>""</f>
        <v/>
      </c>
      <c r="G155" s="3">
        <v>1747320</v>
      </c>
    </row>
    <row r="156" spans="1:7" x14ac:dyDescent="0.25">
      <c r="A156" s="4">
        <v>45747</v>
      </c>
      <c r="B156" s="2" t="str">
        <f>"5741"</f>
        <v>5741</v>
      </c>
      <c r="C156" s="2" t="str">
        <f>"Транспортные расходы"</f>
        <v>Транспортные расходы</v>
      </c>
      <c r="D156" s="2" t="str">
        <f>""</f>
        <v/>
      </c>
      <c r="E156" s="2" t="str">
        <f>""</f>
        <v/>
      </c>
      <c r="F156" s="2" t="str">
        <f>""</f>
        <v/>
      </c>
      <c r="G156" s="3">
        <v>1159529.46</v>
      </c>
    </row>
    <row r="157" spans="1:7" x14ac:dyDescent="0.25">
      <c r="A157" s="4">
        <v>45747</v>
      </c>
      <c r="B157" s="2" t="str">
        <f>"5742"</f>
        <v>5742</v>
      </c>
      <c r="C157" s="2" t="str">
        <f>"Административные расходы"</f>
        <v>Административные расходы</v>
      </c>
      <c r="D157" s="2" t="str">
        <f>""</f>
        <v/>
      </c>
      <c r="E157" s="2" t="str">
        <f>""</f>
        <v/>
      </c>
      <c r="F157" s="2" t="str">
        <f>""</f>
        <v/>
      </c>
      <c r="G157" s="3">
        <v>188091039.06</v>
      </c>
    </row>
    <row r="158" spans="1:7" x14ac:dyDescent="0.25">
      <c r="A158" s="4">
        <v>45747</v>
      </c>
      <c r="B158" s="2" t="str">
        <f>"5743"</f>
        <v>5743</v>
      </c>
      <c r="C158" s="2" t="str">
        <f>"Расходы на инкассацию"</f>
        <v>Расходы на инкассацию</v>
      </c>
      <c r="D158" s="2" t="str">
        <f>""</f>
        <v/>
      </c>
      <c r="E158" s="2" t="str">
        <f>""</f>
        <v/>
      </c>
      <c r="F158" s="2" t="str">
        <f>""</f>
        <v/>
      </c>
      <c r="G158" s="3">
        <v>160714.29</v>
      </c>
    </row>
    <row r="159" spans="1:7" x14ac:dyDescent="0.25">
      <c r="A159" s="4">
        <v>45747</v>
      </c>
      <c r="B159" s="2" t="str">
        <f>"5744"</f>
        <v>5744</v>
      </c>
      <c r="C159" s="2" t="str">
        <f>"Расходы на ремонт"</f>
        <v>Расходы на ремонт</v>
      </c>
      <c r="D159" s="2" t="str">
        <f>""</f>
        <v/>
      </c>
      <c r="E159" s="2" t="str">
        <f>""</f>
        <v/>
      </c>
      <c r="F159" s="2" t="str">
        <f>""</f>
        <v/>
      </c>
      <c r="G159" s="3">
        <v>3240000</v>
      </c>
    </row>
    <row r="160" spans="1:7" x14ac:dyDescent="0.25">
      <c r="A160" s="4">
        <v>45747</v>
      </c>
      <c r="B160" s="2" t="str">
        <f>"5746"</f>
        <v>5746</v>
      </c>
      <c r="C160" s="2" t="str">
        <f>"Расходы на охрану и сигнализацию"</f>
        <v>Расходы на охрану и сигнализацию</v>
      </c>
      <c r="D160" s="2" t="str">
        <f>""</f>
        <v/>
      </c>
      <c r="E160" s="2" t="str">
        <f>""</f>
        <v/>
      </c>
      <c r="F160" s="2" t="str">
        <f>""</f>
        <v/>
      </c>
      <c r="G160" s="3">
        <v>18125838.210000001</v>
      </c>
    </row>
    <row r="161" spans="1:7" x14ac:dyDescent="0.25">
      <c r="A161" s="4">
        <v>45747</v>
      </c>
      <c r="B161" s="2" t="str">
        <f>"5747"</f>
        <v>5747</v>
      </c>
      <c r="C161" s="2" t="str">
        <f>"Представительские расходы"</f>
        <v>Представительские расходы</v>
      </c>
      <c r="D161" s="2" t="str">
        <f>""</f>
        <v/>
      </c>
      <c r="E161" s="2" t="str">
        <f>""</f>
        <v/>
      </c>
      <c r="F161" s="2" t="str">
        <f>""</f>
        <v/>
      </c>
      <c r="G161" s="3">
        <v>6049387.7800000003</v>
      </c>
    </row>
    <row r="162" spans="1:7" x14ac:dyDescent="0.25">
      <c r="A162" s="4">
        <v>45747</v>
      </c>
      <c r="B162" s="2" t="str">
        <f>"5749"</f>
        <v>5749</v>
      </c>
      <c r="C162" s="2" t="str">
        <f>"Расходы на служебные командировки"</f>
        <v>Расходы на служебные командировки</v>
      </c>
      <c r="D162" s="2" t="str">
        <f>""</f>
        <v/>
      </c>
      <c r="E162" s="2" t="str">
        <f>""</f>
        <v/>
      </c>
      <c r="F162" s="2" t="str">
        <f>""</f>
        <v/>
      </c>
      <c r="G162" s="3">
        <v>9107360</v>
      </c>
    </row>
    <row r="163" spans="1:7" x14ac:dyDescent="0.25">
      <c r="A163" s="4">
        <v>45747</v>
      </c>
      <c r="B163" s="2" t="str">
        <f>"5750"</f>
        <v>5750</v>
      </c>
      <c r="C163" s="2" t="str">
        <f>"Расходы по аудиту и консультационным услугам"</f>
        <v>Расходы по аудиту и консультационным услугам</v>
      </c>
      <c r="D163" s="2" t="str">
        <f>""</f>
        <v/>
      </c>
      <c r="E163" s="2" t="str">
        <f>""</f>
        <v/>
      </c>
      <c r="F163" s="2" t="str">
        <f>""</f>
        <v/>
      </c>
      <c r="G163" s="3">
        <v>4685918.34</v>
      </c>
    </row>
    <row r="164" spans="1:7" x14ac:dyDescent="0.25">
      <c r="A164" s="4">
        <v>45747</v>
      </c>
      <c r="B164" s="2" t="str">
        <f>"5752"</f>
        <v>5752</v>
      </c>
      <c r="C164" s="2" t="str">
        <f>"Расходы по страхованию"</f>
        <v>Расходы по страхованию</v>
      </c>
      <c r="D164" s="2" t="str">
        <f>""</f>
        <v/>
      </c>
      <c r="E164" s="2" t="str">
        <f>""</f>
        <v/>
      </c>
      <c r="F164" s="2" t="str">
        <f>""</f>
        <v/>
      </c>
      <c r="G164" s="3">
        <v>3725151</v>
      </c>
    </row>
    <row r="165" spans="1:7" x14ac:dyDescent="0.25">
      <c r="A165" s="4">
        <v>45747</v>
      </c>
      <c r="B165" s="2" t="str">
        <f>"5753"</f>
        <v>5753</v>
      </c>
      <c r="C165" s="2" t="str">
        <f>"Расходы по услугам связи"</f>
        <v>Расходы по услугам связи</v>
      </c>
      <c r="D165" s="2" t="str">
        <f>""</f>
        <v/>
      </c>
      <c r="E165" s="2" t="str">
        <f>""</f>
        <v/>
      </c>
      <c r="F165" s="2" t="str">
        <f>""</f>
        <v/>
      </c>
      <c r="G165" s="3">
        <v>9887611.0199999996</v>
      </c>
    </row>
    <row r="166" spans="1:7" x14ac:dyDescent="0.25">
      <c r="A166" s="4">
        <v>45747</v>
      </c>
      <c r="B166" s="2" t="str">
        <f>"5754"</f>
        <v>5754</v>
      </c>
      <c r="C166" s="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D166" s="2" t="str">
        <f>""</f>
        <v/>
      </c>
      <c r="E166" s="2" t="str">
        <f>""</f>
        <v/>
      </c>
      <c r="F166" s="2" t="str">
        <f>""</f>
        <v/>
      </c>
      <c r="G166" s="3">
        <v>59075.07</v>
      </c>
    </row>
    <row r="167" spans="1:7" x14ac:dyDescent="0.25">
      <c r="A167" s="4">
        <v>45747</v>
      </c>
      <c r="B167" s="2" t="str">
        <f>"5761"</f>
        <v>5761</v>
      </c>
      <c r="C167" s="2" t="str">
        <f>"Налог на добавленную стоимость"</f>
        <v>Налог на добавленную стоимость</v>
      </c>
      <c r="D167" s="2" t="str">
        <f>""</f>
        <v/>
      </c>
      <c r="E167" s="2" t="str">
        <f>""</f>
        <v/>
      </c>
      <c r="F167" s="2" t="str">
        <f>""</f>
        <v/>
      </c>
      <c r="G167" s="3">
        <v>69156819.189999998</v>
      </c>
    </row>
    <row r="168" spans="1:7" x14ac:dyDescent="0.25">
      <c r="A168" s="4">
        <v>45747</v>
      </c>
      <c r="B168" s="2" t="str">
        <f>"5763"</f>
        <v>5763</v>
      </c>
      <c r="C168" s="2" t="str">
        <f>"Социальный налог"</f>
        <v>Социальный налог</v>
      </c>
      <c r="D168" s="2" t="str">
        <f>""</f>
        <v/>
      </c>
      <c r="E168" s="2" t="str">
        <f>""</f>
        <v/>
      </c>
      <c r="F168" s="2" t="str">
        <f>""</f>
        <v/>
      </c>
      <c r="G168" s="3">
        <v>22135570</v>
      </c>
    </row>
    <row r="169" spans="1:7" x14ac:dyDescent="0.25">
      <c r="A169" s="4">
        <v>45747</v>
      </c>
      <c r="B169" s="2" t="str">
        <f>"5764"</f>
        <v>5764</v>
      </c>
      <c r="C169" s="2" t="str">
        <f>"Земельный налог"</f>
        <v>Земельный налог</v>
      </c>
      <c r="D169" s="2" t="str">
        <f>""</f>
        <v/>
      </c>
      <c r="E169" s="2" t="str">
        <f>""</f>
        <v/>
      </c>
      <c r="F169" s="2" t="str">
        <f>""</f>
        <v/>
      </c>
      <c r="G169" s="3">
        <v>136384</v>
      </c>
    </row>
    <row r="170" spans="1:7" x14ac:dyDescent="0.25">
      <c r="A170" s="4">
        <v>45747</v>
      </c>
      <c r="B170" s="2" t="str">
        <f>"5765"</f>
        <v>5765</v>
      </c>
      <c r="C170" s="2" t="str">
        <f>"Налог на имущество юридических лиц"</f>
        <v>Налог на имущество юридических лиц</v>
      </c>
      <c r="D170" s="2" t="str">
        <f>""</f>
        <v/>
      </c>
      <c r="E170" s="2" t="str">
        <f>""</f>
        <v/>
      </c>
      <c r="F170" s="2" t="str">
        <f>""</f>
        <v/>
      </c>
      <c r="G170" s="3">
        <v>6993940</v>
      </c>
    </row>
    <row r="171" spans="1:7" x14ac:dyDescent="0.25">
      <c r="A171" s="4">
        <v>45747</v>
      </c>
      <c r="B171" s="2" t="str">
        <f>"5768"</f>
        <v>5768</v>
      </c>
      <c r="C171" s="2" t="str">
        <f>"Прочие налоги и обязательные платежи в бюджет"</f>
        <v>Прочие налоги и обязательные платежи в бюджет</v>
      </c>
      <c r="D171" s="2" t="str">
        <f>""</f>
        <v/>
      </c>
      <c r="E171" s="2" t="str">
        <f>""</f>
        <v/>
      </c>
      <c r="F171" s="2" t="str">
        <f>""</f>
        <v/>
      </c>
      <c r="G171" s="3">
        <v>23924701</v>
      </c>
    </row>
    <row r="172" spans="1:7" x14ac:dyDescent="0.25">
      <c r="A172" s="4">
        <v>45747</v>
      </c>
      <c r="B172" s="2" t="str">
        <f>"5781"</f>
        <v>5781</v>
      </c>
      <c r="C172" s="2" t="str">
        <f>"Расходы по амортизации зданий и сооружений"</f>
        <v>Расходы по амортизации зданий и сооружений</v>
      </c>
      <c r="D172" s="2" t="str">
        <f>""</f>
        <v/>
      </c>
      <c r="E172" s="2" t="str">
        <f>""</f>
        <v/>
      </c>
      <c r="F172" s="2" t="str">
        <f>""</f>
        <v/>
      </c>
      <c r="G172" s="3">
        <v>12874668.9</v>
      </c>
    </row>
    <row r="173" spans="1:7" x14ac:dyDescent="0.25">
      <c r="A173" s="4">
        <v>45747</v>
      </c>
      <c r="B173" s="2" t="str">
        <f>"5782"</f>
        <v>5782</v>
      </c>
      <c r="C173" s="2" t="str">
        <f>"Расходы по амортизации компьютерного оборудования"</f>
        <v>Расходы по амортизации компьютерного оборудования</v>
      </c>
      <c r="D173" s="2" t="str">
        <f>""</f>
        <v/>
      </c>
      <c r="E173" s="2" t="str">
        <f>""</f>
        <v/>
      </c>
      <c r="F173" s="2" t="str">
        <f>""</f>
        <v/>
      </c>
      <c r="G173" s="3">
        <v>15178723.310000001</v>
      </c>
    </row>
    <row r="174" spans="1:7" x14ac:dyDescent="0.25">
      <c r="A174" s="4">
        <v>45747</v>
      </c>
      <c r="B174" s="2" t="str">
        <f>"5783"</f>
        <v>5783</v>
      </c>
      <c r="C174" s="2" t="str">
        <f>"Расходы по амортизации прочих основных средств"</f>
        <v>Расходы по амортизации прочих основных средств</v>
      </c>
      <c r="D174" s="2" t="str">
        <f>""</f>
        <v/>
      </c>
      <c r="E174" s="2" t="str">
        <f>""</f>
        <v/>
      </c>
      <c r="F174" s="2" t="str">
        <f>""</f>
        <v/>
      </c>
      <c r="G174" s="3">
        <v>6333849.5999999996</v>
      </c>
    </row>
    <row r="175" spans="1:7" x14ac:dyDescent="0.25">
      <c r="A175" s="4">
        <v>45747</v>
      </c>
      <c r="B175" s="2" t="str">
        <f>"5784"</f>
        <v>5784</v>
      </c>
      <c r="C175" s="2" t="str">
        <f>"Расходы по амортизации активов в форме права пользования"</f>
        <v>Расходы по амортизации активов в форме права пользования</v>
      </c>
      <c r="D175" s="2" t="str">
        <f>""</f>
        <v/>
      </c>
      <c r="E175" s="2" t="str">
        <f>""</f>
        <v/>
      </c>
      <c r="F175" s="2" t="str">
        <f>""</f>
        <v/>
      </c>
      <c r="G175" s="3">
        <v>5741805</v>
      </c>
    </row>
    <row r="176" spans="1:7" x14ac:dyDescent="0.25">
      <c r="A176" s="4">
        <v>45747</v>
      </c>
      <c r="B176" s="2" t="str">
        <f>"5787"</f>
        <v>5787</v>
      </c>
      <c r="C176" s="2" t="str">
        <f>"Расходы по амортизации транспортных средств"</f>
        <v>Расходы по амортизации транспортных средств</v>
      </c>
      <c r="D176" s="2" t="str">
        <f>""</f>
        <v/>
      </c>
      <c r="E176" s="2" t="str">
        <f>""</f>
        <v/>
      </c>
      <c r="F176" s="2" t="str">
        <f>""</f>
        <v/>
      </c>
      <c r="G176" s="3">
        <v>6.8</v>
      </c>
    </row>
    <row r="177" spans="1:7" x14ac:dyDescent="0.25">
      <c r="A177" s="4">
        <v>45747</v>
      </c>
      <c r="B177" s="2" t="str">
        <f>"5788"</f>
        <v>5788</v>
      </c>
      <c r="C177" s="2" t="str">
        <f>"Расходы по амортизации нематериальных активов"</f>
        <v>Расходы по амортизации нематериальных активов</v>
      </c>
      <c r="D177" s="2" t="str">
        <f>""</f>
        <v/>
      </c>
      <c r="E177" s="2" t="str">
        <f>""</f>
        <v/>
      </c>
      <c r="F177" s="2" t="str">
        <f>""</f>
        <v/>
      </c>
      <c r="G177" s="3">
        <v>9843315.6899999995</v>
      </c>
    </row>
    <row r="178" spans="1:7" x14ac:dyDescent="0.25">
      <c r="A178" s="4">
        <v>45747</v>
      </c>
      <c r="B178" s="2" t="str">
        <f>"5900"</f>
        <v>5900</v>
      </c>
      <c r="C178" s="2" t="str">
        <f>"Неустойка (штраф, пеня)"</f>
        <v>Неустойка (штраф, пеня)</v>
      </c>
      <c r="D178" s="2" t="str">
        <f>""</f>
        <v/>
      </c>
      <c r="E178" s="2" t="str">
        <f>""</f>
        <v/>
      </c>
      <c r="F178" s="2" t="str">
        <f>""</f>
        <v/>
      </c>
      <c r="G178" s="3">
        <v>58980</v>
      </c>
    </row>
    <row r="179" spans="1:7" x14ac:dyDescent="0.25">
      <c r="A179" s="4">
        <v>45747</v>
      </c>
      <c r="B179" s="2" t="str">
        <f>"5921"</f>
        <v>5921</v>
      </c>
      <c r="C179" s="2" t="str">
        <f>"Прочие расходы от банковской деятельности"</f>
        <v>Прочие расходы от банковской деятельности</v>
      </c>
      <c r="D179" s="2" t="str">
        <f>""</f>
        <v/>
      </c>
      <c r="E179" s="2" t="str">
        <f>""</f>
        <v/>
      </c>
      <c r="F179" s="2" t="str">
        <f>""</f>
        <v/>
      </c>
      <c r="G179" s="3">
        <v>2.5499999999999998</v>
      </c>
    </row>
    <row r="180" spans="1:7" x14ac:dyDescent="0.25">
      <c r="A180" s="4">
        <v>45747</v>
      </c>
      <c r="B180" s="2" t="str">
        <f>"5922"</f>
        <v>5922</v>
      </c>
      <c r="C180" s="2" t="str">
        <f>"Прочие расходы от неосновной деятельности"</f>
        <v>Прочие расходы от неосновной деятельности</v>
      </c>
      <c r="D180" s="2" t="str">
        <f>""</f>
        <v/>
      </c>
      <c r="E180" s="2" t="str">
        <f>""</f>
        <v/>
      </c>
      <c r="F180" s="2" t="str">
        <f>""</f>
        <v/>
      </c>
      <c r="G180" s="3">
        <v>2224904.13</v>
      </c>
    </row>
    <row r="181" spans="1:7" x14ac:dyDescent="0.25">
      <c r="A181" s="4">
        <v>45747</v>
      </c>
      <c r="B181" s="2" t="str">
        <f>"5923"</f>
        <v>5923</v>
      </c>
      <c r="C181" s="2" t="str">
        <f>"Расходы по аренде"</f>
        <v>Расходы по аренде</v>
      </c>
      <c r="D181" s="2" t="str">
        <f>""</f>
        <v/>
      </c>
      <c r="E181" s="2" t="str">
        <f>""</f>
        <v/>
      </c>
      <c r="F181" s="2" t="str">
        <f>""</f>
        <v/>
      </c>
      <c r="G181" s="3">
        <v>1807070.15</v>
      </c>
    </row>
    <row r="182" spans="1:7" x14ac:dyDescent="0.25">
      <c r="A182" s="4">
        <v>45747</v>
      </c>
      <c r="B182" s="2" t="str">
        <f>"5999"</f>
        <v>5999</v>
      </c>
      <c r="C182" s="2" t="str">
        <f>"Корпоративный подоходный налог"</f>
        <v>Корпоративный подоходный налог</v>
      </c>
      <c r="D182" s="2" t="str">
        <f>""</f>
        <v/>
      </c>
      <c r="E182" s="2" t="str">
        <f>""</f>
        <v/>
      </c>
      <c r="F182" s="2" t="str">
        <f>""</f>
        <v/>
      </c>
      <c r="G182" s="3">
        <v>1291426401.99</v>
      </c>
    </row>
    <row r="183" spans="1:7" x14ac:dyDescent="0.25">
      <c r="A183" s="4">
        <v>45747</v>
      </c>
      <c r="B183" s="2" t="str">
        <f>"6055"</f>
        <v>6055</v>
      </c>
      <c r="C183" s="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D183" s="2" t="str">
        <f>""</f>
        <v/>
      </c>
      <c r="E183" s="2" t="str">
        <f>""</f>
        <v/>
      </c>
      <c r="F183" s="2" t="str">
        <f>""</f>
        <v/>
      </c>
      <c r="G183" s="3">
        <v>18542889813.23</v>
      </c>
    </row>
    <row r="184" spans="1:7" x14ac:dyDescent="0.25">
      <c r="A184" s="4">
        <v>45747</v>
      </c>
      <c r="B184" s="2" t="str">
        <f>"6075"</f>
        <v>6075</v>
      </c>
      <c r="C184" s="2" t="str">
        <f>"Возможные требования по принятым гарантиям"</f>
        <v>Возможные требования по принятым гарантиям</v>
      </c>
      <c r="D184" s="2" t="str">
        <f>""</f>
        <v/>
      </c>
      <c r="E184" s="2" t="str">
        <f>""</f>
        <v/>
      </c>
      <c r="F184" s="2" t="str">
        <f>""</f>
        <v/>
      </c>
      <c r="G184" s="3">
        <v>61438743520.449997</v>
      </c>
    </row>
    <row r="185" spans="1:7" x14ac:dyDescent="0.25">
      <c r="A185" s="4">
        <v>45747</v>
      </c>
      <c r="B185" s="2" t="str">
        <f>"6125"</f>
        <v>6125</v>
      </c>
      <c r="C185" s="2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D185" s="2" t="str">
        <f>""</f>
        <v/>
      </c>
      <c r="E185" s="2" t="str">
        <f>""</f>
        <v/>
      </c>
      <c r="F185" s="2" t="str">
        <f>""</f>
        <v/>
      </c>
      <c r="G185" s="3">
        <v>24191666670.790001</v>
      </c>
    </row>
    <row r="186" spans="1:7" x14ac:dyDescent="0.25">
      <c r="A186" s="4">
        <v>45747</v>
      </c>
      <c r="B186" s="2" t="str">
        <f>"6405"</f>
        <v>6405</v>
      </c>
      <c r="C186" s="2" t="str">
        <f>"Условные требования по купле-продаже иностранной валюты"</f>
        <v>Условные требования по купле-продаже иностранной валюты</v>
      </c>
      <c r="D186" s="2" t="str">
        <f>""</f>
        <v/>
      </c>
      <c r="E186" s="2" t="str">
        <f>""</f>
        <v/>
      </c>
      <c r="F186" s="2" t="str">
        <f>""</f>
        <v/>
      </c>
      <c r="G186" s="3">
        <v>15014960454.6</v>
      </c>
    </row>
    <row r="187" spans="1:7" x14ac:dyDescent="0.25">
      <c r="A187" s="4">
        <v>45747</v>
      </c>
      <c r="B187" s="2" t="str">
        <f>"6555"</f>
        <v>6555</v>
      </c>
      <c r="C187" s="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D187" s="2" t="str">
        <f>""</f>
        <v/>
      </c>
      <c r="E187" s="2" t="str">
        <f>""</f>
        <v/>
      </c>
      <c r="F187" s="2" t="str">
        <f>""</f>
        <v/>
      </c>
      <c r="G187" s="3">
        <v>18542889813.23</v>
      </c>
    </row>
    <row r="188" spans="1:7" x14ac:dyDescent="0.25">
      <c r="A188" s="4">
        <v>45747</v>
      </c>
      <c r="B188" s="2" t="str">
        <f>"6575"</f>
        <v>6575</v>
      </c>
      <c r="C188" s="2" t="str">
        <f>"Возможное уменьшение требований по принятым гарантиям"</f>
        <v>Возможное уменьшение требований по принятым гарантиям</v>
      </c>
      <c r="D188" s="2" t="str">
        <f>""</f>
        <v/>
      </c>
      <c r="E188" s="2" t="str">
        <f>""</f>
        <v/>
      </c>
      <c r="F188" s="2" t="str">
        <f>""</f>
        <v/>
      </c>
      <c r="G188" s="3">
        <v>61438743520.449997</v>
      </c>
    </row>
    <row r="189" spans="1:7" x14ac:dyDescent="0.25">
      <c r="A189" s="4">
        <v>45747</v>
      </c>
      <c r="B189" s="2" t="str">
        <f>"6625"</f>
        <v>6625</v>
      </c>
      <c r="C189" s="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D189" s="2" t="str">
        <f>""</f>
        <v/>
      </c>
      <c r="E189" s="2" t="str">
        <f>""</f>
        <v/>
      </c>
      <c r="F189" s="2" t="str">
        <f>""</f>
        <v/>
      </c>
      <c r="G189" s="3">
        <v>24191666670.790001</v>
      </c>
    </row>
    <row r="190" spans="1:7" x14ac:dyDescent="0.25">
      <c r="A190" s="4">
        <v>45747</v>
      </c>
      <c r="B190" s="2" t="str">
        <f>"6905"</f>
        <v>6905</v>
      </c>
      <c r="C190" s="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D190" s="2" t="str">
        <f>""</f>
        <v/>
      </c>
      <c r="E190" s="2" t="str">
        <f>""</f>
        <v/>
      </c>
      <c r="F190" s="2" t="str">
        <f>""</f>
        <v/>
      </c>
      <c r="G190" s="3">
        <v>15016238534</v>
      </c>
    </row>
    <row r="191" spans="1:7" x14ac:dyDescent="0.25">
      <c r="A191" s="4">
        <v>45747</v>
      </c>
      <c r="B191" s="2" t="str">
        <f>"6999"</f>
        <v>6999</v>
      </c>
      <c r="C191" s="2" t="str">
        <f>"Позиция по сделкам с иностранной валютой"</f>
        <v>Позиция по сделкам с иностранной валютой</v>
      </c>
      <c r="D191" s="2" t="str">
        <f>""</f>
        <v/>
      </c>
      <c r="E191" s="2" t="str">
        <f>""</f>
        <v/>
      </c>
      <c r="F191" s="2" t="str">
        <f>""</f>
        <v/>
      </c>
      <c r="G191" s="3">
        <v>-1278079.3999999999</v>
      </c>
    </row>
    <row r="192" spans="1:7" x14ac:dyDescent="0.25">
      <c r="A192" s="4">
        <v>45747</v>
      </c>
      <c r="B192" s="2" t="str">
        <f>"7250"</f>
        <v>7250</v>
      </c>
      <c r="C192" s="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D192" s="2" t="str">
        <f>""</f>
        <v/>
      </c>
      <c r="E192" s="2" t="str">
        <f>""</f>
        <v/>
      </c>
      <c r="F192" s="2" t="str">
        <f>""</f>
        <v/>
      </c>
      <c r="G192" s="3">
        <v>25350680662</v>
      </c>
    </row>
    <row r="193" spans="1:7" x14ac:dyDescent="0.25">
      <c r="A193" s="4">
        <v>45747</v>
      </c>
      <c r="B193" s="2" t="str">
        <f>"7303"</f>
        <v>7303</v>
      </c>
      <c r="C193" s="2" t="str">
        <f>"Платежные документы, не оплаченные в срок"</f>
        <v>Платежные документы, не оплаченные в срок</v>
      </c>
      <c r="D193" s="2" t="str">
        <f>""</f>
        <v/>
      </c>
      <c r="E193" s="2" t="str">
        <f>""</f>
        <v/>
      </c>
      <c r="F193" s="2" t="str">
        <f>""</f>
        <v/>
      </c>
      <c r="G193" s="3">
        <v>10568543498.620001</v>
      </c>
    </row>
    <row r="194" spans="1:7" x14ac:dyDescent="0.25">
      <c r="A194" s="4">
        <v>45747</v>
      </c>
      <c r="B194" s="2" t="str">
        <f>"7339"</f>
        <v>7339</v>
      </c>
      <c r="C194" s="2" t="str">
        <f>"Разные ценности и документы"</f>
        <v>Разные ценности и документы</v>
      </c>
      <c r="D194" s="2" t="str">
        <f>""</f>
        <v/>
      </c>
      <c r="E194" s="2" t="str">
        <f>""</f>
        <v/>
      </c>
      <c r="F194" s="2" t="str">
        <f>""</f>
        <v/>
      </c>
      <c r="G194" s="3">
        <v>1359</v>
      </c>
    </row>
    <row r="197" spans="1:7" s="12" customFormat="1" x14ac:dyDescent="0.25">
      <c r="A197" s="8" t="s">
        <v>8</v>
      </c>
      <c r="B197" s="9"/>
      <c r="C197" s="10" t="s">
        <v>9</v>
      </c>
      <c r="D197" s="10"/>
      <c r="E197" s="9"/>
      <c r="F197" s="9"/>
      <c r="G197" s="11"/>
    </row>
    <row r="198" spans="1:7" s="12" customFormat="1" x14ac:dyDescent="0.25">
      <c r="A198" s="8" t="s">
        <v>10</v>
      </c>
      <c r="B198" s="9"/>
      <c r="C198" s="10" t="s">
        <v>11</v>
      </c>
      <c r="D198" s="10"/>
      <c r="E198" s="9"/>
      <c r="F198" s="9"/>
      <c r="G198" s="11"/>
    </row>
    <row r="199" spans="1:7" s="12" customFormat="1" x14ac:dyDescent="0.25">
      <c r="A199" s="8" t="s">
        <v>12</v>
      </c>
      <c r="B199" s="9"/>
      <c r="C199" s="10" t="s">
        <v>13</v>
      </c>
      <c r="D199" s="10"/>
      <c r="E199" s="9"/>
      <c r="F199" s="9"/>
      <c r="G199" s="11"/>
    </row>
    <row r="200" spans="1:7" s="12" customFormat="1" x14ac:dyDescent="0.25">
      <c r="A200" s="8" t="s">
        <v>14</v>
      </c>
      <c r="B200" s="9"/>
      <c r="C200" s="13" t="s">
        <v>15</v>
      </c>
      <c r="D200" s="10"/>
      <c r="E200" s="9"/>
      <c r="F200" s="9"/>
      <c r="G200" s="11"/>
    </row>
    <row r="201" spans="1:7" s="12" customFormat="1" x14ac:dyDescent="0.25">
      <c r="A201" s="8" t="s">
        <v>16</v>
      </c>
      <c r="B201" s="9"/>
      <c r="C201" s="10" t="s">
        <v>17</v>
      </c>
      <c r="D201" s="10"/>
      <c r="E201" s="10" t="s">
        <v>18</v>
      </c>
    </row>
    <row r="202" spans="1:7" s="12" customFormat="1" x14ac:dyDescent="0.25">
      <c r="A202" s="8" t="s">
        <v>19</v>
      </c>
      <c r="B202" s="9"/>
      <c r="C202" s="10" t="s">
        <v>20</v>
      </c>
      <c r="D202" s="10"/>
      <c r="E202" s="10" t="s">
        <v>21</v>
      </c>
    </row>
    <row r="203" spans="1:7" s="12" customFormat="1" x14ac:dyDescent="0.25">
      <c r="A203" s="8" t="s">
        <v>22</v>
      </c>
      <c r="B203" s="9"/>
      <c r="C203" s="10" t="s">
        <v>25</v>
      </c>
      <c r="D203" s="10"/>
      <c r="E203" s="10" t="s">
        <v>26</v>
      </c>
    </row>
    <row r="204" spans="1:7" s="12" customFormat="1" x14ac:dyDescent="0.25">
      <c r="A204" s="8" t="s">
        <v>23</v>
      </c>
      <c r="B204" s="9"/>
      <c r="C204" s="14"/>
      <c r="D204" s="14"/>
      <c r="E204" s="9"/>
      <c r="F204" s="9"/>
      <c r="G204" s="11"/>
    </row>
    <row r="205" spans="1:7" s="12" customFormat="1" x14ac:dyDescent="0.25">
      <c r="A205" s="8" t="s">
        <v>24</v>
      </c>
      <c r="B205" s="9"/>
      <c r="C205" s="15">
        <v>45749</v>
      </c>
      <c r="D205" s="15"/>
      <c r="E205" s="9"/>
      <c r="F205" s="9"/>
      <c r="G205" s="11"/>
    </row>
  </sheetData>
  <hyperlinks>
    <hyperlink ref="C20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VREP_700_ND_310325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Isayeva Toty</dc:creator>
  <cp:lastModifiedBy>isayeva.t</cp:lastModifiedBy>
  <dcterms:created xsi:type="dcterms:W3CDTF">2025-04-03T09:42:45Z</dcterms:created>
  <dcterms:modified xsi:type="dcterms:W3CDTF">2025-04-03T09:44:14Z</dcterms:modified>
</cp:coreProperties>
</file>