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reporting\KASE\IS2IN\2025\03-Mar\"/>
    </mc:Choice>
  </mc:AlternateContent>
  <xr:revisionPtr revIDLastSave="0" documentId="13_ncr:1_{5BD94A7B-A924-489D-8AAA-02FCCC58D8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700ND 31.03.202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5" l="1"/>
  <c r="E7" i="5"/>
  <c r="F7" i="5"/>
  <c r="G7" i="5"/>
  <c r="H7" i="5"/>
  <c r="D8" i="5"/>
  <c r="E8" i="5"/>
  <c r="F8" i="5"/>
  <c r="G8" i="5"/>
  <c r="H8" i="5"/>
  <c r="D9" i="5"/>
  <c r="E9" i="5"/>
  <c r="F9" i="5"/>
  <c r="G9" i="5"/>
  <c r="H9" i="5"/>
  <c r="D10" i="5"/>
  <c r="E10" i="5"/>
  <c r="F10" i="5"/>
  <c r="G10" i="5"/>
  <c r="H10" i="5"/>
  <c r="D11" i="5"/>
  <c r="E11" i="5"/>
  <c r="F11" i="5"/>
  <c r="G11" i="5"/>
  <c r="H11" i="5"/>
  <c r="D12" i="5"/>
  <c r="E12" i="5"/>
  <c r="F12" i="5"/>
  <c r="G12" i="5"/>
  <c r="H12" i="5"/>
  <c r="D13" i="5"/>
  <c r="E13" i="5"/>
  <c r="F13" i="5"/>
  <c r="G13" i="5"/>
  <c r="H13" i="5"/>
  <c r="D14" i="5"/>
  <c r="E14" i="5"/>
  <c r="F14" i="5"/>
  <c r="G14" i="5"/>
  <c r="H14" i="5"/>
  <c r="D15" i="5"/>
  <c r="E15" i="5"/>
  <c r="F15" i="5"/>
  <c r="G15" i="5"/>
  <c r="H15" i="5"/>
  <c r="D16" i="5"/>
  <c r="E16" i="5"/>
  <c r="F16" i="5"/>
  <c r="G16" i="5"/>
  <c r="H16" i="5"/>
  <c r="D17" i="5"/>
  <c r="E17" i="5"/>
  <c r="F17" i="5"/>
  <c r="G17" i="5"/>
  <c r="H17" i="5"/>
  <c r="D18" i="5"/>
  <c r="E18" i="5"/>
  <c r="F18" i="5"/>
  <c r="G18" i="5"/>
  <c r="H18" i="5"/>
  <c r="D19" i="5"/>
  <c r="E19" i="5"/>
  <c r="F19" i="5"/>
  <c r="G19" i="5"/>
  <c r="H19" i="5"/>
  <c r="D20" i="5"/>
  <c r="E20" i="5"/>
  <c r="F20" i="5"/>
  <c r="G20" i="5"/>
  <c r="H20" i="5"/>
  <c r="D21" i="5"/>
  <c r="E21" i="5"/>
  <c r="F21" i="5"/>
  <c r="G21" i="5"/>
  <c r="H21" i="5"/>
  <c r="D22" i="5"/>
  <c r="E22" i="5"/>
  <c r="F22" i="5"/>
  <c r="G22" i="5"/>
  <c r="H22" i="5"/>
  <c r="D23" i="5"/>
  <c r="E23" i="5"/>
  <c r="F23" i="5"/>
  <c r="G23" i="5"/>
  <c r="H23" i="5"/>
  <c r="D24" i="5"/>
  <c r="E24" i="5"/>
  <c r="F24" i="5"/>
  <c r="G24" i="5"/>
  <c r="H24" i="5"/>
  <c r="D25" i="5"/>
  <c r="E25" i="5"/>
  <c r="F25" i="5"/>
  <c r="G25" i="5"/>
  <c r="H25" i="5"/>
  <c r="D26" i="5"/>
  <c r="E26" i="5"/>
  <c r="F26" i="5"/>
  <c r="G26" i="5"/>
  <c r="H26" i="5"/>
  <c r="D27" i="5"/>
  <c r="E27" i="5"/>
  <c r="F27" i="5"/>
  <c r="G27" i="5"/>
  <c r="H27" i="5"/>
  <c r="D28" i="5"/>
  <c r="E28" i="5"/>
  <c r="F28" i="5"/>
  <c r="G28" i="5"/>
  <c r="H28" i="5"/>
  <c r="D29" i="5"/>
  <c r="E29" i="5"/>
  <c r="F29" i="5"/>
  <c r="G29" i="5"/>
  <c r="H29" i="5"/>
  <c r="D30" i="5"/>
  <c r="E30" i="5"/>
  <c r="F30" i="5"/>
  <c r="G30" i="5"/>
  <c r="H30" i="5"/>
  <c r="D31" i="5"/>
  <c r="E31" i="5"/>
  <c r="F31" i="5"/>
  <c r="G31" i="5"/>
  <c r="H31" i="5"/>
  <c r="D32" i="5"/>
  <c r="E32" i="5"/>
  <c r="F32" i="5"/>
  <c r="G32" i="5"/>
  <c r="H32" i="5"/>
  <c r="D33" i="5"/>
  <c r="E33" i="5"/>
  <c r="F33" i="5"/>
  <c r="G33" i="5"/>
  <c r="H33" i="5"/>
  <c r="D34" i="5"/>
  <c r="E34" i="5"/>
  <c r="F34" i="5"/>
  <c r="G34" i="5"/>
  <c r="H34" i="5"/>
  <c r="D35" i="5"/>
  <c r="E35" i="5"/>
  <c r="F35" i="5"/>
  <c r="G35" i="5"/>
  <c r="H35" i="5"/>
  <c r="D36" i="5"/>
  <c r="E36" i="5"/>
  <c r="F36" i="5"/>
  <c r="G36" i="5"/>
  <c r="H36" i="5"/>
  <c r="D37" i="5"/>
  <c r="E37" i="5"/>
  <c r="F37" i="5"/>
  <c r="G37" i="5"/>
  <c r="H37" i="5"/>
  <c r="D38" i="5"/>
  <c r="E38" i="5"/>
  <c r="F38" i="5"/>
  <c r="G38" i="5"/>
  <c r="H38" i="5"/>
  <c r="D39" i="5"/>
  <c r="E39" i="5"/>
  <c r="F39" i="5"/>
  <c r="G39" i="5"/>
  <c r="H39" i="5"/>
  <c r="D40" i="5"/>
  <c r="E40" i="5"/>
  <c r="F40" i="5"/>
  <c r="G40" i="5"/>
  <c r="H40" i="5"/>
  <c r="D41" i="5"/>
  <c r="E41" i="5"/>
  <c r="F41" i="5"/>
  <c r="G41" i="5"/>
  <c r="H41" i="5"/>
  <c r="D42" i="5"/>
  <c r="E42" i="5"/>
  <c r="F42" i="5"/>
  <c r="G42" i="5"/>
  <c r="H42" i="5"/>
  <c r="D43" i="5"/>
  <c r="E43" i="5"/>
  <c r="F43" i="5"/>
  <c r="G43" i="5"/>
  <c r="H43" i="5"/>
  <c r="D44" i="5"/>
  <c r="E44" i="5"/>
  <c r="F44" i="5"/>
  <c r="G44" i="5"/>
  <c r="H44" i="5"/>
  <c r="D45" i="5"/>
  <c r="E45" i="5"/>
  <c r="F45" i="5"/>
  <c r="G45" i="5"/>
  <c r="H45" i="5"/>
  <c r="D46" i="5"/>
  <c r="E46" i="5"/>
  <c r="F46" i="5"/>
  <c r="G46" i="5"/>
  <c r="H46" i="5"/>
  <c r="D47" i="5"/>
  <c r="E47" i="5"/>
  <c r="F47" i="5"/>
  <c r="G47" i="5"/>
  <c r="H47" i="5"/>
  <c r="D48" i="5"/>
  <c r="E48" i="5"/>
  <c r="F48" i="5"/>
  <c r="G48" i="5"/>
  <c r="H48" i="5"/>
  <c r="D49" i="5"/>
  <c r="E49" i="5"/>
  <c r="F49" i="5"/>
  <c r="G49" i="5"/>
  <c r="H49" i="5"/>
  <c r="D50" i="5"/>
  <c r="E50" i="5"/>
  <c r="F50" i="5"/>
  <c r="G50" i="5"/>
  <c r="H50" i="5"/>
  <c r="D51" i="5"/>
  <c r="E51" i="5"/>
  <c r="F51" i="5"/>
  <c r="G51" i="5"/>
  <c r="H51" i="5"/>
  <c r="D52" i="5"/>
  <c r="E52" i="5"/>
  <c r="F52" i="5"/>
  <c r="G52" i="5"/>
  <c r="H52" i="5"/>
  <c r="D53" i="5"/>
  <c r="E53" i="5"/>
  <c r="F53" i="5"/>
  <c r="G53" i="5"/>
  <c r="H53" i="5"/>
  <c r="D54" i="5"/>
  <c r="E54" i="5"/>
  <c r="F54" i="5"/>
  <c r="G54" i="5"/>
  <c r="H54" i="5"/>
  <c r="D55" i="5"/>
  <c r="E55" i="5"/>
  <c r="F55" i="5"/>
  <c r="G55" i="5"/>
  <c r="H55" i="5"/>
  <c r="D56" i="5"/>
  <c r="E56" i="5"/>
  <c r="F56" i="5"/>
  <c r="G56" i="5"/>
  <c r="H56" i="5"/>
  <c r="D57" i="5"/>
  <c r="E57" i="5"/>
  <c r="F57" i="5"/>
  <c r="G57" i="5"/>
  <c r="H57" i="5"/>
  <c r="D58" i="5"/>
  <c r="E58" i="5"/>
  <c r="F58" i="5"/>
  <c r="G58" i="5"/>
  <c r="H58" i="5"/>
  <c r="D59" i="5"/>
  <c r="E59" i="5"/>
  <c r="F59" i="5"/>
  <c r="G59" i="5"/>
  <c r="H59" i="5"/>
  <c r="D60" i="5"/>
  <c r="E60" i="5"/>
  <c r="F60" i="5"/>
  <c r="G60" i="5"/>
  <c r="H60" i="5"/>
  <c r="D61" i="5"/>
  <c r="E61" i="5"/>
  <c r="F61" i="5"/>
  <c r="G61" i="5"/>
  <c r="H61" i="5"/>
  <c r="D62" i="5"/>
  <c r="E62" i="5"/>
  <c r="F62" i="5"/>
  <c r="G62" i="5"/>
  <c r="H62" i="5"/>
  <c r="D63" i="5"/>
  <c r="E63" i="5"/>
  <c r="F63" i="5"/>
  <c r="G63" i="5"/>
  <c r="H63" i="5"/>
  <c r="D64" i="5"/>
  <c r="E64" i="5"/>
  <c r="F64" i="5"/>
  <c r="G64" i="5"/>
  <c r="H64" i="5"/>
  <c r="D65" i="5"/>
  <c r="E65" i="5"/>
  <c r="F65" i="5"/>
  <c r="G65" i="5"/>
  <c r="H65" i="5"/>
  <c r="D66" i="5"/>
  <c r="E66" i="5"/>
  <c r="F66" i="5"/>
  <c r="G66" i="5"/>
  <c r="H66" i="5"/>
  <c r="D67" i="5"/>
  <c r="E67" i="5"/>
  <c r="F67" i="5"/>
  <c r="G67" i="5"/>
  <c r="H67" i="5"/>
  <c r="D68" i="5"/>
  <c r="E68" i="5"/>
  <c r="F68" i="5"/>
  <c r="G68" i="5"/>
  <c r="H68" i="5"/>
  <c r="D69" i="5"/>
  <c r="E69" i="5"/>
  <c r="F69" i="5"/>
  <c r="G69" i="5"/>
  <c r="H69" i="5"/>
  <c r="D70" i="5"/>
  <c r="E70" i="5"/>
  <c r="F70" i="5"/>
  <c r="G70" i="5"/>
  <c r="H70" i="5"/>
  <c r="D71" i="5"/>
  <c r="E71" i="5"/>
  <c r="F71" i="5"/>
  <c r="G71" i="5"/>
  <c r="H71" i="5"/>
  <c r="D72" i="5"/>
  <c r="E72" i="5"/>
  <c r="F72" i="5"/>
  <c r="G72" i="5"/>
  <c r="H72" i="5"/>
  <c r="D73" i="5"/>
  <c r="E73" i="5"/>
  <c r="F73" i="5"/>
  <c r="G73" i="5"/>
  <c r="H73" i="5"/>
  <c r="D74" i="5"/>
  <c r="E74" i="5"/>
  <c r="F74" i="5"/>
  <c r="G74" i="5"/>
  <c r="H74" i="5"/>
  <c r="D75" i="5"/>
  <c r="E75" i="5"/>
  <c r="F75" i="5"/>
  <c r="G75" i="5"/>
  <c r="H75" i="5"/>
  <c r="D76" i="5"/>
  <c r="E76" i="5"/>
  <c r="F76" i="5"/>
  <c r="G76" i="5"/>
  <c r="H76" i="5"/>
  <c r="D77" i="5"/>
  <c r="E77" i="5"/>
  <c r="F77" i="5"/>
  <c r="G77" i="5"/>
  <c r="H77" i="5"/>
  <c r="D78" i="5"/>
  <c r="E78" i="5"/>
  <c r="F78" i="5"/>
  <c r="G78" i="5"/>
  <c r="H78" i="5"/>
  <c r="D79" i="5"/>
  <c r="E79" i="5"/>
  <c r="F79" i="5"/>
  <c r="G79" i="5"/>
  <c r="H79" i="5"/>
  <c r="D80" i="5"/>
  <c r="E80" i="5"/>
  <c r="F80" i="5"/>
  <c r="G80" i="5"/>
  <c r="H80" i="5"/>
  <c r="D81" i="5"/>
  <c r="E81" i="5"/>
  <c r="F81" i="5"/>
  <c r="G81" i="5"/>
  <c r="H81" i="5"/>
  <c r="D82" i="5"/>
  <c r="E82" i="5"/>
  <c r="F82" i="5"/>
  <c r="G82" i="5"/>
  <c r="H82" i="5"/>
  <c r="D83" i="5"/>
  <c r="E83" i="5"/>
  <c r="F83" i="5"/>
  <c r="G83" i="5"/>
  <c r="H83" i="5"/>
  <c r="D84" i="5"/>
  <c r="E84" i="5"/>
  <c r="F84" i="5"/>
  <c r="G84" i="5"/>
  <c r="H84" i="5"/>
  <c r="D85" i="5"/>
  <c r="E85" i="5"/>
  <c r="F85" i="5"/>
  <c r="G85" i="5"/>
  <c r="H85" i="5"/>
  <c r="D86" i="5"/>
  <c r="E86" i="5"/>
  <c r="F86" i="5"/>
  <c r="G86" i="5"/>
  <c r="H86" i="5"/>
  <c r="D87" i="5"/>
  <c r="E87" i="5"/>
  <c r="F87" i="5"/>
  <c r="G87" i="5"/>
  <c r="H87" i="5"/>
  <c r="D88" i="5"/>
  <c r="E88" i="5"/>
  <c r="F88" i="5"/>
  <c r="G88" i="5"/>
  <c r="H88" i="5"/>
  <c r="D89" i="5"/>
  <c r="E89" i="5"/>
  <c r="F89" i="5"/>
  <c r="G89" i="5"/>
  <c r="H89" i="5"/>
  <c r="D90" i="5"/>
  <c r="E90" i="5"/>
  <c r="F90" i="5"/>
  <c r="G90" i="5"/>
  <c r="H90" i="5"/>
  <c r="D91" i="5"/>
  <c r="E91" i="5"/>
  <c r="F91" i="5"/>
  <c r="G91" i="5"/>
  <c r="H91" i="5"/>
  <c r="D92" i="5"/>
  <c r="E92" i="5"/>
  <c r="F92" i="5"/>
  <c r="G92" i="5"/>
  <c r="H92" i="5"/>
  <c r="D93" i="5"/>
  <c r="E93" i="5"/>
  <c r="F93" i="5"/>
  <c r="G93" i="5"/>
  <c r="H93" i="5"/>
  <c r="D94" i="5"/>
  <c r="E94" i="5"/>
  <c r="F94" i="5"/>
  <c r="G94" i="5"/>
  <c r="H94" i="5"/>
  <c r="D95" i="5"/>
  <c r="E95" i="5"/>
  <c r="F95" i="5"/>
  <c r="G95" i="5"/>
  <c r="H95" i="5"/>
  <c r="D96" i="5"/>
  <c r="E96" i="5"/>
  <c r="F96" i="5"/>
  <c r="G96" i="5"/>
  <c r="H96" i="5"/>
  <c r="D97" i="5"/>
  <c r="E97" i="5"/>
  <c r="F97" i="5"/>
  <c r="G97" i="5"/>
  <c r="H97" i="5"/>
  <c r="D98" i="5"/>
  <c r="E98" i="5"/>
  <c r="F98" i="5"/>
  <c r="G98" i="5"/>
  <c r="H98" i="5"/>
  <c r="D99" i="5"/>
  <c r="E99" i="5"/>
  <c r="F99" i="5"/>
  <c r="G99" i="5"/>
  <c r="H99" i="5"/>
  <c r="D100" i="5"/>
  <c r="E100" i="5"/>
  <c r="F100" i="5"/>
  <c r="G100" i="5"/>
  <c r="H100" i="5"/>
  <c r="D101" i="5"/>
  <c r="E101" i="5"/>
  <c r="F101" i="5"/>
  <c r="G101" i="5"/>
  <c r="H101" i="5"/>
  <c r="D102" i="5"/>
  <c r="E102" i="5"/>
  <c r="F102" i="5"/>
  <c r="G102" i="5"/>
  <c r="H102" i="5"/>
  <c r="D103" i="5"/>
  <c r="E103" i="5"/>
  <c r="F103" i="5"/>
  <c r="G103" i="5"/>
  <c r="H103" i="5"/>
  <c r="D104" i="5"/>
  <c r="E104" i="5"/>
  <c r="F104" i="5"/>
  <c r="G104" i="5"/>
  <c r="H104" i="5"/>
  <c r="D105" i="5"/>
  <c r="E105" i="5"/>
  <c r="F105" i="5"/>
  <c r="G105" i="5"/>
  <c r="H105" i="5"/>
  <c r="D106" i="5"/>
  <c r="E106" i="5"/>
  <c r="F106" i="5"/>
  <c r="G106" i="5"/>
  <c r="H106" i="5"/>
  <c r="D107" i="5"/>
  <c r="E107" i="5"/>
  <c r="F107" i="5"/>
  <c r="G107" i="5"/>
  <c r="H107" i="5"/>
  <c r="D108" i="5"/>
  <c r="E108" i="5"/>
  <c r="F108" i="5"/>
  <c r="G108" i="5"/>
  <c r="H108" i="5"/>
  <c r="D109" i="5"/>
  <c r="E109" i="5"/>
  <c r="F109" i="5"/>
  <c r="G109" i="5"/>
  <c r="H109" i="5"/>
  <c r="D110" i="5"/>
  <c r="E110" i="5"/>
  <c r="F110" i="5"/>
  <c r="G110" i="5"/>
  <c r="H110" i="5"/>
  <c r="D111" i="5"/>
  <c r="E111" i="5"/>
  <c r="F111" i="5"/>
  <c r="G111" i="5"/>
  <c r="H111" i="5"/>
  <c r="D112" i="5"/>
  <c r="E112" i="5"/>
  <c r="F112" i="5"/>
  <c r="G112" i="5"/>
  <c r="H112" i="5"/>
  <c r="D113" i="5"/>
  <c r="E113" i="5"/>
  <c r="F113" i="5"/>
  <c r="G113" i="5"/>
  <c r="H113" i="5"/>
  <c r="D114" i="5"/>
  <c r="E114" i="5"/>
  <c r="F114" i="5"/>
  <c r="G114" i="5"/>
  <c r="H114" i="5"/>
  <c r="D115" i="5"/>
  <c r="E115" i="5"/>
  <c r="F115" i="5"/>
  <c r="G115" i="5"/>
  <c r="H115" i="5"/>
  <c r="D116" i="5"/>
  <c r="E116" i="5"/>
  <c r="F116" i="5"/>
  <c r="G116" i="5"/>
  <c r="H116" i="5"/>
  <c r="D117" i="5"/>
  <c r="E117" i="5"/>
  <c r="F117" i="5"/>
  <c r="G117" i="5"/>
  <c r="H117" i="5"/>
  <c r="D118" i="5"/>
  <c r="E118" i="5"/>
  <c r="F118" i="5"/>
  <c r="G118" i="5"/>
  <c r="H118" i="5"/>
  <c r="D119" i="5"/>
  <c r="E119" i="5"/>
  <c r="F119" i="5"/>
  <c r="G119" i="5"/>
  <c r="H119" i="5"/>
  <c r="D120" i="5"/>
  <c r="E120" i="5"/>
  <c r="F120" i="5"/>
  <c r="G120" i="5"/>
  <c r="H120" i="5"/>
  <c r="D121" i="5"/>
  <c r="E121" i="5"/>
  <c r="F121" i="5"/>
  <c r="G121" i="5"/>
  <c r="H121" i="5"/>
  <c r="D122" i="5"/>
  <c r="E122" i="5"/>
  <c r="F122" i="5"/>
  <c r="G122" i="5"/>
  <c r="H122" i="5"/>
  <c r="D123" i="5"/>
  <c r="E123" i="5"/>
  <c r="F123" i="5"/>
  <c r="G123" i="5"/>
  <c r="H123" i="5"/>
  <c r="D124" i="5"/>
  <c r="E124" i="5"/>
  <c r="F124" i="5"/>
  <c r="G124" i="5"/>
  <c r="H124" i="5"/>
  <c r="D125" i="5"/>
  <c r="E125" i="5"/>
  <c r="F125" i="5"/>
  <c r="G125" i="5"/>
  <c r="H125" i="5"/>
  <c r="D126" i="5"/>
  <c r="E126" i="5"/>
  <c r="F126" i="5"/>
  <c r="G126" i="5"/>
  <c r="H126" i="5"/>
  <c r="D127" i="5"/>
  <c r="E127" i="5"/>
  <c r="F127" i="5"/>
  <c r="G127" i="5"/>
  <c r="H127" i="5"/>
  <c r="D128" i="5"/>
  <c r="E128" i="5"/>
  <c r="F128" i="5"/>
  <c r="G128" i="5"/>
  <c r="H128" i="5"/>
  <c r="D129" i="5"/>
  <c r="E129" i="5"/>
  <c r="F129" i="5"/>
  <c r="G129" i="5"/>
  <c r="H129" i="5"/>
  <c r="D130" i="5"/>
  <c r="E130" i="5"/>
  <c r="F130" i="5"/>
  <c r="G130" i="5"/>
  <c r="H130" i="5"/>
  <c r="D131" i="5"/>
  <c r="E131" i="5"/>
  <c r="F131" i="5"/>
  <c r="G131" i="5"/>
  <c r="H131" i="5"/>
  <c r="D132" i="5"/>
  <c r="E132" i="5"/>
  <c r="F132" i="5"/>
  <c r="G132" i="5"/>
  <c r="H132" i="5"/>
  <c r="D133" i="5"/>
  <c r="E133" i="5"/>
  <c r="F133" i="5"/>
  <c r="G133" i="5"/>
  <c r="H133" i="5"/>
  <c r="D134" i="5"/>
  <c r="E134" i="5"/>
  <c r="F134" i="5"/>
  <c r="G134" i="5"/>
  <c r="H134" i="5"/>
  <c r="D135" i="5"/>
  <c r="E135" i="5"/>
  <c r="F135" i="5"/>
  <c r="G135" i="5"/>
  <c r="H135" i="5"/>
  <c r="D136" i="5"/>
  <c r="E136" i="5"/>
  <c r="F136" i="5"/>
  <c r="G136" i="5"/>
  <c r="H136" i="5"/>
  <c r="D137" i="5"/>
  <c r="E137" i="5"/>
  <c r="F137" i="5"/>
  <c r="G137" i="5"/>
  <c r="H137" i="5"/>
  <c r="D138" i="5"/>
  <c r="E138" i="5"/>
  <c r="F138" i="5"/>
  <c r="G138" i="5"/>
  <c r="H138" i="5"/>
  <c r="D139" i="5"/>
  <c r="E139" i="5"/>
  <c r="F139" i="5"/>
  <c r="G139" i="5"/>
  <c r="H139" i="5"/>
  <c r="D140" i="5"/>
  <c r="E140" i="5"/>
  <c r="F140" i="5"/>
  <c r="G140" i="5"/>
  <c r="H140" i="5"/>
  <c r="D141" i="5"/>
  <c r="E141" i="5"/>
  <c r="F141" i="5"/>
  <c r="G141" i="5"/>
  <c r="H141" i="5"/>
  <c r="D142" i="5"/>
  <c r="E142" i="5"/>
  <c r="F142" i="5"/>
  <c r="G142" i="5"/>
  <c r="H142" i="5"/>
  <c r="D143" i="5"/>
  <c r="E143" i="5"/>
  <c r="F143" i="5"/>
  <c r="G143" i="5"/>
  <c r="H143" i="5"/>
  <c r="D144" i="5"/>
  <c r="E144" i="5"/>
  <c r="F144" i="5"/>
  <c r="G144" i="5"/>
  <c r="H144" i="5"/>
  <c r="D145" i="5"/>
  <c r="E145" i="5"/>
  <c r="F145" i="5"/>
  <c r="G145" i="5"/>
  <c r="H145" i="5"/>
  <c r="D146" i="5"/>
  <c r="E146" i="5"/>
  <c r="F146" i="5"/>
  <c r="G146" i="5"/>
  <c r="H146" i="5"/>
  <c r="D147" i="5"/>
  <c r="E147" i="5"/>
  <c r="F147" i="5"/>
  <c r="G147" i="5"/>
  <c r="H147" i="5"/>
  <c r="D148" i="5"/>
  <c r="E148" i="5"/>
  <c r="F148" i="5"/>
  <c r="G148" i="5"/>
  <c r="H148" i="5"/>
  <c r="D149" i="5"/>
  <c r="E149" i="5"/>
  <c r="F149" i="5"/>
  <c r="G149" i="5"/>
  <c r="H149" i="5"/>
  <c r="D150" i="5"/>
  <c r="E150" i="5"/>
  <c r="F150" i="5"/>
  <c r="G150" i="5"/>
  <c r="H150" i="5"/>
  <c r="D151" i="5"/>
  <c r="E151" i="5"/>
  <c r="F151" i="5"/>
  <c r="G151" i="5"/>
  <c r="H151" i="5"/>
  <c r="D152" i="5"/>
  <c r="E152" i="5"/>
  <c r="F152" i="5"/>
  <c r="G152" i="5"/>
  <c r="H152" i="5"/>
  <c r="D153" i="5"/>
  <c r="E153" i="5"/>
  <c r="F153" i="5"/>
  <c r="G153" i="5"/>
  <c r="H153" i="5"/>
  <c r="D154" i="5"/>
  <c r="E154" i="5"/>
  <c r="F154" i="5"/>
  <c r="G154" i="5"/>
  <c r="H154" i="5"/>
  <c r="D155" i="5"/>
  <c r="E155" i="5"/>
  <c r="F155" i="5"/>
  <c r="G155" i="5"/>
  <c r="H155" i="5"/>
  <c r="D156" i="5"/>
  <c r="E156" i="5"/>
  <c r="F156" i="5"/>
  <c r="G156" i="5"/>
  <c r="H156" i="5"/>
  <c r="D157" i="5"/>
  <c r="E157" i="5"/>
  <c r="F157" i="5"/>
  <c r="G157" i="5"/>
  <c r="H157" i="5"/>
  <c r="D158" i="5"/>
  <c r="E158" i="5"/>
  <c r="F158" i="5"/>
  <c r="G158" i="5"/>
  <c r="H158" i="5"/>
  <c r="D159" i="5"/>
  <c r="E159" i="5"/>
  <c r="F159" i="5"/>
  <c r="G159" i="5"/>
  <c r="H159" i="5"/>
  <c r="D160" i="5"/>
  <c r="E160" i="5"/>
  <c r="F160" i="5"/>
  <c r="G160" i="5"/>
  <c r="H160" i="5"/>
  <c r="D161" i="5"/>
  <c r="E161" i="5"/>
  <c r="F161" i="5"/>
  <c r="G161" i="5"/>
  <c r="H161" i="5"/>
  <c r="D162" i="5"/>
  <c r="E162" i="5"/>
  <c r="F162" i="5"/>
  <c r="G162" i="5"/>
  <c r="H162" i="5"/>
  <c r="D163" i="5"/>
  <c r="E163" i="5"/>
  <c r="F163" i="5"/>
  <c r="G163" i="5"/>
  <c r="H163" i="5"/>
  <c r="D164" i="5"/>
  <c r="E164" i="5"/>
  <c r="F164" i="5"/>
  <c r="G164" i="5"/>
  <c r="H164" i="5"/>
  <c r="D165" i="5"/>
  <c r="E165" i="5"/>
  <c r="F165" i="5"/>
  <c r="G165" i="5"/>
  <c r="H165" i="5"/>
  <c r="D166" i="5"/>
  <c r="E166" i="5"/>
  <c r="F166" i="5"/>
  <c r="G166" i="5"/>
  <c r="H166" i="5"/>
  <c r="D167" i="5"/>
  <c r="E167" i="5"/>
  <c r="F167" i="5"/>
  <c r="G167" i="5"/>
  <c r="H167" i="5"/>
  <c r="D168" i="5"/>
  <c r="E168" i="5"/>
  <c r="F168" i="5"/>
  <c r="G168" i="5"/>
  <c r="H168" i="5"/>
  <c r="D169" i="5"/>
  <c r="E169" i="5"/>
  <c r="F169" i="5"/>
  <c r="G169" i="5"/>
  <c r="H169" i="5"/>
  <c r="D170" i="5"/>
  <c r="E170" i="5"/>
  <c r="F170" i="5"/>
  <c r="G170" i="5"/>
  <c r="H170" i="5"/>
  <c r="D171" i="5"/>
  <c r="E171" i="5"/>
  <c r="F171" i="5"/>
  <c r="G171" i="5"/>
  <c r="H171" i="5"/>
  <c r="D172" i="5"/>
  <c r="E172" i="5"/>
  <c r="F172" i="5"/>
  <c r="G172" i="5"/>
  <c r="H172" i="5"/>
  <c r="D173" i="5"/>
  <c r="E173" i="5"/>
  <c r="F173" i="5"/>
  <c r="G173" i="5"/>
  <c r="H173" i="5"/>
  <c r="D174" i="5"/>
  <c r="E174" i="5"/>
  <c r="F174" i="5"/>
  <c r="G174" i="5"/>
  <c r="H174" i="5"/>
  <c r="D175" i="5"/>
  <c r="E175" i="5"/>
  <c r="F175" i="5"/>
  <c r="G175" i="5"/>
  <c r="H175" i="5"/>
  <c r="D176" i="5"/>
  <c r="E176" i="5"/>
  <c r="F176" i="5"/>
  <c r="G176" i="5"/>
  <c r="H176" i="5"/>
  <c r="D177" i="5"/>
  <c r="E177" i="5"/>
  <c r="F177" i="5"/>
  <c r="G177" i="5"/>
  <c r="H177" i="5"/>
  <c r="D178" i="5"/>
  <c r="E178" i="5"/>
  <c r="F178" i="5"/>
  <c r="G178" i="5"/>
  <c r="H178" i="5"/>
  <c r="D179" i="5"/>
  <c r="E179" i="5"/>
  <c r="F179" i="5"/>
  <c r="G179" i="5"/>
  <c r="H179" i="5"/>
  <c r="D180" i="5"/>
  <c r="E180" i="5"/>
  <c r="F180" i="5"/>
  <c r="G180" i="5"/>
  <c r="H180" i="5"/>
  <c r="D181" i="5"/>
  <c r="E181" i="5"/>
  <c r="F181" i="5"/>
  <c r="G181" i="5"/>
  <c r="H181" i="5"/>
  <c r="D182" i="5"/>
  <c r="E182" i="5"/>
  <c r="F182" i="5"/>
  <c r="G182" i="5"/>
  <c r="H182" i="5"/>
  <c r="D183" i="5"/>
  <c r="E183" i="5"/>
  <c r="F183" i="5"/>
  <c r="G183" i="5"/>
  <c r="H183" i="5"/>
  <c r="D184" i="5"/>
  <c r="E184" i="5"/>
  <c r="F184" i="5"/>
  <c r="G184" i="5"/>
  <c r="H184" i="5"/>
  <c r="D185" i="5"/>
  <c r="E185" i="5"/>
  <c r="F185" i="5"/>
  <c r="G185" i="5"/>
  <c r="H185" i="5"/>
  <c r="D186" i="5"/>
  <c r="E186" i="5"/>
  <c r="F186" i="5"/>
  <c r="G186" i="5"/>
  <c r="H186" i="5"/>
  <c r="D187" i="5"/>
  <c r="E187" i="5"/>
  <c r="F187" i="5"/>
  <c r="G187" i="5"/>
  <c r="H187" i="5"/>
  <c r="D188" i="5"/>
  <c r="E188" i="5"/>
  <c r="F188" i="5"/>
  <c r="G188" i="5"/>
  <c r="H188" i="5"/>
  <c r="D189" i="5"/>
  <c r="E189" i="5"/>
  <c r="F189" i="5"/>
  <c r="G189" i="5"/>
  <c r="H189" i="5"/>
  <c r="D190" i="5"/>
  <c r="E190" i="5"/>
  <c r="F190" i="5"/>
  <c r="G190" i="5"/>
  <c r="H190" i="5"/>
  <c r="D191" i="5"/>
  <c r="E191" i="5"/>
  <c r="F191" i="5"/>
  <c r="G191" i="5"/>
  <c r="H191" i="5"/>
  <c r="D192" i="5"/>
  <c r="E192" i="5"/>
  <c r="F192" i="5"/>
  <c r="G192" i="5"/>
  <c r="H192" i="5"/>
  <c r="D193" i="5"/>
  <c r="E193" i="5"/>
  <c r="F193" i="5"/>
  <c r="G193" i="5"/>
  <c r="H193" i="5"/>
  <c r="D194" i="5"/>
  <c r="E194" i="5"/>
  <c r="F194" i="5"/>
  <c r="G194" i="5"/>
  <c r="H194" i="5"/>
  <c r="D195" i="5"/>
  <c r="E195" i="5"/>
  <c r="F195" i="5"/>
  <c r="G195" i="5"/>
  <c r="H195" i="5"/>
  <c r="D196" i="5"/>
  <c r="E196" i="5"/>
  <c r="F196" i="5"/>
  <c r="G196" i="5"/>
  <c r="H196" i="5"/>
  <c r="D197" i="5"/>
  <c r="E197" i="5"/>
  <c r="F197" i="5"/>
  <c r="G197" i="5"/>
  <c r="H197" i="5"/>
  <c r="D198" i="5"/>
  <c r="E198" i="5"/>
  <c r="F198" i="5"/>
  <c r="G198" i="5"/>
  <c r="H198" i="5"/>
  <c r="D199" i="5"/>
  <c r="E199" i="5"/>
  <c r="F199" i="5"/>
  <c r="G199" i="5"/>
  <c r="H199" i="5"/>
  <c r="D200" i="5"/>
  <c r="E200" i="5"/>
  <c r="F200" i="5"/>
  <c r="G200" i="5"/>
  <c r="H200" i="5"/>
  <c r="D201" i="5"/>
  <c r="E201" i="5"/>
  <c r="F201" i="5"/>
  <c r="G201" i="5"/>
  <c r="H201" i="5"/>
  <c r="D202" i="5"/>
  <c r="E202" i="5"/>
  <c r="F202" i="5"/>
  <c r="G202" i="5"/>
  <c r="H202" i="5"/>
  <c r="D203" i="5"/>
  <c r="E203" i="5"/>
  <c r="F203" i="5"/>
  <c r="G203" i="5"/>
  <c r="H203" i="5"/>
  <c r="D204" i="5"/>
  <c r="E204" i="5"/>
  <c r="F204" i="5"/>
  <c r="G204" i="5"/>
  <c r="H204" i="5"/>
  <c r="D205" i="5"/>
  <c r="E205" i="5"/>
  <c r="F205" i="5"/>
  <c r="G205" i="5"/>
  <c r="H205" i="5"/>
  <c r="D206" i="5"/>
  <c r="E206" i="5"/>
  <c r="F206" i="5"/>
  <c r="G206" i="5"/>
  <c r="H206" i="5"/>
  <c r="D207" i="5"/>
  <c r="E207" i="5"/>
  <c r="F207" i="5"/>
  <c r="G207" i="5"/>
  <c r="H207" i="5"/>
  <c r="D208" i="5"/>
  <c r="E208" i="5"/>
  <c r="F208" i="5"/>
  <c r="G208" i="5"/>
  <c r="H208" i="5"/>
  <c r="D209" i="5"/>
  <c r="E209" i="5"/>
  <c r="F209" i="5"/>
  <c r="G209" i="5"/>
  <c r="H209" i="5"/>
  <c r="D210" i="5"/>
  <c r="E210" i="5"/>
  <c r="F210" i="5"/>
  <c r="G210" i="5"/>
  <c r="H210" i="5"/>
  <c r="D211" i="5"/>
  <c r="E211" i="5"/>
  <c r="F211" i="5"/>
  <c r="G211" i="5"/>
  <c r="H211" i="5"/>
  <c r="D212" i="5"/>
  <c r="E212" i="5"/>
  <c r="F212" i="5"/>
  <c r="G212" i="5"/>
  <c r="H212" i="5"/>
  <c r="D213" i="5"/>
  <c r="E213" i="5"/>
  <c r="F213" i="5"/>
  <c r="G213" i="5"/>
  <c r="H213" i="5"/>
  <c r="D214" i="5"/>
  <c r="E214" i="5"/>
  <c r="F214" i="5"/>
  <c r="G214" i="5"/>
  <c r="H214" i="5"/>
  <c r="D215" i="5"/>
  <c r="E215" i="5"/>
  <c r="F215" i="5"/>
  <c r="G215" i="5"/>
  <c r="H215" i="5"/>
  <c r="D216" i="5"/>
  <c r="E216" i="5"/>
  <c r="F216" i="5"/>
  <c r="G216" i="5"/>
  <c r="H216" i="5"/>
  <c r="D217" i="5"/>
  <c r="E217" i="5"/>
  <c r="F217" i="5"/>
  <c r="G217" i="5"/>
  <c r="H217" i="5"/>
  <c r="D218" i="5"/>
  <c r="E218" i="5"/>
  <c r="F218" i="5"/>
  <c r="G218" i="5"/>
  <c r="H218" i="5"/>
  <c r="D219" i="5"/>
  <c r="E219" i="5"/>
  <c r="F219" i="5"/>
  <c r="G219" i="5"/>
  <c r="H219" i="5"/>
  <c r="D220" i="5"/>
  <c r="E220" i="5"/>
  <c r="F220" i="5"/>
  <c r="G220" i="5"/>
  <c r="H220" i="5"/>
  <c r="D221" i="5"/>
  <c r="E221" i="5"/>
  <c r="F221" i="5"/>
  <c r="G221" i="5"/>
  <c r="H221" i="5"/>
  <c r="D222" i="5"/>
  <c r="E222" i="5"/>
  <c r="F222" i="5"/>
  <c r="G222" i="5"/>
  <c r="H222" i="5"/>
  <c r="D223" i="5"/>
  <c r="E223" i="5"/>
  <c r="F223" i="5"/>
  <c r="G223" i="5"/>
  <c r="H223" i="5"/>
  <c r="D224" i="5"/>
  <c r="E224" i="5"/>
  <c r="F224" i="5"/>
  <c r="G224" i="5"/>
  <c r="H224" i="5"/>
  <c r="D225" i="5"/>
  <c r="E225" i="5"/>
  <c r="F225" i="5"/>
  <c r="G225" i="5"/>
  <c r="H225" i="5"/>
  <c r="D226" i="5"/>
  <c r="E226" i="5"/>
  <c r="F226" i="5"/>
  <c r="G226" i="5"/>
  <c r="H226" i="5"/>
  <c r="D227" i="5"/>
  <c r="E227" i="5"/>
  <c r="F227" i="5"/>
  <c r="G227" i="5"/>
  <c r="H227" i="5"/>
  <c r="D228" i="5"/>
  <c r="E228" i="5"/>
  <c r="F228" i="5"/>
  <c r="G228" i="5"/>
  <c r="H228" i="5"/>
  <c r="D229" i="5"/>
  <c r="E229" i="5"/>
  <c r="F229" i="5"/>
  <c r="G229" i="5"/>
  <c r="H229" i="5"/>
  <c r="D230" i="5"/>
  <c r="E230" i="5"/>
  <c r="F230" i="5"/>
  <c r="G230" i="5"/>
  <c r="H230" i="5"/>
  <c r="D231" i="5"/>
  <c r="E231" i="5"/>
  <c r="F231" i="5"/>
  <c r="G231" i="5"/>
  <c r="H231" i="5"/>
  <c r="D232" i="5"/>
  <c r="E232" i="5"/>
  <c r="F232" i="5"/>
  <c r="G232" i="5"/>
  <c r="H232" i="5"/>
  <c r="D233" i="5"/>
  <c r="E233" i="5"/>
  <c r="F233" i="5"/>
  <c r="G233" i="5"/>
  <c r="H233" i="5"/>
  <c r="D234" i="5"/>
  <c r="E234" i="5"/>
  <c r="F234" i="5"/>
  <c r="G234" i="5"/>
  <c r="H234" i="5"/>
  <c r="D235" i="5"/>
  <c r="E235" i="5"/>
  <c r="F235" i="5"/>
  <c r="G235" i="5"/>
  <c r="H235" i="5"/>
  <c r="D236" i="5"/>
  <c r="E236" i="5"/>
  <c r="F236" i="5"/>
  <c r="G236" i="5"/>
  <c r="H236" i="5"/>
  <c r="D237" i="5"/>
  <c r="E237" i="5"/>
  <c r="F237" i="5"/>
  <c r="G237" i="5"/>
  <c r="H237" i="5"/>
  <c r="D238" i="5"/>
  <c r="E238" i="5"/>
  <c r="F238" i="5"/>
  <c r="G238" i="5"/>
  <c r="H238" i="5"/>
  <c r="D239" i="5"/>
  <c r="E239" i="5"/>
  <c r="F239" i="5"/>
  <c r="G239" i="5"/>
  <c r="H239" i="5"/>
  <c r="D240" i="5"/>
  <c r="E240" i="5"/>
  <c r="F240" i="5"/>
  <c r="G240" i="5"/>
  <c r="H240" i="5"/>
  <c r="D241" i="5"/>
  <c r="E241" i="5"/>
  <c r="F241" i="5"/>
  <c r="G241" i="5"/>
  <c r="H241" i="5"/>
  <c r="D242" i="5"/>
  <c r="E242" i="5"/>
  <c r="F242" i="5"/>
  <c r="G242" i="5"/>
  <c r="H242" i="5"/>
  <c r="D243" i="5"/>
  <c r="E243" i="5"/>
  <c r="F243" i="5"/>
  <c r="G243" i="5"/>
  <c r="H243" i="5"/>
  <c r="D244" i="5"/>
  <c r="E244" i="5"/>
  <c r="F244" i="5"/>
  <c r="G244" i="5"/>
  <c r="H244" i="5"/>
  <c r="D245" i="5"/>
  <c r="E245" i="5"/>
  <c r="F245" i="5"/>
  <c r="G245" i="5"/>
  <c r="H245" i="5"/>
  <c r="D246" i="5"/>
  <c r="E246" i="5"/>
  <c r="F246" i="5"/>
  <c r="G246" i="5"/>
  <c r="H246" i="5"/>
  <c r="D247" i="5"/>
  <c r="E247" i="5"/>
  <c r="F247" i="5"/>
  <c r="G247" i="5"/>
  <c r="H247" i="5"/>
  <c r="D248" i="5"/>
  <c r="E248" i="5"/>
  <c r="F248" i="5"/>
  <c r="G248" i="5"/>
  <c r="H248" i="5"/>
  <c r="D249" i="5"/>
  <c r="E249" i="5"/>
  <c r="F249" i="5"/>
  <c r="G249" i="5"/>
  <c r="H249" i="5"/>
  <c r="D250" i="5"/>
  <c r="E250" i="5"/>
  <c r="F250" i="5"/>
  <c r="G250" i="5"/>
  <c r="H250" i="5"/>
  <c r="D251" i="5"/>
  <c r="E251" i="5"/>
  <c r="F251" i="5"/>
  <c r="G251" i="5"/>
  <c r="H251" i="5"/>
  <c r="D252" i="5"/>
  <c r="E252" i="5"/>
  <c r="F252" i="5"/>
  <c r="G252" i="5"/>
  <c r="H252" i="5"/>
  <c r="D253" i="5"/>
  <c r="E253" i="5"/>
  <c r="F253" i="5"/>
  <c r="G253" i="5"/>
  <c r="H253" i="5"/>
  <c r="D254" i="5"/>
  <c r="E254" i="5"/>
  <c r="F254" i="5"/>
  <c r="G254" i="5"/>
  <c r="H254" i="5"/>
  <c r="D255" i="5"/>
  <c r="E255" i="5"/>
  <c r="F255" i="5"/>
  <c r="G255" i="5"/>
  <c r="H255" i="5"/>
  <c r="D256" i="5"/>
  <c r="E256" i="5"/>
  <c r="F256" i="5"/>
  <c r="G256" i="5"/>
  <c r="H256" i="5"/>
  <c r="D257" i="5"/>
  <c r="E257" i="5"/>
  <c r="F257" i="5"/>
  <c r="G257" i="5"/>
  <c r="H257" i="5"/>
  <c r="D258" i="5"/>
  <c r="E258" i="5"/>
  <c r="F258" i="5"/>
  <c r="G258" i="5"/>
  <c r="H258" i="5"/>
  <c r="D259" i="5"/>
  <c r="E259" i="5"/>
  <c r="F259" i="5"/>
  <c r="G259" i="5"/>
  <c r="H259" i="5"/>
  <c r="D260" i="5"/>
  <c r="E260" i="5"/>
  <c r="F260" i="5"/>
  <c r="G260" i="5"/>
  <c r="H260" i="5"/>
  <c r="D261" i="5"/>
  <c r="E261" i="5"/>
  <c r="F261" i="5"/>
  <c r="G261" i="5"/>
  <c r="H261" i="5"/>
  <c r="D262" i="5"/>
  <c r="E262" i="5"/>
  <c r="F262" i="5"/>
  <c r="G262" i="5"/>
  <c r="H262" i="5"/>
  <c r="D263" i="5"/>
  <c r="E263" i="5"/>
  <c r="F263" i="5"/>
  <c r="G263" i="5"/>
  <c r="H263" i="5"/>
  <c r="D264" i="5"/>
  <c r="E264" i="5"/>
  <c r="F264" i="5"/>
  <c r="G264" i="5"/>
  <c r="H264" i="5"/>
  <c r="D265" i="5"/>
  <c r="E265" i="5"/>
  <c r="F265" i="5"/>
  <c r="G265" i="5"/>
  <c r="H265" i="5"/>
  <c r="D266" i="5"/>
  <c r="F266" i="5"/>
  <c r="G266" i="5"/>
  <c r="H266" i="5"/>
  <c r="D267" i="5"/>
  <c r="E267" i="5"/>
  <c r="F267" i="5"/>
  <c r="G267" i="5"/>
  <c r="H267" i="5"/>
  <c r="D268" i="5"/>
  <c r="E268" i="5"/>
  <c r="F268" i="5"/>
  <c r="G268" i="5"/>
  <c r="H268" i="5"/>
  <c r="D269" i="5"/>
  <c r="E269" i="5"/>
  <c r="F269" i="5"/>
  <c r="G269" i="5"/>
  <c r="H269" i="5"/>
  <c r="D270" i="5"/>
  <c r="E270" i="5"/>
  <c r="F270" i="5"/>
  <c r="G270" i="5"/>
  <c r="H270" i="5"/>
  <c r="D271" i="5"/>
  <c r="E271" i="5"/>
  <c r="F271" i="5"/>
  <c r="G271" i="5"/>
  <c r="H271" i="5"/>
  <c r="D272" i="5"/>
  <c r="E272" i="5"/>
  <c r="F272" i="5"/>
  <c r="G272" i="5"/>
  <c r="H272" i="5"/>
  <c r="D273" i="5"/>
  <c r="E273" i="5"/>
  <c r="F273" i="5"/>
  <c r="G273" i="5"/>
  <c r="H273" i="5"/>
  <c r="D274" i="5"/>
  <c r="E274" i="5"/>
  <c r="F274" i="5"/>
  <c r="G274" i="5"/>
  <c r="H274" i="5"/>
  <c r="D275" i="5"/>
  <c r="E275" i="5"/>
  <c r="F275" i="5"/>
  <c r="G275" i="5"/>
  <c r="H275" i="5"/>
  <c r="D276" i="5"/>
  <c r="E276" i="5"/>
  <c r="F276" i="5"/>
  <c r="G276" i="5"/>
  <c r="H276" i="5"/>
  <c r="D277" i="5"/>
  <c r="E277" i="5"/>
  <c r="F277" i="5"/>
  <c r="G277" i="5"/>
  <c r="H277" i="5"/>
  <c r="D278" i="5"/>
  <c r="E278" i="5"/>
  <c r="F278" i="5"/>
  <c r="G278" i="5"/>
  <c r="H278" i="5"/>
  <c r="D279" i="5"/>
  <c r="E279" i="5"/>
  <c r="F279" i="5"/>
  <c r="G279" i="5"/>
  <c r="H279" i="5"/>
  <c r="D280" i="5"/>
  <c r="E280" i="5"/>
  <c r="F280" i="5"/>
  <c r="G280" i="5"/>
  <c r="H280" i="5"/>
  <c r="D281" i="5"/>
  <c r="E281" i="5"/>
  <c r="F281" i="5"/>
  <c r="G281" i="5"/>
  <c r="H281" i="5"/>
  <c r="D282" i="5"/>
  <c r="E282" i="5"/>
  <c r="F282" i="5"/>
  <c r="G282" i="5"/>
  <c r="H282" i="5"/>
  <c r="D283" i="5"/>
  <c r="E283" i="5"/>
  <c r="F283" i="5"/>
  <c r="G283" i="5"/>
  <c r="H283" i="5"/>
  <c r="D284" i="5"/>
  <c r="E284" i="5"/>
  <c r="F284" i="5"/>
  <c r="G284" i="5"/>
  <c r="H284" i="5"/>
  <c r="D285" i="5"/>
  <c r="E285" i="5"/>
  <c r="F285" i="5"/>
  <c r="G285" i="5"/>
  <c r="H285" i="5"/>
  <c r="D286" i="5"/>
  <c r="E286" i="5"/>
  <c r="F286" i="5"/>
  <c r="G286" i="5"/>
  <c r="H286" i="5"/>
  <c r="D287" i="5"/>
  <c r="E287" i="5"/>
  <c r="F287" i="5"/>
  <c r="G287" i="5"/>
  <c r="H287" i="5"/>
  <c r="D288" i="5"/>
  <c r="E288" i="5"/>
  <c r="F288" i="5"/>
  <c r="G288" i="5"/>
  <c r="H288" i="5"/>
  <c r="D289" i="5"/>
  <c r="E289" i="5"/>
  <c r="F289" i="5"/>
  <c r="G289" i="5"/>
  <c r="H289" i="5"/>
  <c r="D290" i="5"/>
  <c r="E290" i="5"/>
  <c r="F290" i="5"/>
  <c r="G290" i="5"/>
  <c r="H290" i="5"/>
  <c r="D291" i="5"/>
  <c r="E291" i="5"/>
  <c r="F291" i="5"/>
  <c r="G291" i="5"/>
  <c r="H291" i="5"/>
  <c r="D292" i="5"/>
  <c r="E292" i="5"/>
  <c r="F292" i="5"/>
  <c r="G292" i="5"/>
  <c r="H292" i="5"/>
  <c r="D293" i="5"/>
  <c r="E293" i="5"/>
  <c r="F293" i="5"/>
  <c r="G293" i="5"/>
  <c r="H293" i="5"/>
  <c r="D294" i="5"/>
  <c r="E294" i="5"/>
  <c r="F294" i="5"/>
  <c r="G294" i="5"/>
  <c r="H294" i="5"/>
  <c r="D295" i="5"/>
  <c r="E295" i="5"/>
  <c r="F295" i="5"/>
  <c r="G295" i="5"/>
  <c r="H295" i="5"/>
  <c r="D296" i="5"/>
  <c r="E296" i="5"/>
  <c r="F296" i="5"/>
  <c r="G296" i="5"/>
  <c r="H296" i="5"/>
  <c r="D297" i="5"/>
  <c r="E297" i="5"/>
  <c r="F297" i="5"/>
  <c r="G297" i="5"/>
  <c r="H297" i="5"/>
  <c r="D298" i="5"/>
  <c r="E298" i="5"/>
  <c r="F298" i="5"/>
  <c r="G298" i="5"/>
  <c r="H298" i="5"/>
  <c r="D299" i="5"/>
  <c r="E299" i="5"/>
  <c r="F299" i="5"/>
  <c r="G299" i="5"/>
  <c r="H299" i="5"/>
  <c r="D300" i="5"/>
  <c r="E300" i="5"/>
  <c r="F300" i="5"/>
  <c r="G300" i="5"/>
  <c r="H300" i="5"/>
  <c r="D301" i="5"/>
  <c r="E301" i="5"/>
  <c r="F301" i="5"/>
  <c r="G301" i="5"/>
  <c r="H301" i="5"/>
  <c r="D302" i="5"/>
  <c r="E302" i="5"/>
  <c r="F302" i="5"/>
  <c r="G302" i="5"/>
  <c r="H302" i="5"/>
  <c r="D303" i="5"/>
  <c r="E303" i="5"/>
  <c r="F303" i="5"/>
  <c r="G303" i="5"/>
  <c r="H303" i="5"/>
  <c r="D304" i="5"/>
  <c r="E304" i="5"/>
  <c r="F304" i="5"/>
  <c r="G304" i="5"/>
  <c r="H304" i="5"/>
</calcChain>
</file>

<file path=xl/sharedStrings.xml><?xml version="1.0" encoding="utf-8"?>
<sst xmlns="http://schemas.openxmlformats.org/spreadsheetml/2006/main" count="32" uniqueCount="30">
  <si>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</si>
  <si>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</si>
  <si>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</si>
  <si>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</si>
  <si>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</si>
  <si>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</si>
  <si>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</si>
  <si>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</si>
  <si>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</si>
  <si>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Расходы по операциям "РЕПО" с ценными бумагами</t>
  </si>
  <si>
    <t>Отчет об остатках на балансовых и внебалансовых счетах</t>
  </si>
  <si>
    <t/>
  </si>
  <si>
    <t>АО "Ситибанк Казахстан"</t>
  </si>
  <si>
    <t>за 31.03.2025</t>
  </si>
  <si>
    <t>АО 'Ситибанк Казахстан'</t>
  </si>
  <si>
    <t>Адрес</t>
  </si>
  <si>
    <t>Телефон</t>
  </si>
  <si>
    <t>8(727)332-14-00</t>
  </si>
  <si>
    <t>Адрес электронной почты</t>
  </si>
  <si>
    <t>citibank.kazakhstan@citi.com</t>
  </si>
  <si>
    <t>Исполнитель</t>
  </si>
  <si>
    <t>фамилия, имя и отчество (при его наличии)</t>
  </si>
  <si>
    <t>подпись, телефон</t>
  </si>
  <si>
    <t>Руководитель или лицо, на которое возложена функция по подписанию отчета</t>
  </si>
  <si>
    <t>Наименование</t>
  </si>
  <si>
    <t>Шахабаева Амира</t>
  </si>
  <si>
    <t>_____________________________8(727)332-14-38</t>
  </si>
  <si>
    <t>_____________________________8(727)332-15-41</t>
  </si>
  <si>
    <t>Молдабеков Арыстан</t>
  </si>
  <si>
    <t>г.Алматы. ул. Зенкова 26/41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</si>
</sst>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43" fontId="0" fillId="0" borderId="0" xfId="1" applyFont="1"/>
    <xf numFmtId="43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54173-7ED2-4B95-87BC-C923CAA7A14C}">
  <dimension ref="A1:I316"/>
  <sheetViews>
    <sheetView tabSelected="1" zoomScale="83" workbookViewId="0">
      <selection activeCell="A4" sqref="A4:I4"/>
    </sheetView>
  </sheetViews>
  <sheetFormatPr defaultRowHeight="15" x14ac:dyDescent="0.25"/>
  <cols>
    <col min="1" max="1" width="6.5703125" bestFit="1" customWidth="1"/>
    <col min="2" max="2" width="13.5703125" bestFit="1" customWidth="1"/>
    <col min="3" max="3" width="23.85546875" customWidth="1"/>
    <col min="9" max="9" width="19" style="2" bestFit="1" customWidth="1"/>
  </cols>
  <sheetData>
    <row r="1" spans="1:9" x14ac:dyDescent="0.25">
      <c r="A1" s="5" t="s">
        <v>10</v>
      </c>
      <c r="B1" s="5"/>
      <c r="C1" s="5"/>
      <c r="D1" s="5"/>
      <c r="E1" s="5"/>
      <c r="F1" s="5"/>
      <c r="G1" s="5"/>
      <c r="H1" s="5"/>
      <c r="I1" s="5"/>
    </row>
    <row r="2" spans="1:9" x14ac:dyDescent="0.25">
      <c r="A2" s="5" t="s">
        <v>13</v>
      </c>
      <c r="B2" s="5"/>
      <c r="C2" s="5"/>
      <c r="D2" s="5"/>
      <c r="E2" s="5"/>
      <c r="F2" s="5"/>
      <c r="G2" s="5"/>
      <c r="H2" s="5"/>
      <c r="I2" s="5"/>
    </row>
    <row r="3" spans="1:9" x14ac:dyDescent="0.25">
      <c r="A3" s="4" t="s">
        <v>11</v>
      </c>
      <c r="B3" s="4"/>
      <c r="C3" s="4"/>
      <c r="D3" s="4"/>
      <c r="E3" s="4"/>
      <c r="F3" s="4"/>
    </row>
    <row r="4" spans="1:9" x14ac:dyDescent="0.25">
      <c r="A4" s="5" t="s">
        <v>12</v>
      </c>
      <c r="B4" s="5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4"/>
      <c r="D5" s="4"/>
      <c r="E5" s="4"/>
      <c r="F5" s="4"/>
      <c r="G5" s="4"/>
      <c r="H5" s="4"/>
      <c r="I5" s="3"/>
    </row>
    <row r="6" spans="1:9" x14ac:dyDescent="0.2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s="2" t="s">
        <v>8</v>
      </c>
    </row>
    <row r="7" spans="1:9" x14ac:dyDescent="0.25">
      <c r="A7">
        <v>1</v>
      </c>
      <c r="B7" s="1">
        <v>45747</v>
      </c>
      <c r="C7">
        <v>21</v>
      </c>
      <c r="D7" t="str">
        <f>"1051"</f>
        <v>1051</v>
      </c>
      <c r="E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7" t="str">
        <f>"1"</f>
        <v>1</v>
      </c>
      <c r="G7" t="str">
        <f>"3"</f>
        <v>3</v>
      </c>
      <c r="H7" t="str">
        <f>"2"</f>
        <v>2</v>
      </c>
      <c r="I7" s="2">
        <v>5190687.5999999996</v>
      </c>
    </row>
    <row r="8" spans="1:9" x14ac:dyDescent="0.25">
      <c r="A8">
        <v>2</v>
      </c>
      <c r="B8" s="1">
        <v>45747</v>
      </c>
      <c r="C8">
        <v>21</v>
      </c>
      <c r="D8" t="str">
        <f>"1052"</f>
        <v>1052</v>
      </c>
      <c r="E8" t="str">
        <f>"Корреспондентские счета в других банках"</f>
        <v>Корреспондентские счета в других банках</v>
      </c>
      <c r="F8" t="str">
        <f>"1"</f>
        <v>1</v>
      </c>
      <c r="G8" t="str">
        <f>"5"</f>
        <v>5</v>
      </c>
      <c r="H8" t="str">
        <f>"1"</f>
        <v>1</v>
      </c>
      <c r="I8" s="2">
        <v>152.58000000000001</v>
      </c>
    </row>
    <row r="9" spans="1:9" x14ac:dyDescent="0.25">
      <c r="A9">
        <v>3</v>
      </c>
      <c r="B9" s="1">
        <v>45747</v>
      </c>
      <c r="C9">
        <v>21</v>
      </c>
      <c r="D9" t="str">
        <f>"1052"</f>
        <v>1052</v>
      </c>
      <c r="E9" t="str">
        <f>"Корреспондентские счета в других банках"</f>
        <v>Корреспондентские счета в других банках</v>
      </c>
      <c r="F9" t="str">
        <f>"2"</f>
        <v>2</v>
      </c>
      <c r="G9" t="str">
        <f>"5"</f>
        <v>5</v>
      </c>
      <c r="H9" t="str">
        <f>"2"</f>
        <v>2</v>
      </c>
      <c r="I9" s="2">
        <v>624417.02</v>
      </c>
    </row>
    <row r="10" spans="1:9" x14ac:dyDescent="0.25">
      <c r="A10">
        <v>4</v>
      </c>
      <c r="B10" s="1">
        <v>45747</v>
      </c>
      <c r="C10">
        <v>21</v>
      </c>
      <c r="D10" t="str">
        <f>"1054"</f>
        <v>1054</v>
      </c>
      <c r="E10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0" t="str">
        <f>"1"</f>
        <v>1</v>
      </c>
      <c r="G10" t="str">
        <f>"3"</f>
        <v>3</v>
      </c>
      <c r="H10" t="str">
        <f>"1"</f>
        <v>1</v>
      </c>
      <c r="I10" s="2">
        <v>-663292.65</v>
      </c>
    </row>
    <row r="11" spans="1:9" x14ac:dyDescent="0.25">
      <c r="A11">
        <v>5</v>
      </c>
      <c r="B11" s="1">
        <v>45747</v>
      </c>
      <c r="C11">
        <v>21</v>
      </c>
      <c r="D11" t="str">
        <f>"1054"</f>
        <v>1054</v>
      </c>
      <c r="E1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1" t="str">
        <f>"1"</f>
        <v>1</v>
      </c>
      <c r="G11" t="str">
        <f>"3"</f>
        <v>3</v>
      </c>
      <c r="H11" t="str">
        <f>"2"</f>
        <v>2</v>
      </c>
      <c r="I11" s="2">
        <v>-121.07</v>
      </c>
    </row>
    <row r="12" spans="1:9" x14ac:dyDescent="0.25">
      <c r="A12">
        <v>6</v>
      </c>
      <c r="B12" s="1">
        <v>45747</v>
      </c>
      <c r="C12">
        <v>21</v>
      </c>
      <c r="D12" t="str">
        <f>"1052"</f>
        <v>1052</v>
      </c>
      <c r="E12" t="str">
        <f>"Корреспондентские счета в других банках"</f>
        <v>Корреспондентские счета в других банках</v>
      </c>
      <c r="F12" t="str">
        <f>"2"</f>
        <v>2</v>
      </c>
      <c r="G12" t="str">
        <f>"4"</f>
        <v>4</v>
      </c>
      <c r="H12" t="str">
        <f>"2"</f>
        <v>2</v>
      </c>
      <c r="I12" s="2">
        <v>103295657324.55</v>
      </c>
    </row>
    <row r="13" spans="1:9" x14ac:dyDescent="0.25">
      <c r="A13">
        <v>7</v>
      </c>
      <c r="B13" s="1">
        <v>45747</v>
      </c>
      <c r="C13">
        <v>21</v>
      </c>
      <c r="D13" t="str">
        <f>"1205"</f>
        <v>1205</v>
      </c>
      <c r="E13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13" t="str">
        <f>"1"</f>
        <v>1</v>
      </c>
      <c r="G13" t="str">
        <f>"1"</f>
        <v>1</v>
      </c>
      <c r="H13" t="str">
        <f>"1"</f>
        <v>1</v>
      </c>
      <c r="I13" s="2">
        <v>-137939390.24000001</v>
      </c>
    </row>
    <row r="14" spans="1:9" x14ac:dyDescent="0.25">
      <c r="A14">
        <v>8</v>
      </c>
      <c r="B14" s="1">
        <v>45747</v>
      </c>
      <c r="C14">
        <v>21</v>
      </c>
      <c r="D14" t="str">
        <f>"1051"</f>
        <v>1051</v>
      </c>
      <c r="E1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4" t="str">
        <f>"1"</f>
        <v>1</v>
      </c>
      <c r="G14" t="str">
        <f>"3"</f>
        <v>3</v>
      </c>
      <c r="H14" t="str">
        <f>"1"</f>
        <v>1</v>
      </c>
      <c r="I14" s="2">
        <v>28496741241.75</v>
      </c>
    </row>
    <row r="15" spans="1:9" x14ac:dyDescent="0.25">
      <c r="A15">
        <v>9</v>
      </c>
      <c r="B15" s="1">
        <v>45747</v>
      </c>
      <c r="C15">
        <v>21</v>
      </c>
      <c r="D15" t="str">
        <f>"1052"</f>
        <v>1052</v>
      </c>
      <c r="E15" t="str">
        <f>"Корреспондентские счета в других банках"</f>
        <v>Корреспондентские счета в других банках</v>
      </c>
      <c r="F15" t="str">
        <f>"2"</f>
        <v>2</v>
      </c>
      <c r="G15" t="str">
        <f>"4"</f>
        <v>4</v>
      </c>
      <c r="H15" t="str">
        <f>"3"</f>
        <v>3</v>
      </c>
      <c r="I15" s="2">
        <v>6727726.5599999996</v>
      </c>
    </row>
    <row r="16" spans="1:9" x14ac:dyDescent="0.25">
      <c r="A16">
        <v>10</v>
      </c>
      <c r="B16" s="1">
        <v>45747</v>
      </c>
      <c r="C16">
        <v>21</v>
      </c>
      <c r="D16" t="str">
        <f>"1054"</f>
        <v>1054</v>
      </c>
      <c r="E16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6" t="str">
        <f>"2"</f>
        <v>2</v>
      </c>
      <c r="G16" t="str">
        <f>"4"</f>
        <v>4</v>
      </c>
      <c r="H16" t="str">
        <f>"2"</f>
        <v>2</v>
      </c>
      <c r="I16" s="2">
        <v>-23347361.510000002</v>
      </c>
    </row>
    <row r="17" spans="1:9" x14ac:dyDescent="0.25">
      <c r="A17">
        <v>11</v>
      </c>
      <c r="B17" s="1">
        <v>45747</v>
      </c>
      <c r="C17">
        <v>21</v>
      </c>
      <c r="D17" t="str">
        <f>"1103"</f>
        <v>1103</v>
      </c>
      <c r="E17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17" t="str">
        <f>"1"</f>
        <v>1</v>
      </c>
      <c r="G17" t="str">
        <f>"3"</f>
        <v>3</v>
      </c>
      <c r="H17" t="str">
        <f>"2"</f>
        <v>2</v>
      </c>
      <c r="I17" s="2">
        <v>252220000000</v>
      </c>
    </row>
    <row r="18" spans="1:9" x14ac:dyDescent="0.25">
      <c r="A18">
        <v>12</v>
      </c>
      <c r="B18" s="1">
        <v>45747</v>
      </c>
      <c r="C18">
        <v>21</v>
      </c>
      <c r="D18" t="str">
        <f>"1103"</f>
        <v>1103</v>
      </c>
      <c r="E18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18" t="str">
        <f>"1"</f>
        <v>1</v>
      </c>
      <c r="G18" t="str">
        <f>"3"</f>
        <v>3</v>
      </c>
      <c r="H18" t="str">
        <f>"1"</f>
        <v>1</v>
      </c>
      <c r="I18" s="2">
        <v>700000000000</v>
      </c>
    </row>
    <row r="19" spans="1:9" x14ac:dyDescent="0.25">
      <c r="A19">
        <v>13</v>
      </c>
      <c r="B19" s="1">
        <v>45747</v>
      </c>
      <c r="C19">
        <v>21</v>
      </c>
      <c r="D19" t="str">
        <f>"1054"</f>
        <v>1054</v>
      </c>
      <c r="E1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9" t="str">
        <f>"1"</f>
        <v>1</v>
      </c>
      <c r="G19" t="str">
        <f>"5"</f>
        <v>5</v>
      </c>
      <c r="H19" t="str">
        <f>"1"</f>
        <v>1</v>
      </c>
      <c r="I19" s="2">
        <v>-0.27</v>
      </c>
    </row>
    <row r="20" spans="1:9" x14ac:dyDescent="0.25">
      <c r="A20">
        <v>14</v>
      </c>
      <c r="B20" s="1">
        <v>45747</v>
      </c>
      <c r="C20">
        <v>21</v>
      </c>
      <c r="D20" t="str">
        <f>"1054"</f>
        <v>1054</v>
      </c>
      <c r="E20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0" t="str">
        <f>"1"</f>
        <v>1</v>
      </c>
      <c r="G20" t="str">
        <f>"3"</f>
        <v>3</v>
      </c>
      <c r="H20" t="str">
        <f>"3"</f>
        <v>3</v>
      </c>
      <c r="I20" s="2">
        <v>-4139.18</v>
      </c>
    </row>
    <row r="21" spans="1:9" x14ac:dyDescent="0.25">
      <c r="A21">
        <v>15</v>
      </c>
      <c r="B21" s="1">
        <v>45747</v>
      </c>
      <c r="C21">
        <v>21</v>
      </c>
      <c r="D21" t="str">
        <f>"1209"</f>
        <v>1209</v>
      </c>
      <c r="E21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21" t="str">
        <f>"1"</f>
        <v>1</v>
      </c>
      <c r="G21" t="str">
        <f>"1"</f>
        <v>1</v>
      </c>
      <c r="H21" t="str">
        <f>"1"</f>
        <v>1</v>
      </c>
      <c r="I21" s="2">
        <v>-2135421.89</v>
      </c>
    </row>
    <row r="22" spans="1:9" x14ac:dyDescent="0.25">
      <c r="A22">
        <v>16</v>
      </c>
      <c r="B22" s="1">
        <v>45747</v>
      </c>
      <c r="C22">
        <v>21</v>
      </c>
      <c r="D22" t="str">
        <f>"1054"</f>
        <v>1054</v>
      </c>
      <c r="E2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2" t="str">
        <f>"2"</f>
        <v>2</v>
      </c>
      <c r="G22" t="str">
        <f>"4"</f>
        <v>4</v>
      </c>
      <c r="H22" t="str">
        <f>"3"</f>
        <v>3</v>
      </c>
      <c r="I22" s="2">
        <v>-361420.84</v>
      </c>
    </row>
    <row r="23" spans="1:9" x14ac:dyDescent="0.25">
      <c r="A23">
        <v>17</v>
      </c>
      <c r="B23" s="1">
        <v>45747</v>
      </c>
      <c r="C23">
        <v>21</v>
      </c>
      <c r="D23" t="str">
        <f>"1205"</f>
        <v>1205</v>
      </c>
      <c r="E23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23" t="str">
        <f>"1"</f>
        <v>1</v>
      </c>
      <c r="G23" t="str">
        <f>"3"</f>
        <v>3</v>
      </c>
      <c r="H23" t="str">
        <f>"1"</f>
        <v>1</v>
      </c>
      <c r="I23" s="2">
        <v>-1130974787.8199999</v>
      </c>
    </row>
    <row r="24" spans="1:9" x14ac:dyDescent="0.25">
      <c r="A24">
        <v>18</v>
      </c>
      <c r="B24" s="1">
        <v>45747</v>
      </c>
      <c r="C24">
        <v>21</v>
      </c>
      <c r="D24" t="str">
        <f>"1201"</f>
        <v>1201</v>
      </c>
      <c r="E24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24" t="str">
        <f>"1"</f>
        <v>1</v>
      </c>
      <c r="G24" t="str">
        <f>"3"</f>
        <v>3</v>
      </c>
      <c r="H24" t="str">
        <f>"1"</f>
        <v>1</v>
      </c>
      <c r="I24" s="2">
        <v>95092443200</v>
      </c>
    </row>
    <row r="25" spans="1:9" x14ac:dyDescent="0.25">
      <c r="A25">
        <v>19</v>
      </c>
      <c r="B25" s="1">
        <v>45747</v>
      </c>
      <c r="C25">
        <v>21</v>
      </c>
      <c r="D25" t="str">
        <f>"1052"</f>
        <v>1052</v>
      </c>
      <c r="E25" t="str">
        <f>"Корреспондентские счета в других банках"</f>
        <v>Корреспондентские счета в других банках</v>
      </c>
      <c r="F25" t="str">
        <f>"1"</f>
        <v>1</v>
      </c>
      <c r="G25" t="str">
        <f>"4"</f>
        <v>4</v>
      </c>
      <c r="H25" t="str">
        <f>"3"</f>
        <v>3</v>
      </c>
      <c r="I25" s="2">
        <v>21069421.420000002</v>
      </c>
    </row>
    <row r="26" spans="1:9" x14ac:dyDescent="0.25">
      <c r="A26">
        <v>20</v>
      </c>
      <c r="B26" s="1">
        <v>45747</v>
      </c>
      <c r="C26">
        <v>21</v>
      </c>
      <c r="D26" t="str">
        <f>"1259"</f>
        <v>1259</v>
      </c>
      <c r="E26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6" t="str">
        <f>"1"</f>
        <v>1</v>
      </c>
      <c r="G26" t="str">
        <f>"5"</f>
        <v>5</v>
      </c>
      <c r="H26" t="str">
        <f>"2"</f>
        <v>2</v>
      </c>
      <c r="I26" s="2">
        <v>-13222547.75</v>
      </c>
    </row>
    <row r="27" spans="1:9" x14ac:dyDescent="0.25">
      <c r="A27">
        <v>21</v>
      </c>
      <c r="B27" s="1">
        <v>45747</v>
      </c>
      <c r="C27">
        <v>21</v>
      </c>
      <c r="D27" t="str">
        <f>"1052"</f>
        <v>1052</v>
      </c>
      <c r="E27" t="str">
        <f>"Корреспондентские счета в других банках"</f>
        <v>Корреспондентские счета в других банках</v>
      </c>
      <c r="F27" t="str">
        <f>"2"</f>
        <v>2</v>
      </c>
      <c r="G27" t="str">
        <f>"5"</f>
        <v>5</v>
      </c>
      <c r="H27" t="str">
        <f>"1"</f>
        <v>1</v>
      </c>
      <c r="I27" s="2">
        <v>1</v>
      </c>
    </row>
    <row r="28" spans="1:9" x14ac:dyDescent="0.25">
      <c r="A28">
        <v>22</v>
      </c>
      <c r="B28" s="1">
        <v>45747</v>
      </c>
      <c r="C28">
        <v>21</v>
      </c>
      <c r="D28" t="str">
        <f>"1101"</f>
        <v>1101</v>
      </c>
      <c r="E28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28" t="str">
        <f>"1"</f>
        <v>1</v>
      </c>
      <c r="G28" t="str">
        <f>"3"</f>
        <v>3</v>
      </c>
      <c r="H28" t="str">
        <f>"1"</f>
        <v>1</v>
      </c>
      <c r="I28" s="2">
        <v>25000000000</v>
      </c>
    </row>
    <row r="29" spans="1:9" x14ac:dyDescent="0.25">
      <c r="A29">
        <v>23</v>
      </c>
      <c r="B29" s="1">
        <v>45747</v>
      </c>
      <c r="C29">
        <v>21</v>
      </c>
      <c r="D29" t="str">
        <f>"1267"</f>
        <v>1267</v>
      </c>
      <c r="E29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29" t="str">
        <f>"2"</f>
        <v>2</v>
      </c>
      <c r="G29" t="str">
        <f>"4"</f>
        <v>4</v>
      </c>
      <c r="H29" t="str">
        <f>"2"</f>
        <v>2</v>
      </c>
      <c r="I29" s="2">
        <v>2350695.44</v>
      </c>
    </row>
    <row r="30" spans="1:9" x14ac:dyDescent="0.25">
      <c r="A30">
        <v>24</v>
      </c>
      <c r="B30" s="1">
        <v>45747</v>
      </c>
      <c r="C30">
        <v>21</v>
      </c>
      <c r="D30" t="str">
        <f>"1259"</f>
        <v>1259</v>
      </c>
      <c r="E3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0" t="str">
        <f>"1"</f>
        <v>1</v>
      </c>
      <c r="G30" t="str">
        <f>"3"</f>
        <v>3</v>
      </c>
      <c r="H30" t="str">
        <f>"2"</f>
        <v>2</v>
      </c>
      <c r="I30" s="2">
        <v>-165182515.00999999</v>
      </c>
    </row>
    <row r="31" spans="1:9" x14ac:dyDescent="0.25">
      <c r="A31">
        <v>25</v>
      </c>
      <c r="B31" s="1">
        <v>45747</v>
      </c>
      <c r="C31">
        <v>21</v>
      </c>
      <c r="D31" t="str">
        <f>"1267"</f>
        <v>1267</v>
      </c>
      <c r="E3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1" t="str">
        <f>"1"</f>
        <v>1</v>
      </c>
      <c r="G31" t="str">
        <f>"5"</f>
        <v>5</v>
      </c>
      <c r="H31" t="str">
        <f>"2"</f>
        <v>2</v>
      </c>
      <c r="I31" s="2">
        <v>13619880000</v>
      </c>
    </row>
    <row r="32" spans="1:9" x14ac:dyDescent="0.25">
      <c r="A32">
        <v>26</v>
      </c>
      <c r="B32" s="1">
        <v>45747</v>
      </c>
      <c r="C32">
        <v>21</v>
      </c>
      <c r="D32" t="str">
        <f>"1051"</f>
        <v>1051</v>
      </c>
      <c r="E3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32" t="str">
        <f>"1"</f>
        <v>1</v>
      </c>
      <c r="G32" t="str">
        <f>"3"</f>
        <v>3</v>
      </c>
      <c r="H32" t="str">
        <f>"3"</f>
        <v>3</v>
      </c>
      <c r="I32" s="2">
        <v>177828504.72</v>
      </c>
    </row>
    <row r="33" spans="1:9" x14ac:dyDescent="0.25">
      <c r="A33">
        <v>27</v>
      </c>
      <c r="B33" s="1">
        <v>45747</v>
      </c>
      <c r="C33">
        <v>21</v>
      </c>
      <c r="D33" t="str">
        <f>"1054"</f>
        <v>1054</v>
      </c>
      <c r="E3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3" t="str">
        <f>"1"</f>
        <v>1</v>
      </c>
      <c r="G33" t="str">
        <f>"4"</f>
        <v>4</v>
      </c>
      <c r="H33" t="str">
        <f>"3"</f>
        <v>3</v>
      </c>
      <c r="I33" s="2">
        <v>-56819.82</v>
      </c>
    </row>
    <row r="34" spans="1:9" x14ac:dyDescent="0.25">
      <c r="A34">
        <v>28</v>
      </c>
      <c r="B34" s="1">
        <v>45747</v>
      </c>
      <c r="C34">
        <v>21</v>
      </c>
      <c r="D34" t="str">
        <f>"1652"</f>
        <v>1652</v>
      </c>
      <c r="E34" t="str">
        <f>"Земля, здания и сооружения"</f>
        <v>Земля, здания и сооружения</v>
      </c>
      <c r="F34" t="str">
        <f>""</f>
        <v/>
      </c>
      <c r="G34" t="str">
        <f>""</f>
        <v/>
      </c>
      <c r="H34" t="str">
        <f>""</f>
        <v/>
      </c>
      <c r="I34" s="2">
        <v>665764735.80999994</v>
      </c>
    </row>
    <row r="35" spans="1:9" x14ac:dyDescent="0.25">
      <c r="A35">
        <v>29</v>
      </c>
      <c r="B35" s="1">
        <v>45747</v>
      </c>
      <c r="C35">
        <v>21</v>
      </c>
      <c r="D35" t="str">
        <f>"1417"</f>
        <v>1417</v>
      </c>
      <c r="E35" t="str">
        <f>"Долгосрочные займы, предоставленные клиентам"</f>
        <v>Долгосрочные займы, предоставленные клиентам</v>
      </c>
      <c r="F35" t="str">
        <f>"1"</f>
        <v>1</v>
      </c>
      <c r="G35" t="str">
        <f>"7"</f>
        <v>7</v>
      </c>
      <c r="H35" t="str">
        <f>"1"</f>
        <v>1</v>
      </c>
      <c r="I35" s="2">
        <v>4129827586.2199998</v>
      </c>
    </row>
    <row r="36" spans="1:9" x14ac:dyDescent="0.25">
      <c r="A36">
        <v>30</v>
      </c>
      <c r="B36" s="1">
        <v>45747</v>
      </c>
      <c r="C36">
        <v>21</v>
      </c>
      <c r="D36" t="str">
        <f>"1411"</f>
        <v>1411</v>
      </c>
      <c r="E36" t="str">
        <f>"Краткосрочные займы, предоставленные клиентам"</f>
        <v>Краткосрочные займы, предоставленные клиентам</v>
      </c>
      <c r="F36" t="str">
        <f>"1"</f>
        <v>1</v>
      </c>
      <c r="G36" t="str">
        <f>"7"</f>
        <v>7</v>
      </c>
      <c r="H36" t="str">
        <f>"1"</f>
        <v>1</v>
      </c>
      <c r="I36" s="2">
        <v>86310983866.660004</v>
      </c>
    </row>
    <row r="37" spans="1:9" x14ac:dyDescent="0.25">
      <c r="A37">
        <v>31</v>
      </c>
      <c r="B37" s="1">
        <v>45747</v>
      </c>
      <c r="C37">
        <v>21</v>
      </c>
      <c r="D37" t="str">
        <f>"1653"</f>
        <v>1653</v>
      </c>
      <c r="E37" t="str">
        <f>"Компьютерное оборудование"</f>
        <v>Компьютерное оборудование</v>
      </c>
      <c r="F37" t="str">
        <f>""</f>
        <v/>
      </c>
      <c r="G37" t="str">
        <f>""</f>
        <v/>
      </c>
      <c r="H37" t="str">
        <f>""</f>
        <v/>
      </c>
      <c r="I37" s="2">
        <v>291977022</v>
      </c>
    </row>
    <row r="38" spans="1:9" x14ac:dyDescent="0.25">
      <c r="A38">
        <v>32</v>
      </c>
      <c r="B38" s="1">
        <v>45747</v>
      </c>
      <c r="C38">
        <v>21</v>
      </c>
      <c r="D38" t="str">
        <f>"1054"</f>
        <v>1054</v>
      </c>
      <c r="E38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8" t="str">
        <f>"2"</f>
        <v>2</v>
      </c>
      <c r="G38" t="str">
        <f>"5"</f>
        <v>5</v>
      </c>
      <c r="H38" t="str">
        <f>"2"</f>
        <v>2</v>
      </c>
      <c r="I38" s="2">
        <v>-120.04</v>
      </c>
    </row>
    <row r="39" spans="1:9" x14ac:dyDescent="0.25">
      <c r="A39">
        <v>33</v>
      </c>
      <c r="B39" s="1">
        <v>45747</v>
      </c>
      <c r="C39">
        <v>21</v>
      </c>
      <c r="D39" t="str">
        <f>"1403"</f>
        <v>1403</v>
      </c>
      <c r="E39" t="str">
        <f>"Счета по кредитным карточкам клиентов"</f>
        <v>Счета по кредитным карточкам клиентов</v>
      </c>
      <c r="F39" t="str">
        <f>"1"</f>
        <v>1</v>
      </c>
      <c r="G39" t="str">
        <f>"3"</f>
        <v>3</v>
      </c>
      <c r="H39" t="str">
        <f>"1"</f>
        <v>1</v>
      </c>
      <c r="I39" s="2">
        <v>17862927.18</v>
      </c>
    </row>
    <row r="40" spans="1:9" x14ac:dyDescent="0.25">
      <c r="A40">
        <v>34</v>
      </c>
      <c r="B40" s="1">
        <v>45747</v>
      </c>
      <c r="C40">
        <v>21</v>
      </c>
      <c r="D40" t="str">
        <f>"1201"</f>
        <v>1201</v>
      </c>
      <c r="E40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0" t="str">
        <f>"1"</f>
        <v>1</v>
      </c>
      <c r="G40" t="str">
        <f>"1"</f>
        <v>1</v>
      </c>
      <c r="H40" t="str">
        <f>"1"</f>
        <v>1</v>
      </c>
      <c r="I40" s="2">
        <v>1727819000</v>
      </c>
    </row>
    <row r="41" spans="1:9" x14ac:dyDescent="0.25">
      <c r="A41">
        <v>35</v>
      </c>
      <c r="B41" s="1">
        <v>45747</v>
      </c>
      <c r="C41">
        <v>21</v>
      </c>
      <c r="D41" t="str">
        <f>"1417"</f>
        <v>1417</v>
      </c>
      <c r="E41" t="str">
        <f>"Долгосрочные займы, предоставленные клиентам"</f>
        <v>Долгосрочные займы, предоставленные клиентам</v>
      </c>
      <c r="F41" t="str">
        <f>"1"</f>
        <v>1</v>
      </c>
      <c r="G41" t="str">
        <f>"5"</f>
        <v>5</v>
      </c>
      <c r="H41" t="str">
        <f>"1"</f>
        <v>1</v>
      </c>
      <c r="I41" s="2">
        <v>5153846153.8100004</v>
      </c>
    </row>
    <row r="42" spans="1:9" x14ac:dyDescent="0.25">
      <c r="A42">
        <v>36</v>
      </c>
      <c r="B42" s="1">
        <v>45747</v>
      </c>
      <c r="C42">
        <v>21</v>
      </c>
      <c r="D42" t="str">
        <f>"1259"</f>
        <v>1259</v>
      </c>
      <c r="E4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2" t="str">
        <f>"1"</f>
        <v>1</v>
      </c>
      <c r="G42" t="str">
        <f>"3"</f>
        <v>3</v>
      </c>
      <c r="H42" t="str">
        <f>"1"</f>
        <v>1</v>
      </c>
      <c r="I42" s="2">
        <v>-7251348.1399999997</v>
      </c>
    </row>
    <row r="43" spans="1:9" x14ac:dyDescent="0.25">
      <c r="A43">
        <v>37</v>
      </c>
      <c r="B43" s="1">
        <v>45747</v>
      </c>
      <c r="C43">
        <v>21</v>
      </c>
      <c r="D43" t="str">
        <f>"1428"</f>
        <v>1428</v>
      </c>
      <c r="E4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3" t="str">
        <f>"1"</f>
        <v>1</v>
      </c>
      <c r="G43" t="str">
        <f>"6"</f>
        <v>6</v>
      </c>
      <c r="H43" t="str">
        <f>"1"</f>
        <v>1</v>
      </c>
      <c r="I43" s="2">
        <v>-11955721.460000001</v>
      </c>
    </row>
    <row r="44" spans="1:9" x14ac:dyDescent="0.25">
      <c r="A44">
        <v>38</v>
      </c>
      <c r="B44" s="1">
        <v>45747</v>
      </c>
      <c r="C44">
        <v>21</v>
      </c>
      <c r="D44" t="str">
        <f>"1654"</f>
        <v>1654</v>
      </c>
      <c r="E44" t="str">
        <f>"Прочие основные средства"</f>
        <v>Прочие основные средства</v>
      </c>
      <c r="F44" t="str">
        <f>""</f>
        <v/>
      </c>
      <c r="G44" t="str">
        <f>""</f>
        <v/>
      </c>
      <c r="H44" t="str">
        <f>""</f>
        <v/>
      </c>
      <c r="I44" s="2">
        <v>1051445044.96</v>
      </c>
    </row>
    <row r="45" spans="1:9" x14ac:dyDescent="0.25">
      <c r="A45">
        <v>39</v>
      </c>
      <c r="B45" s="1">
        <v>45747</v>
      </c>
      <c r="C45">
        <v>21</v>
      </c>
      <c r="D45" t="str">
        <f>"1411"</f>
        <v>1411</v>
      </c>
      <c r="E45" t="str">
        <f>"Краткосрочные займы, предоставленные клиентам"</f>
        <v>Краткосрочные займы, предоставленные клиентам</v>
      </c>
      <c r="F45" t="str">
        <f>"1"</f>
        <v>1</v>
      </c>
      <c r="G45" t="str">
        <f>"6"</f>
        <v>6</v>
      </c>
      <c r="H45" t="str">
        <f>"1"</f>
        <v>1</v>
      </c>
      <c r="I45" s="2">
        <v>14000000000</v>
      </c>
    </row>
    <row r="46" spans="1:9" x14ac:dyDescent="0.25">
      <c r="A46">
        <v>40</v>
      </c>
      <c r="B46" s="1">
        <v>45747</v>
      </c>
      <c r="C46">
        <v>21</v>
      </c>
      <c r="D46" t="str">
        <f>"1407"</f>
        <v>1407</v>
      </c>
      <c r="E46" t="str">
        <f>"Факторинг клиентам"</f>
        <v>Факторинг клиентам</v>
      </c>
      <c r="F46" t="str">
        <f>"1"</f>
        <v>1</v>
      </c>
      <c r="G46" t="str">
        <f>"7"</f>
        <v>7</v>
      </c>
      <c r="H46" t="str">
        <f>"1"</f>
        <v>1</v>
      </c>
      <c r="I46" s="2">
        <v>752676877.17999995</v>
      </c>
    </row>
    <row r="47" spans="1:9" x14ac:dyDescent="0.25">
      <c r="A47">
        <v>41</v>
      </c>
      <c r="B47" s="1">
        <v>45747</v>
      </c>
      <c r="C47">
        <v>21</v>
      </c>
      <c r="D47" t="str">
        <f>"1403"</f>
        <v>1403</v>
      </c>
      <c r="E47" t="str">
        <f>"Счета по кредитным карточкам клиентов"</f>
        <v>Счета по кредитным карточкам клиентов</v>
      </c>
      <c r="F47" t="str">
        <f>"1"</f>
        <v>1</v>
      </c>
      <c r="G47" t="str">
        <f>"7"</f>
        <v>7</v>
      </c>
      <c r="H47" t="str">
        <f>"1"</f>
        <v>1</v>
      </c>
      <c r="I47" s="2">
        <v>315061565.37</v>
      </c>
    </row>
    <row r="48" spans="1:9" x14ac:dyDescent="0.25">
      <c r="A48">
        <v>42</v>
      </c>
      <c r="B48" s="1">
        <v>45747</v>
      </c>
      <c r="C48">
        <v>21</v>
      </c>
      <c r="D48" t="str">
        <f>"1428"</f>
        <v>1428</v>
      </c>
      <c r="E48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8" t="str">
        <f>"1"</f>
        <v>1</v>
      </c>
      <c r="G48" t="str">
        <f>"3"</f>
        <v>3</v>
      </c>
      <c r="H48" t="str">
        <f>"1"</f>
        <v>1</v>
      </c>
      <c r="I48" s="2">
        <v>-9241.64</v>
      </c>
    </row>
    <row r="49" spans="1:9" x14ac:dyDescent="0.25">
      <c r="A49">
        <v>43</v>
      </c>
      <c r="B49" s="1">
        <v>45747</v>
      </c>
      <c r="C49">
        <v>21</v>
      </c>
      <c r="D49" t="str">
        <f>"1658"</f>
        <v>1658</v>
      </c>
      <c r="E49" t="str">
        <f>"Транспортные средства"</f>
        <v>Транспортные средства</v>
      </c>
      <c r="F49" t="str">
        <f>""</f>
        <v/>
      </c>
      <c r="G49" t="str">
        <f>""</f>
        <v/>
      </c>
      <c r="H49" t="str">
        <f>""</f>
        <v/>
      </c>
      <c r="I49" s="2">
        <v>148101232</v>
      </c>
    </row>
    <row r="50" spans="1:9" x14ac:dyDescent="0.25">
      <c r="A50">
        <v>44</v>
      </c>
      <c r="B50" s="1">
        <v>45747</v>
      </c>
      <c r="C50">
        <v>21</v>
      </c>
      <c r="D50" t="str">
        <f>"1657"</f>
        <v>1657</v>
      </c>
      <c r="E50" t="str">
        <f>"Капитальные затраты по активам в форме права пользования"</f>
        <v>Капитальные затраты по активам в форме права пользования</v>
      </c>
      <c r="F50" t="str">
        <f>""</f>
        <v/>
      </c>
      <c r="G50" t="str">
        <f>""</f>
        <v/>
      </c>
      <c r="H50" t="str">
        <f>""</f>
        <v/>
      </c>
      <c r="I50" s="2">
        <v>250448261.71000001</v>
      </c>
    </row>
    <row r="51" spans="1:9" x14ac:dyDescent="0.25">
      <c r="A51">
        <v>45</v>
      </c>
      <c r="B51" s="1">
        <v>45747</v>
      </c>
      <c r="C51">
        <v>21</v>
      </c>
      <c r="D51" t="str">
        <f>"1411"</f>
        <v>1411</v>
      </c>
      <c r="E51" t="str">
        <f>"Краткосрочные займы, предоставленные клиентам"</f>
        <v>Краткосрочные займы, предоставленные клиентам</v>
      </c>
      <c r="F51" t="str">
        <f>"1"</f>
        <v>1</v>
      </c>
      <c r="G51" t="str">
        <f>"7"</f>
        <v>7</v>
      </c>
      <c r="H51" t="str">
        <f>"2"</f>
        <v>2</v>
      </c>
      <c r="I51" s="2">
        <v>20117922000</v>
      </c>
    </row>
    <row r="52" spans="1:9" x14ac:dyDescent="0.25">
      <c r="A52">
        <v>46</v>
      </c>
      <c r="B52" s="1">
        <v>45747</v>
      </c>
      <c r="C52">
        <v>21</v>
      </c>
      <c r="D52" t="str">
        <f>"1655"</f>
        <v>1655</v>
      </c>
      <c r="E52" t="str">
        <f>"Активы в форме права пользования"</f>
        <v>Активы в форме права пользования</v>
      </c>
      <c r="F52" t="str">
        <f>""</f>
        <v/>
      </c>
      <c r="G52" t="str">
        <f>""</f>
        <v/>
      </c>
      <c r="H52" t="str">
        <f>""</f>
        <v/>
      </c>
      <c r="I52" s="2">
        <v>489783244.5</v>
      </c>
    </row>
    <row r="53" spans="1:9" x14ac:dyDescent="0.25">
      <c r="A53">
        <v>47</v>
      </c>
      <c r="B53" s="1">
        <v>45747</v>
      </c>
      <c r="C53">
        <v>21</v>
      </c>
      <c r="D53" t="str">
        <f>"1693"</f>
        <v>1693</v>
      </c>
      <c r="E53" t="str">
        <f>"Начисленная амортизация по компьютерному оборудованию"</f>
        <v>Начисленная амортизация по компьютерному оборудованию</v>
      </c>
      <c r="F53" t="str">
        <f>""</f>
        <v/>
      </c>
      <c r="G53" t="str">
        <f>""</f>
        <v/>
      </c>
      <c r="H53" t="str">
        <f>""</f>
        <v/>
      </c>
      <c r="I53" s="2">
        <v>-160260243.18000001</v>
      </c>
    </row>
    <row r="54" spans="1:9" x14ac:dyDescent="0.25">
      <c r="A54">
        <v>48</v>
      </c>
      <c r="B54" s="1">
        <v>45747</v>
      </c>
      <c r="C54">
        <v>21</v>
      </c>
      <c r="D54" t="str">
        <f>"1428"</f>
        <v>1428</v>
      </c>
      <c r="E5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54" t="str">
        <f>"1"</f>
        <v>1</v>
      </c>
      <c r="G54" t="str">
        <f>"7"</f>
        <v>7</v>
      </c>
      <c r="H54" t="str">
        <f>"1"</f>
        <v>1</v>
      </c>
      <c r="I54" s="2">
        <v>-246065991.25999999</v>
      </c>
    </row>
    <row r="55" spans="1:9" x14ac:dyDescent="0.25">
      <c r="A55">
        <v>49</v>
      </c>
      <c r="B55" s="1">
        <v>45747</v>
      </c>
      <c r="C55">
        <v>21</v>
      </c>
      <c r="D55" t="str">
        <f>"1695"</f>
        <v>1695</v>
      </c>
      <c r="E55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55" t="str">
        <f>""</f>
        <v/>
      </c>
      <c r="G55" t="str">
        <f>""</f>
        <v/>
      </c>
      <c r="H55" t="str">
        <f>""</f>
        <v/>
      </c>
      <c r="I55" s="2">
        <v>-176275172.28999999</v>
      </c>
    </row>
    <row r="56" spans="1:9" x14ac:dyDescent="0.25">
      <c r="A56">
        <v>50</v>
      </c>
      <c r="B56" s="1">
        <v>45747</v>
      </c>
      <c r="C56">
        <v>21</v>
      </c>
      <c r="D56" t="str">
        <f>"1428"</f>
        <v>1428</v>
      </c>
      <c r="E56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56" t="str">
        <f>"1"</f>
        <v>1</v>
      </c>
      <c r="G56" t="str">
        <f>"7"</f>
        <v>7</v>
      </c>
      <c r="H56" t="str">
        <f>"2"</f>
        <v>2</v>
      </c>
      <c r="I56" s="2">
        <v>-13286035.550000001</v>
      </c>
    </row>
    <row r="57" spans="1:9" x14ac:dyDescent="0.25">
      <c r="A57">
        <v>51</v>
      </c>
      <c r="B57" s="1">
        <v>45747</v>
      </c>
      <c r="C57">
        <v>21</v>
      </c>
      <c r="D57" t="str">
        <f>"1694"</f>
        <v>1694</v>
      </c>
      <c r="E57" t="str">
        <f>"Начисленная амортизация по прочим основным средствам"</f>
        <v>Начисленная амортизация по прочим основным средствам</v>
      </c>
      <c r="F57" t="str">
        <f>""</f>
        <v/>
      </c>
      <c r="G57" t="str">
        <f>""</f>
        <v/>
      </c>
      <c r="H57" t="str">
        <f>""</f>
        <v/>
      </c>
      <c r="I57" s="2">
        <v>-760617065.38</v>
      </c>
    </row>
    <row r="58" spans="1:9" x14ac:dyDescent="0.25">
      <c r="A58">
        <v>52</v>
      </c>
      <c r="B58" s="1">
        <v>45747</v>
      </c>
      <c r="C58">
        <v>21</v>
      </c>
      <c r="D58" t="str">
        <f>"1692"</f>
        <v>1692</v>
      </c>
      <c r="E58" t="str">
        <f>"Начисленная амортизация по зданиям и сооружениям"</f>
        <v>Начисленная амортизация по зданиям и сооружениям</v>
      </c>
      <c r="F58" t="str">
        <f>""</f>
        <v/>
      </c>
      <c r="G58" t="str">
        <f>""</f>
        <v/>
      </c>
      <c r="H58" t="str">
        <f>""</f>
        <v/>
      </c>
      <c r="I58" s="2">
        <v>-279989652.95999998</v>
      </c>
    </row>
    <row r="59" spans="1:9" x14ac:dyDescent="0.25">
      <c r="A59">
        <v>53</v>
      </c>
      <c r="B59" s="1">
        <v>45747</v>
      </c>
      <c r="C59">
        <v>21</v>
      </c>
      <c r="D59" t="str">
        <f>"1434"</f>
        <v>1434</v>
      </c>
      <c r="E59" t="str">
        <f>"Дисконт по займам, предоставленным клиентам"</f>
        <v>Дисконт по займам, предоставленным клиентам</v>
      </c>
      <c r="F59" t="str">
        <f>"1"</f>
        <v>1</v>
      </c>
      <c r="G59" t="str">
        <f>"7"</f>
        <v>7</v>
      </c>
      <c r="H59" t="str">
        <f>"1"</f>
        <v>1</v>
      </c>
      <c r="I59" s="2">
        <v>-14770611.48</v>
      </c>
    </row>
    <row r="60" spans="1:9" x14ac:dyDescent="0.25">
      <c r="A60">
        <v>54</v>
      </c>
      <c r="B60" s="1">
        <v>45747</v>
      </c>
      <c r="C60">
        <v>21</v>
      </c>
      <c r="D60" t="str">
        <f>"1698"</f>
        <v>1698</v>
      </c>
      <c r="E60" t="str">
        <f>"Начисленная амортизация по транспортным средствам"</f>
        <v>Начисленная амортизация по транспортным средствам</v>
      </c>
      <c r="F60" t="str">
        <f>""</f>
        <v/>
      </c>
      <c r="G60" t="str">
        <f>""</f>
        <v/>
      </c>
      <c r="H60" t="str">
        <f>""</f>
        <v/>
      </c>
      <c r="I60" s="2">
        <v>-122488256.73999999</v>
      </c>
    </row>
    <row r="61" spans="1:9" x14ac:dyDescent="0.25">
      <c r="A61">
        <v>55</v>
      </c>
      <c r="B61" s="1">
        <v>45747</v>
      </c>
      <c r="C61">
        <v>21</v>
      </c>
      <c r="D61" t="str">
        <f>"1697"</f>
        <v>1697</v>
      </c>
      <c r="E61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61" t="str">
        <f>""</f>
        <v/>
      </c>
      <c r="G61" t="str">
        <f>""</f>
        <v/>
      </c>
      <c r="H61" t="str">
        <f>""</f>
        <v/>
      </c>
      <c r="I61" s="2">
        <v>-191392776.53999999</v>
      </c>
    </row>
    <row r="62" spans="1:9" x14ac:dyDescent="0.25">
      <c r="A62">
        <v>56</v>
      </c>
      <c r="B62" s="1">
        <v>45747</v>
      </c>
      <c r="C62">
        <v>21</v>
      </c>
      <c r="D62" t="str">
        <f>"1428"</f>
        <v>1428</v>
      </c>
      <c r="E62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62" t="str">
        <f t="shared" ref="F62:F75" si="0">"1"</f>
        <v>1</v>
      </c>
      <c r="G62" t="str">
        <f>"5"</f>
        <v>5</v>
      </c>
      <c r="H62" t="str">
        <f>"1"</f>
        <v>1</v>
      </c>
      <c r="I62" s="2">
        <v>-1855044.08</v>
      </c>
    </row>
    <row r="63" spans="1:9" x14ac:dyDescent="0.25">
      <c r="A63">
        <v>57</v>
      </c>
      <c r="B63" s="1">
        <v>45747</v>
      </c>
      <c r="C63">
        <v>21</v>
      </c>
      <c r="D63" t="str">
        <f>"1476"</f>
        <v>1476</v>
      </c>
      <c r="E63" t="str">
        <f>"Прочие инвестиции"</f>
        <v>Прочие инвестиции</v>
      </c>
      <c r="F63" t="str">
        <f t="shared" si="0"/>
        <v>1</v>
      </c>
      <c r="G63" t="str">
        <f>"5"</f>
        <v>5</v>
      </c>
      <c r="H63" t="str">
        <f>"1"</f>
        <v>1</v>
      </c>
      <c r="I63" s="2">
        <v>2200260</v>
      </c>
    </row>
    <row r="64" spans="1:9" x14ac:dyDescent="0.25">
      <c r="A64">
        <v>58</v>
      </c>
      <c r="B64" s="1">
        <v>45747</v>
      </c>
      <c r="C64">
        <v>21</v>
      </c>
      <c r="D64" t="str">
        <f>"1208"</f>
        <v>1208</v>
      </c>
      <c r="E64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64" t="str">
        <f t="shared" si="0"/>
        <v>1</v>
      </c>
      <c r="G64" t="str">
        <f>"1"</f>
        <v>1</v>
      </c>
      <c r="H64" t="str">
        <f>"1"</f>
        <v>1</v>
      </c>
      <c r="I64" s="2">
        <v>17487298.960000001</v>
      </c>
    </row>
    <row r="65" spans="1:9" x14ac:dyDescent="0.25">
      <c r="A65">
        <v>59</v>
      </c>
      <c r="B65" s="1">
        <v>45747</v>
      </c>
      <c r="C65">
        <v>21</v>
      </c>
      <c r="D65" t="str">
        <f>"1710"</f>
        <v>1710</v>
      </c>
      <c r="E65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65" t="str">
        <f t="shared" si="0"/>
        <v>1</v>
      </c>
      <c r="G65" t="str">
        <f>"3"</f>
        <v>3</v>
      </c>
      <c r="H65" t="str">
        <f>"1"</f>
        <v>1</v>
      </c>
      <c r="I65" s="2">
        <v>1903680555.5599999</v>
      </c>
    </row>
    <row r="66" spans="1:9" x14ac:dyDescent="0.25">
      <c r="A66">
        <v>60</v>
      </c>
      <c r="B66" s="1">
        <v>45747</v>
      </c>
      <c r="C66">
        <v>21</v>
      </c>
      <c r="D66" t="str">
        <f>"1710"</f>
        <v>1710</v>
      </c>
      <c r="E66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66" t="str">
        <f t="shared" si="0"/>
        <v>1</v>
      </c>
      <c r="G66" t="str">
        <f>"3"</f>
        <v>3</v>
      </c>
      <c r="H66" t="str">
        <f>"2"</f>
        <v>2</v>
      </c>
      <c r="I66" s="2">
        <v>7105752019.9700003</v>
      </c>
    </row>
    <row r="67" spans="1:9" x14ac:dyDescent="0.25">
      <c r="A67">
        <v>61</v>
      </c>
      <c r="B67" s="1">
        <v>45747</v>
      </c>
      <c r="C67">
        <v>21</v>
      </c>
      <c r="D67" t="str">
        <f>"1740"</f>
        <v>1740</v>
      </c>
      <c r="E67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67" t="str">
        <f t="shared" si="0"/>
        <v>1</v>
      </c>
      <c r="G67" t="str">
        <f>"3"</f>
        <v>3</v>
      </c>
      <c r="H67" t="str">
        <f>"1"</f>
        <v>1</v>
      </c>
      <c r="I67" s="2">
        <v>317356.01</v>
      </c>
    </row>
    <row r="68" spans="1:9" x14ac:dyDescent="0.25">
      <c r="A68">
        <v>62</v>
      </c>
      <c r="B68" s="1">
        <v>45747</v>
      </c>
      <c r="C68">
        <v>21</v>
      </c>
      <c r="D68" t="str">
        <f>"1740"</f>
        <v>1740</v>
      </c>
      <c r="E68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68" t="str">
        <f t="shared" si="0"/>
        <v>1</v>
      </c>
      <c r="G68" t="str">
        <f>"5"</f>
        <v>5</v>
      </c>
      <c r="H68" t="str">
        <f>"1"</f>
        <v>1</v>
      </c>
      <c r="I68" s="2">
        <v>2297756.41</v>
      </c>
    </row>
    <row r="69" spans="1:9" x14ac:dyDescent="0.25">
      <c r="A69">
        <v>63</v>
      </c>
      <c r="B69" s="1">
        <v>45747</v>
      </c>
      <c r="C69">
        <v>21</v>
      </c>
      <c r="D69" t="str">
        <f>"1208"</f>
        <v>1208</v>
      </c>
      <c r="E69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69" t="str">
        <f t="shared" si="0"/>
        <v>1</v>
      </c>
      <c r="G69" t="str">
        <f>"3"</f>
        <v>3</v>
      </c>
      <c r="H69" t="str">
        <f>"1"</f>
        <v>1</v>
      </c>
      <c r="I69" s="2">
        <v>3558781.24</v>
      </c>
    </row>
    <row r="70" spans="1:9" x14ac:dyDescent="0.25">
      <c r="A70">
        <v>64</v>
      </c>
      <c r="B70" s="1">
        <v>45747</v>
      </c>
      <c r="C70">
        <v>21</v>
      </c>
      <c r="D70" t="str">
        <f>"1740"</f>
        <v>1740</v>
      </c>
      <c r="E70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70" t="str">
        <f t="shared" si="0"/>
        <v>1</v>
      </c>
      <c r="G70" t="str">
        <f>"7"</f>
        <v>7</v>
      </c>
      <c r="H70" t="str">
        <f>"2"</f>
        <v>2</v>
      </c>
      <c r="I70" s="2">
        <v>48040701.270000003</v>
      </c>
    </row>
    <row r="71" spans="1:9" x14ac:dyDescent="0.25">
      <c r="A71">
        <v>65</v>
      </c>
      <c r="B71" s="1">
        <v>45747</v>
      </c>
      <c r="C71">
        <v>21</v>
      </c>
      <c r="D71" t="str">
        <f>"1740"</f>
        <v>1740</v>
      </c>
      <c r="E71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71" t="str">
        <f t="shared" si="0"/>
        <v>1</v>
      </c>
      <c r="G71" t="str">
        <f>"6"</f>
        <v>6</v>
      </c>
      <c r="H71" t="str">
        <f>"1"</f>
        <v>1</v>
      </c>
      <c r="I71" s="2">
        <v>6416666.6699999999</v>
      </c>
    </row>
    <row r="72" spans="1:9" x14ac:dyDescent="0.25">
      <c r="A72">
        <v>66</v>
      </c>
      <c r="B72" s="1">
        <v>45747</v>
      </c>
      <c r="C72">
        <v>21</v>
      </c>
      <c r="D72" t="str">
        <f>"1740"</f>
        <v>1740</v>
      </c>
      <c r="E72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72" t="str">
        <f t="shared" si="0"/>
        <v>1</v>
      </c>
      <c r="G72" t="str">
        <f>"7"</f>
        <v>7</v>
      </c>
      <c r="H72" t="str">
        <f>"1"</f>
        <v>1</v>
      </c>
      <c r="I72" s="2">
        <v>43475842.920000002</v>
      </c>
    </row>
    <row r="73" spans="1:9" x14ac:dyDescent="0.25">
      <c r="A73">
        <v>67</v>
      </c>
      <c r="B73" s="1">
        <v>45747</v>
      </c>
      <c r="C73">
        <v>21</v>
      </c>
      <c r="D73" t="str">
        <f>"1793"</f>
        <v>1793</v>
      </c>
      <c r="E73" t="str">
        <f>"Расходы будущих периодов"</f>
        <v>Расходы будущих периодов</v>
      </c>
      <c r="F73" t="str">
        <f t="shared" si="0"/>
        <v>1</v>
      </c>
      <c r="G73" t="str">
        <f>"5"</f>
        <v>5</v>
      </c>
      <c r="H73" t="str">
        <f>"1"</f>
        <v>1</v>
      </c>
      <c r="I73" s="2">
        <v>43093860.609999999</v>
      </c>
    </row>
    <row r="74" spans="1:9" x14ac:dyDescent="0.25">
      <c r="A74">
        <v>68</v>
      </c>
      <c r="B74" s="1">
        <v>45747</v>
      </c>
      <c r="C74">
        <v>21</v>
      </c>
      <c r="D74" t="str">
        <f>"1793"</f>
        <v>1793</v>
      </c>
      <c r="E74" t="str">
        <f>"Расходы будущих периодов"</f>
        <v>Расходы будущих периодов</v>
      </c>
      <c r="F74" t="str">
        <f t="shared" si="0"/>
        <v>1</v>
      </c>
      <c r="G74" t="str">
        <f>"7"</f>
        <v>7</v>
      </c>
      <c r="H74" t="str">
        <f>"1"</f>
        <v>1</v>
      </c>
      <c r="I74" s="2">
        <v>134611756.90000001</v>
      </c>
    </row>
    <row r="75" spans="1:9" x14ac:dyDescent="0.25">
      <c r="A75">
        <v>69</v>
      </c>
      <c r="B75" s="1">
        <v>45747</v>
      </c>
      <c r="C75">
        <v>21</v>
      </c>
      <c r="D75" t="str">
        <f>"1793"</f>
        <v>1793</v>
      </c>
      <c r="E75" t="str">
        <f>"Расходы будущих периодов"</f>
        <v>Расходы будущих периодов</v>
      </c>
      <c r="F75" t="str">
        <f t="shared" si="0"/>
        <v>1</v>
      </c>
      <c r="G75" t="str">
        <f>"8"</f>
        <v>8</v>
      </c>
      <c r="H75" t="str">
        <f>"1"</f>
        <v>1</v>
      </c>
      <c r="I75" s="2">
        <v>21970560</v>
      </c>
    </row>
    <row r="76" spans="1:9" x14ac:dyDescent="0.25">
      <c r="A76">
        <v>70</v>
      </c>
      <c r="B76" s="1">
        <v>45747</v>
      </c>
      <c r="C76">
        <v>21</v>
      </c>
      <c r="D76" t="str">
        <f>"1793"</f>
        <v>1793</v>
      </c>
      <c r="E76" t="str">
        <f>"Расходы будущих периодов"</f>
        <v>Расходы будущих периодов</v>
      </c>
      <c r="F76" t="str">
        <f>"2"</f>
        <v>2</v>
      </c>
      <c r="G76" t="str">
        <f>"5"</f>
        <v>5</v>
      </c>
      <c r="H76" t="str">
        <f>"2"</f>
        <v>2</v>
      </c>
      <c r="I76" s="2">
        <v>326267161.24000001</v>
      </c>
    </row>
    <row r="77" spans="1:9" x14ac:dyDescent="0.25">
      <c r="A77">
        <v>71</v>
      </c>
      <c r="B77" s="1">
        <v>45747</v>
      </c>
      <c r="C77">
        <v>21</v>
      </c>
      <c r="D77" t="str">
        <f>"1793"</f>
        <v>1793</v>
      </c>
      <c r="E77" t="str">
        <f>"Расходы будущих периодов"</f>
        <v>Расходы будущих периодов</v>
      </c>
      <c r="F77" t="str">
        <f>"1"</f>
        <v>1</v>
      </c>
      <c r="G77" t="str">
        <f>"9"</f>
        <v>9</v>
      </c>
      <c r="H77" t="str">
        <f>"1"</f>
        <v>1</v>
      </c>
      <c r="I77" s="2">
        <v>3354052.13</v>
      </c>
    </row>
    <row r="78" spans="1:9" x14ac:dyDescent="0.25">
      <c r="A78">
        <v>72</v>
      </c>
      <c r="B78" s="1">
        <v>45747</v>
      </c>
      <c r="C78">
        <v>21</v>
      </c>
      <c r="D78" t="str">
        <f>"1799"</f>
        <v>1799</v>
      </c>
      <c r="E78" t="str">
        <f>"Прочие предоплаты"</f>
        <v>Прочие предоплаты</v>
      </c>
      <c r="F78" t="str">
        <f>"1"</f>
        <v>1</v>
      </c>
      <c r="G78" t="str">
        <f>"5"</f>
        <v>5</v>
      </c>
      <c r="H78" t="str">
        <f>"1"</f>
        <v>1</v>
      </c>
      <c r="I78" s="2">
        <v>6842834.1399999997</v>
      </c>
    </row>
    <row r="79" spans="1:9" x14ac:dyDescent="0.25">
      <c r="A79">
        <v>73</v>
      </c>
      <c r="B79" s="1">
        <v>45747</v>
      </c>
      <c r="C79">
        <v>21</v>
      </c>
      <c r="D79" t="str">
        <f>"1799"</f>
        <v>1799</v>
      </c>
      <c r="E79" t="str">
        <f>"Прочие предоплаты"</f>
        <v>Прочие предоплаты</v>
      </c>
      <c r="F79" t="str">
        <f>"2"</f>
        <v>2</v>
      </c>
      <c r="G79" t="str">
        <f>"7"</f>
        <v>7</v>
      </c>
      <c r="H79" t="str">
        <f>"2"</f>
        <v>2</v>
      </c>
      <c r="I79" s="2">
        <v>10921126</v>
      </c>
    </row>
    <row r="80" spans="1:9" x14ac:dyDescent="0.25">
      <c r="A80">
        <v>74</v>
      </c>
      <c r="B80" s="1">
        <v>45747</v>
      </c>
      <c r="C80">
        <v>21</v>
      </c>
      <c r="D80" t="str">
        <f>"1799"</f>
        <v>1799</v>
      </c>
      <c r="E80" t="str">
        <f>"Прочие предоплаты"</f>
        <v>Прочие предоплаты</v>
      </c>
      <c r="F80" t="str">
        <f>"1"</f>
        <v>1</v>
      </c>
      <c r="G80" t="str">
        <f>"7"</f>
        <v>7</v>
      </c>
      <c r="H80" t="str">
        <f>"1"</f>
        <v>1</v>
      </c>
      <c r="I80" s="2">
        <v>72940980.310000002</v>
      </c>
    </row>
    <row r="81" spans="1:9" x14ac:dyDescent="0.25">
      <c r="A81">
        <v>75</v>
      </c>
      <c r="B81" s="1">
        <v>45747</v>
      </c>
      <c r="C81">
        <v>21</v>
      </c>
      <c r="D81" t="str">
        <f>"1816"</f>
        <v>1816</v>
      </c>
      <c r="E8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81" t="str">
        <f>"2"</f>
        <v>2</v>
      </c>
      <c r="G81" t="str">
        <f>""</f>
        <v/>
      </c>
      <c r="H81" t="str">
        <f>"2"</f>
        <v>2</v>
      </c>
      <c r="I81" s="2">
        <v>1368878.65</v>
      </c>
    </row>
    <row r="82" spans="1:9" x14ac:dyDescent="0.25">
      <c r="A82">
        <v>76</v>
      </c>
      <c r="B82" s="1">
        <v>45747</v>
      </c>
      <c r="C82">
        <v>21</v>
      </c>
      <c r="D82" t="str">
        <f>"1811"</f>
        <v>1811</v>
      </c>
      <c r="E82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82" t="str">
        <f>"1"</f>
        <v>1</v>
      </c>
      <c r="G82" t="str">
        <f>""</f>
        <v/>
      </c>
      <c r="H82" t="str">
        <f>"1"</f>
        <v>1</v>
      </c>
      <c r="I82" s="2">
        <v>864400</v>
      </c>
    </row>
    <row r="83" spans="1:9" x14ac:dyDescent="0.25">
      <c r="A83">
        <v>77</v>
      </c>
      <c r="B83" s="1">
        <v>45747</v>
      </c>
      <c r="C83">
        <v>21</v>
      </c>
      <c r="D83" t="str">
        <f>"1822"</f>
        <v>1822</v>
      </c>
      <c r="E83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83" t="str">
        <f>"1"</f>
        <v>1</v>
      </c>
      <c r="G83" t="str">
        <f>""</f>
        <v/>
      </c>
      <c r="H83" t="str">
        <f>"1"</f>
        <v>1</v>
      </c>
      <c r="I83" s="2">
        <v>3052571.79</v>
      </c>
    </row>
    <row r="84" spans="1:9" x14ac:dyDescent="0.25">
      <c r="A84">
        <v>78</v>
      </c>
      <c r="B84" s="1">
        <v>45747</v>
      </c>
      <c r="C84">
        <v>21</v>
      </c>
      <c r="D84" t="str">
        <f>"1817"</f>
        <v>1817</v>
      </c>
      <c r="E84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84" t="str">
        <f>"2"</f>
        <v>2</v>
      </c>
      <c r="G84" t="str">
        <f>""</f>
        <v/>
      </c>
      <c r="H84" t="str">
        <f>"1"</f>
        <v>1</v>
      </c>
      <c r="I84" s="2">
        <v>71600</v>
      </c>
    </row>
    <row r="85" spans="1:9" x14ac:dyDescent="0.25">
      <c r="A85">
        <v>79</v>
      </c>
      <c r="B85" s="1">
        <v>45747</v>
      </c>
      <c r="C85">
        <v>21</v>
      </c>
      <c r="D85" t="str">
        <f>"1816"</f>
        <v>1816</v>
      </c>
      <c r="E85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85" t="str">
        <f>"1"</f>
        <v>1</v>
      </c>
      <c r="G85" t="str">
        <f>""</f>
        <v/>
      </c>
      <c r="H85" t="str">
        <f>"2"</f>
        <v>2</v>
      </c>
      <c r="I85" s="2">
        <v>75494.490000000005</v>
      </c>
    </row>
    <row r="86" spans="1:9" x14ac:dyDescent="0.25">
      <c r="A86">
        <v>80</v>
      </c>
      <c r="B86" s="1">
        <v>45747</v>
      </c>
      <c r="C86">
        <v>21</v>
      </c>
      <c r="D86" t="str">
        <f>"1816"</f>
        <v>1816</v>
      </c>
      <c r="E86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86" t="str">
        <f>"1"</f>
        <v>1</v>
      </c>
      <c r="G86" t="str">
        <f>""</f>
        <v/>
      </c>
      <c r="H86" t="str">
        <f>"1"</f>
        <v>1</v>
      </c>
      <c r="I86" s="2">
        <v>22561507.800000001</v>
      </c>
    </row>
    <row r="87" spans="1:9" x14ac:dyDescent="0.25">
      <c r="A87">
        <v>81</v>
      </c>
      <c r="B87" s="1">
        <v>45747</v>
      </c>
      <c r="C87">
        <v>21</v>
      </c>
      <c r="D87" t="str">
        <f>"1854"</f>
        <v>1854</v>
      </c>
      <c r="E87" t="str">
        <f>"Расчеты с работниками"</f>
        <v>Расчеты с работниками</v>
      </c>
      <c r="F87" t="str">
        <f>""</f>
        <v/>
      </c>
      <c r="G87" t="str">
        <f>""</f>
        <v/>
      </c>
      <c r="H87" t="str">
        <f>""</f>
        <v/>
      </c>
      <c r="I87" s="2">
        <v>24807490.18</v>
      </c>
    </row>
    <row r="88" spans="1:9" x14ac:dyDescent="0.25">
      <c r="A88">
        <v>82</v>
      </c>
      <c r="B88" s="1">
        <v>45747</v>
      </c>
      <c r="C88">
        <v>21</v>
      </c>
      <c r="D88" t="str">
        <f>"1851"</f>
        <v>1851</v>
      </c>
      <c r="E88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88" t="str">
        <f>"1"</f>
        <v>1</v>
      </c>
      <c r="G88" t="str">
        <f>"1"</f>
        <v>1</v>
      </c>
      <c r="H88" t="str">
        <f>"1"</f>
        <v>1</v>
      </c>
      <c r="I88" s="2">
        <v>2940801633.0799999</v>
      </c>
    </row>
    <row r="89" spans="1:9" x14ac:dyDescent="0.25">
      <c r="A89">
        <v>83</v>
      </c>
      <c r="B89" s="1">
        <v>45747</v>
      </c>
      <c r="C89">
        <v>21</v>
      </c>
      <c r="D89" t="str">
        <f>"1817"</f>
        <v>1817</v>
      </c>
      <c r="E89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89" t="str">
        <f t="shared" ref="F89:F96" si="1">"1"</f>
        <v>1</v>
      </c>
      <c r="G89" t="str">
        <f>""</f>
        <v/>
      </c>
      <c r="H89" t="str">
        <f>"1"</f>
        <v>1</v>
      </c>
      <c r="I89" s="2">
        <v>1225000</v>
      </c>
    </row>
    <row r="90" spans="1:9" x14ac:dyDescent="0.25">
      <c r="A90">
        <v>84</v>
      </c>
      <c r="B90" s="1">
        <v>45747</v>
      </c>
      <c r="C90">
        <v>21</v>
      </c>
      <c r="D90" t="str">
        <f>"1852"</f>
        <v>1852</v>
      </c>
      <c r="E90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90" t="str">
        <f t="shared" si="1"/>
        <v>1</v>
      </c>
      <c r="G90" t="str">
        <f>"5"</f>
        <v>5</v>
      </c>
      <c r="H90" t="str">
        <f>"1"</f>
        <v>1</v>
      </c>
      <c r="I90" s="2">
        <v>55000000</v>
      </c>
    </row>
    <row r="91" spans="1:9" x14ac:dyDescent="0.25">
      <c r="A91">
        <v>85</v>
      </c>
      <c r="B91" s="1">
        <v>45747</v>
      </c>
      <c r="C91">
        <v>21</v>
      </c>
      <c r="D91" t="str">
        <f>"1855"</f>
        <v>1855</v>
      </c>
      <c r="E91" t="str">
        <f>"Дебиторы по документарным расчетам"</f>
        <v>Дебиторы по документарным расчетам</v>
      </c>
      <c r="F91" t="str">
        <f t="shared" si="1"/>
        <v>1</v>
      </c>
      <c r="G91" t="str">
        <f>"7"</f>
        <v>7</v>
      </c>
      <c r="H91" t="str">
        <f>"1"</f>
        <v>1</v>
      </c>
      <c r="I91" s="2">
        <v>278646892.49000001</v>
      </c>
    </row>
    <row r="92" spans="1:9" x14ac:dyDescent="0.25">
      <c r="A92">
        <v>86</v>
      </c>
      <c r="B92" s="1">
        <v>45747</v>
      </c>
      <c r="C92">
        <v>21</v>
      </c>
      <c r="D92" t="str">
        <f>"1856"</f>
        <v>1856</v>
      </c>
      <c r="E92" t="str">
        <f>"Дебиторы по капитальным вложениям"</f>
        <v>Дебиторы по капитальным вложениям</v>
      </c>
      <c r="F92" t="str">
        <f t="shared" si="1"/>
        <v>1</v>
      </c>
      <c r="G92" t="str">
        <f>"7"</f>
        <v>7</v>
      </c>
      <c r="H92" t="str">
        <f>"1"</f>
        <v>1</v>
      </c>
      <c r="I92" s="2">
        <v>55830242</v>
      </c>
    </row>
    <row r="93" spans="1:9" x14ac:dyDescent="0.25">
      <c r="A93">
        <v>87</v>
      </c>
      <c r="B93" s="1">
        <v>45747</v>
      </c>
      <c r="C93">
        <v>21</v>
      </c>
      <c r="D93" t="str">
        <f>"1860"</f>
        <v>1860</v>
      </c>
      <c r="E93" t="str">
        <f>"Прочие дебиторы по банковской деятельности"</f>
        <v>Прочие дебиторы по банковской деятельности</v>
      </c>
      <c r="F93" t="str">
        <f t="shared" si="1"/>
        <v>1</v>
      </c>
      <c r="G93" t="str">
        <f>"5"</f>
        <v>5</v>
      </c>
      <c r="H93" t="str">
        <f>"2"</f>
        <v>2</v>
      </c>
      <c r="I93" s="2">
        <v>5044400</v>
      </c>
    </row>
    <row r="94" spans="1:9" x14ac:dyDescent="0.25">
      <c r="A94">
        <v>88</v>
      </c>
      <c r="B94" s="1">
        <v>45747</v>
      </c>
      <c r="C94">
        <v>21</v>
      </c>
      <c r="D94" t="str">
        <f>"1744"</f>
        <v>1744</v>
      </c>
      <c r="E94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94" t="str">
        <f t="shared" si="1"/>
        <v>1</v>
      </c>
      <c r="G94" t="str">
        <f>"1"</f>
        <v>1</v>
      </c>
      <c r="H94" t="str">
        <f>"1"</f>
        <v>1</v>
      </c>
      <c r="I94" s="2">
        <v>3467063.08</v>
      </c>
    </row>
    <row r="95" spans="1:9" x14ac:dyDescent="0.25">
      <c r="A95">
        <v>89</v>
      </c>
      <c r="B95" s="1">
        <v>45747</v>
      </c>
      <c r="C95">
        <v>21</v>
      </c>
      <c r="D95" t="str">
        <f>"1860"</f>
        <v>1860</v>
      </c>
      <c r="E95" t="str">
        <f>"Прочие дебиторы по банковской деятельности"</f>
        <v>Прочие дебиторы по банковской деятельности</v>
      </c>
      <c r="F95" t="str">
        <f t="shared" si="1"/>
        <v>1</v>
      </c>
      <c r="G95" t="str">
        <f>"5"</f>
        <v>5</v>
      </c>
      <c r="H95" t="str">
        <f>"1"</f>
        <v>1</v>
      </c>
      <c r="I95" s="2">
        <v>3444035.32</v>
      </c>
    </row>
    <row r="96" spans="1:9" x14ac:dyDescent="0.25">
      <c r="A96">
        <v>90</v>
      </c>
      <c r="B96" s="1">
        <v>45747</v>
      </c>
      <c r="C96">
        <v>21</v>
      </c>
      <c r="D96" t="str">
        <f>"1860"</f>
        <v>1860</v>
      </c>
      <c r="E96" t="str">
        <f>"Прочие дебиторы по банковской деятельности"</f>
        <v>Прочие дебиторы по банковской деятельности</v>
      </c>
      <c r="F96" t="str">
        <f t="shared" si="1"/>
        <v>1</v>
      </c>
      <c r="G96" t="str">
        <f>"6"</f>
        <v>6</v>
      </c>
      <c r="H96" t="str">
        <f>"1"</f>
        <v>1</v>
      </c>
      <c r="I96" s="2">
        <v>89196.43</v>
      </c>
    </row>
    <row r="97" spans="1:9" x14ac:dyDescent="0.25">
      <c r="A97">
        <v>91</v>
      </c>
      <c r="B97" s="1">
        <v>45747</v>
      </c>
      <c r="C97">
        <v>21</v>
      </c>
      <c r="D97" t="str">
        <f>"1860"</f>
        <v>1860</v>
      </c>
      <c r="E97" t="str">
        <f>"Прочие дебиторы по банковской деятельности"</f>
        <v>Прочие дебиторы по банковской деятельности</v>
      </c>
      <c r="F97" t="str">
        <f>"2"</f>
        <v>2</v>
      </c>
      <c r="G97" t="str">
        <f>"4"</f>
        <v>4</v>
      </c>
      <c r="H97" t="str">
        <f>"2"</f>
        <v>2</v>
      </c>
      <c r="I97" s="2">
        <v>103609156.48999999</v>
      </c>
    </row>
    <row r="98" spans="1:9" x14ac:dyDescent="0.25">
      <c r="A98">
        <v>92</v>
      </c>
      <c r="B98" s="1">
        <v>45747</v>
      </c>
      <c r="C98">
        <v>21</v>
      </c>
      <c r="D98" t="str">
        <f>"1860"</f>
        <v>1860</v>
      </c>
      <c r="E98" t="str">
        <f>"Прочие дебиторы по банковской деятельности"</f>
        <v>Прочие дебиторы по банковской деятельности</v>
      </c>
      <c r="F98" t="str">
        <f>"2"</f>
        <v>2</v>
      </c>
      <c r="G98" t="str">
        <f>"5"</f>
        <v>5</v>
      </c>
      <c r="H98" t="str">
        <f>"2"</f>
        <v>2</v>
      </c>
      <c r="I98" s="2">
        <v>86331369.870000005</v>
      </c>
    </row>
    <row r="99" spans="1:9" x14ac:dyDescent="0.25">
      <c r="A99">
        <v>93</v>
      </c>
      <c r="B99" s="1">
        <v>45747</v>
      </c>
      <c r="C99">
        <v>21</v>
      </c>
      <c r="D99" t="str">
        <f>"1892"</f>
        <v>1892</v>
      </c>
      <c r="E99" t="str">
        <f>"Требования по операциям форвард"</f>
        <v>Требования по операциям форвард</v>
      </c>
      <c r="F99" t="str">
        <f>"1"</f>
        <v>1</v>
      </c>
      <c r="G99" t="str">
        <f>"4"</f>
        <v>4</v>
      </c>
      <c r="H99" t="str">
        <f>"2"</f>
        <v>2</v>
      </c>
      <c r="I99" s="2">
        <v>58158592.960000001</v>
      </c>
    </row>
    <row r="100" spans="1:9" x14ac:dyDescent="0.25">
      <c r="A100">
        <v>94</v>
      </c>
      <c r="B100" s="1">
        <v>45747</v>
      </c>
      <c r="C100">
        <v>21</v>
      </c>
      <c r="D100" t="str">
        <f>"1860"</f>
        <v>1860</v>
      </c>
      <c r="E100" t="str">
        <f>"Прочие дебиторы по банковской деятельности"</f>
        <v>Прочие дебиторы по банковской деятельности</v>
      </c>
      <c r="F100" t="str">
        <f>"2"</f>
        <v>2</v>
      </c>
      <c r="G100" t="str">
        <f>"5"</f>
        <v>5</v>
      </c>
      <c r="H100" t="str">
        <f>"1"</f>
        <v>1</v>
      </c>
      <c r="I100" s="2">
        <v>10000</v>
      </c>
    </row>
    <row r="101" spans="1:9" x14ac:dyDescent="0.25">
      <c r="A101">
        <v>95</v>
      </c>
      <c r="B101" s="1">
        <v>45747</v>
      </c>
      <c r="C101">
        <v>21</v>
      </c>
      <c r="D101" t="str">
        <f>"1870"</f>
        <v>1870</v>
      </c>
      <c r="E101" t="str">
        <f>"Прочие транзитные счета"</f>
        <v>Прочие транзитные счета</v>
      </c>
      <c r="F101" t="str">
        <f>"1"</f>
        <v>1</v>
      </c>
      <c r="G101" t="str">
        <f>"7"</f>
        <v>7</v>
      </c>
      <c r="H101" t="str">
        <f>"1"</f>
        <v>1</v>
      </c>
      <c r="I101" s="2">
        <v>187567119.72</v>
      </c>
    </row>
    <row r="102" spans="1:9" x14ac:dyDescent="0.25">
      <c r="A102">
        <v>96</v>
      </c>
      <c r="B102" s="1">
        <v>45747</v>
      </c>
      <c r="C102">
        <v>21</v>
      </c>
      <c r="D102" t="str">
        <f>"1892"</f>
        <v>1892</v>
      </c>
      <c r="E102" t="str">
        <f>"Требования по операциям форвард"</f>
        <v>Требования по операциям форвард</v>
      </c>
      <c r="F102" t="str">
        <f>"2"</f>
        <v>2</v>
      </c>
      <c r="G102" t="str">
        <f>"4"</f>
        <v>4</v>
      </c>
      <c r="H102" t="str">
        <f>"2"</f>
        <v>2</v>
      </c>
      <c r="I102" s="2">
        <v>187505742.47999999</v>
      </c>
    </row>
    <row r="103" spans="1:9" x14ac:dyDescent="0.25">
      <c r="A103">
        <v>97</v>
      </c>
      <c r="B103" s="1">
        <v>45747</v>
      </c>
      <c r="C103">
        <v>21</v>
      </c>
      <c r="D103" t="str">
        <f>"1892"</f>
        <v>1892</v>
      </c>
      <c r="E103" t="str">
        <f>"Требования по операциям форвард"</f>
        <v>Требования по операциям форвард</v>
      </c>
      <c r="F103" t="str">
        <f>"1"</f>
        <v>1</v>
      </c>
      <c r="G103" t="str">
        <f>"7"</f>
        <v>7</v>
      </c>
      <c r="H103" t="str">
        <f>"2"</f>
        <v>2</v>
      </c>
      <c r="I103" s="2">
        <v>570310019.35000002</v>
      </c>
    </row>
    <row r="104" spans="1:9" x14ac:dyDescent="0.25">
      <c r="A104">
        <v>98</v>
      </c>
      <c r="B104" s="1">
        <v>45747</v>
      </c>
      <c r="C104">
        <v>21</v>
      </c>
      <c r="D104" t="str">
        <f>"1894"</f>
        <v>1894</v>
      </c>
      <c r="E104" t="str">
        <f>"Требования по операциям спот"</f>
        <v>Требования по операциям спот</v>
      </c>
      <c r="F104" t="str">
        <f>"1"</f>
        <v>1</v>
      </c>
      <c r="G104" t="str">
        <f>"5"</f>
        <v>5</v>
      </c>
      <c r="H104" t="str">
        <f>"2"</f>
        <v>2</v>
      </c>
      <c r="I104" s="2">
        <v>13010389.92</v>
      </c>
    </row>
    <row r="105" spans="1:9" x14ac:dyDescent="0.25">
      <c r="A105">
        <v>99</v>
      </c>
      <c r="B105" s="1">
        <v>45747</v>
      </c>
      <c r="C105">
        <v>21</v>
      </c>
      <c r="D105" t="str">
        <f>"1895"</f>
        <v>1895</v>
      </c>
      <c r="E105" t="str">
        <f>"Требования по операциям своп"</f>
        <v>Требования по операциям своп</v>
      </c>
      <c r="F105" t="str">
        <f>"1"</f>
        <v>1</v>
      </c>
      <c r="G105" t="str">
        <f>"5"</f>
        <v>5</v>
      </c>
      <c r="H105" t="str">
        <f>"2"</f>
        <v>2</v>
      </c>
      <c r="I105" s="2">
        <v>6938204</v>
      </c>
    </row>
    <row r="106" spans="1:9" x14ac:dyDescent="0.25">
      <c r="A106">
        <v>100</v>
      </c>
      <c r="B106" s="1">
        <v>45747</v>
      </c>
      <c r="C106">
        <v>21</v>
      </c>
      <c r="D106" t="str">
        <f>"1895"</f>
        <v>1895</v>
      </c>
      <c r="E106" t="str">
        <f>"Требования по операциям своп"</f>
        <v>Требования по операциям своп</v>
      </c>
      <c r="F106" t="str">
        <f>"2"</f>
        <v>2</v>
      </c>
      <c r="G106" t="str">
        <f>"4"</f>
        <v>4</v>
      </c>
      <c r="H106" t="str">
        <f>"2"</f>
        <v>2</v>
      </c>
      <c r="I106" s="2">
        <v>3697753217.3899999</v>
      </c>
    </row>
    <row r="107" spans="1:9" x14ac:dyDescent="0.25">
      <c r="A107">
        <v>101</v>
      </c>
      <c r="B107" s="1">
        <v>45747</v>
      </c>
      <c r="C107">
        <v>21</v>
      </c>
      <c r="D107" t="str">
        <f>"2012"</f>
        <v>2012</v>
      </c>
      <c r="E107" t="str">
        <f>"Корреспондентские счета иностранных центральных банков"</f>
        <v>Корреспондентские счета иностранных центральных банков</v>
      </c>
      <c r="F107" t="str">
        <f>"2"</f>
        <v>2</v>
      </c>
      <c r="G107" t="str">
        <f>"3"</f>
        <v>3</v>
      </c>
      <c r="H107" t="str">
        <f>"1"</f>
        <v>1</v>
      </c>
      <c r="I107" s="2">
        <v>1570575390.3699999</v>
      </c>
    </row>
    <row r="108" spans="1:9" x14ac:dyDescent="0.25">
      <c r="A108">
        <v>102</v>
      </c>
      <c r="B108" s="1">
        <v>45747</v>
      </c>
      <c r="C108">
        <v>21</v>
      </c>
      <c r="D108" t="str">
        <f>"2013"</f>
        <v>2013</v>
      </c>
      <c r="E108" t="str">
        <f>"Корреспондентские счета других банков"</f>
        <v>Корреспондентские счета других банков</v>
      </c>
      <c r="F108" t="str">
        <f>"2"</f>
        <v>2</v>
      </c>
      <c r="G108" t="str">
        <f>"4"</f>
        <v>4</v>
      </c>
      <c r="H108" t="str">
        <f>"1"</f>
        <v>1</v>
      </c>
      <c r="I108" s="2">
        <v>4322196259.5799999</v>
      </c>
    </row>
    <row r="109" spans="1:9" x14ac:dyDescent="0.25">
      <c r="A109">
        <v>103</v>
      </c>
      <c r="B109" s="1">
        <v>45747</v>
      </c>
      <c r="C109">
        <v>21</v>
      </c>
      <c r="D109" t="str">
        <f>"2013"</f>
        <v>2013</v>
      </c>
      <c r="E109" t="str">
        <f>"Корреспондентские счета других банков"</f>
        <v>Корреспондентские счета других банков</v>
      </c>
      <c r="F109" t="str">
        <f>"2"</f>
        <v>2</v>
      </c>
      <c r="G109" t="str">
        <f>"4"</f>
        <v>4</v>
      </c>
      <c r="H109" t="str">
        <f>"2"</f>
        <v>2</v>
      </c>
      <c r="I109" s="2">
        <v>4878012735.9799995</v>
      </c>
    </row>
    <row r="110" spans="1:9" x14ac:dyDescent="0.25">
      <c r="A110">
        <v>104</v>
      </c>
      <c r="B110" s="1">
        <v>45747</v>
      </c>
      <c r="C110">
        <v>21</v>
      </c>
      <c r="D110" t="str">
        <f>"2125"</f>
        <v>2125</v>
      </c>
      <c r="E110" t="str">
        <f>"Вклады, привлеченные от других банков на одну ночь"</f>
        <v>Вклады, привлеченные от других банков на одну ночь</v>
      </c>
      <c r="F110" t="str">
        <f>"2"</f>
        <v>2</v>
      </c>
      <c r="G110" t="str">
        <f>"4"</f>
        <v>4</v>
      </c>
      <c r="H110" t="str">
        <f>"2"</f>
        <v>2</v>
      </c>
      <c r="I110" s="2">
        <v>189165000000</v>
      </c>
    </row>
    <row r="111" spans="1:9" x14ac:dyDescent="0.25">
      <c r="A111">
        <v>105</v>
      </c>
      <c r="B111" s="1">
        <v>45747</v>
      </c>
      <c r="C111">
        <v>21</v>
      </c>
      <c r="D111" t="str">
        <f>"2014"</f>
        <v>2014</v>
      </c>
      <c r="E11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11" t="str">
        <f t="shared" ref="F111:F117" si="2">"1"</f>
        <v>1</v>
      </c>
      <c r="G111" t="str">
        <f>"6"</f>
        <v>6</v>
      </c>
      <c r="H111" t="str">
        <f>"1"</f>
        <v>1</v>
      </c>
      <c r="I111" s="2">
        <v>286801</v>
      </c>
    </row>
    <row r="112" spans="1:9" x14ac:dyDescent="0.25">
      <c r="A112">
        <v>106</v>
      </c>
      <c r="B112" s="1">
        <v>45747</v>
      </c>
      <c r="C112">
        <v>21</v>
      </c>
      <c r="D112" t="str">
        <f>"1870"</f>
        <v>1870</v>
      </c>
      <c r="E112" t="str">
        <f>"Прочие транзитные счета"</f>
        <v>Прочие транзитные счета</v>
      </c>
      <c r="F112" t="str">
        <f t="shared" si="2"/>
        <v>1</v>
      </c>
      <c r="G112" t="str">
        <f>"3"</f>
        <v>3</v>
      </c>
      <c r="H112" t="str">
        <f>"1"</f>
        <v>1</v>
      </c>
      <c r="I112" s="2">
        <v>98233367.450000003</v>
      </c>
    </row>
    <row r="113" spans="1:9" x14ac:dyDescent="0.25">
      <c r="A113">
        <v>107</v>
      </c>
      <c r="B113" s="1">
        <v>45747</v>
      </c>
      <c r="C113">
        <v>21</v>
      </c>
      <c r="D113" t="str">
        <f>"2014"</f>
        <v>2014</v>
      </c>
      <c r="E113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13" t="str">
        <f t="shared" si="2"/>
        <v>1</v>
      </c>
      <c r="G113" t="str">
        <f>"6"</f>
        <v>6</v>
      </c>
      <c r="H113" t="str">
        <f>"2"</f>
        <v>2</v>
      </c>
      <c r="I113" s="2">
        <v>73992927.439999998</v>
      </c>
    </row>
    <row r="114" spans="1:9" x14ac:dyDescent="0.25">
      <c r="A114">
        <v>108</v>
      </c>
      <c r="B114" s="1">
        <v>45747</v>
      </c>
      <c r="C114">
        <v>21</v>
      </c>
      <c r="D114" t="str">
        <f t="shared" ref="D114:D119" si="3">"2203"</f>
        <v>2203</v>
      </c>
      <c r="E114" t="str">
        <f t="shared" ref="E114:E119" si="4">"Текущие счета юридических лиц"</f>
        <v>Текущие счета юридических лиц</v>
      </c>
      <c r="F114" t="str">
        <f t="shared" si="2"/>
        <v>1</v>
      </c>
      <c r="G114" t="str">
        <f>"6"</f>
        <v>6</v>
      </c>
      <c r="H114" t="str">
        <f>"1"</f>
        <v>1</v>
      </c>
      <c r="I114" s="2">
        <v>1188784494.77</v>
      </c>
    </row>
    <row r="115" spans="1:9" x14ac:dyDescent="0.25">
      <c r="A115">
        <v>109</v>
      </c>
      <c r="B115" s="1">
        <v>45747</v>
      </c>
      <c r="C115">
        <v>21</v>
      </c>
      <c r="D115" t="str">
        <f t="shared" si="3"/>
        <v>2203</v>
      </c>
      <c r="E115" t="str">
        <f t="shared" si="4"/>
        <v>Текущие счета юридических лиц</v>
      </c>
      <c r="F115" t="str">
        <f t="shared" si="2"/>
        <v>1</v>
      </c>
      <c r="G115" t="str">
        <f>"5"</f>
        <v>5</v>
      </c>
      <c r="H115" t="str">
        <f>"2"</f>
        <v>2</v>
      </c>
      <c r="I115" s="2">
        <v>5497921311.8599997</v>
      </c>
    </row>
    <row r="116" spans="1:9" x14ac:dyDescent="0.25">
      <c r="A116">
        <v>110</v>
      </c>
      <c r="B116" s="1">
        <v>45747</v>
      </c>
      <c r="C116">
        <v>21</v>
      </c>
      <c r="D116" t="str">
        <f t="shared" si="3"/>
        <v>2203</v>
      </c>
      <c r="E116" t="str">
        <f t="shared" si="4"/>
        <v>Текущие счета юридических лиц</v>
      </c>
      <c r="F116" t="str">
        <f t="shared" si="2"/>
        <v>1</v>
      </c>
      <c r="G116" t="str">
        <f>"6"</f>
        <v>6</v>
      </c>
      <c r="H116" t="str">
        <f>"2"</f>
        <v>2</v>
      </c>
      <c r="I116" s="2">
        <v>8210567264.8199997</v>
      </c>
    </row>
    <row r="117" spans="1:9" x14ac:dyDescent="0.25">
      <c r="A117">
        <v>111</v>
      </c>
      <c r="B117" s="1">
        <v>45747</v>
      </c>
      <c r="C117">
        <v>21</v>
      </c>
      <c r="D117" t="str">
        <f t="shared" si="3"/>
        <v>2203</v>
      </c>
      <c r="E117" t="str">
        <f t="shared" si="4"/>
        <v>Текущие счета юридических лиц</v>
      </c>
      <c r="F117" t="str">
        <f t="shared" si="2"/>
        <v>1</v>
      </c>
      <c r="G117" t="str">
        <f>"7"</f>
        <v>7</v>
      </c>
      <c r="H117" t="str">
        <f>"1"</f>
        <v>1</v>
      </c>
      <c r="I117" s="2">
        <v>271821146059.73999</v>
      </c>
    </row>
    <row r="118" spans="1:9" x14ac:dyDescent="0.25">
      <c r="A118">
        <v>112</v>
      </c>
      <c r="B118" s="1">
        <v>45747</v>
      </c>
      <c r="C118">
        <v>21</v>
      </c>
      <c r="D118" t="str">
        <f t="shared" si="3"/>
        <v>2203</v>
      </c>
      <c r="E118" t="str">
        <f t="shared" si="4"/>
        <v>Текущие счета юридических лиц</v>
      </c>
      <c r="F118" t="str">
        <f>"2"</f>
        <v>2</v>
      </c>
      <c r="G118" t="str">
        <f>"1"</f>
        <v>1</v>
      </c>
      <c r="H118" t="str">
        <f>"1"</f>
        <v>1</v>
      </c>
      <c r="I118" s="2">
        <v>598526798.90999997</v>
      </c>
    </row>
    <row r="119" spans="1:9" x14ac:dyDescent="0.25">
      <c r="A119">
        <v>113</v>
      </c>
      <c r="B119" s="1">
        <v>45747</v>
      </c>
      <c r="C119">
        <v>21</v>
      </c>
      <c r="D119" t="str">
        <f t="shared" si="3"/>
        <v>2203</v>
      </c>
      <c r="E119" t="str">
        <f t="shared" si="4"/>
        <v>Текущие счета юридических лиц</v>
      </c>
      <c r="F119" t="str">
        <f>"1"</f>
        <v>1</v>
      </c>
      <c r="G119" t="str">
        <f>"7"</f>
        <v>7</v>
      </c>
      <c r="H119" t="str">
        <f>"3"</f>
        <v>3</v>
      </c>
      <c r="I119" s="2">
        <v>154715114.43000001</v>
      </c>
    </row>
    <row r="120" spans="1:9" x14ac:dyDescent="0.25">
      <c r="A120">
        <v>114</v>
      </c>
      <c r="B120" s="1">
        <v>45747</v>
      </c>
      <c r="C120">
        <v>21</v>
      </c>
      <c r="D120" t="str">
        <f>"2123"</f>
        <v>2123</v>
      </c>
      <c r="E120" t="str">
        <f>"Краткосрочные вклады других банков (до одного месяца)"</f>
        <v>Краткосрочные вклады других банков (до одного месяца)</v>
      </c>
      <c r="F120" t="str">
        <f>"2"</f>
        <v>2</v>
      </c>
      <c r="G120" t="str">
        <f>"4"</f>
        <v>4</v>
      </c>
      <c r="H120" t="str">
        <f>"1"</f>
        <v>1</v>
      </c>
      <c r="I120" s="2">
        <v>3975000000</v>
      </c>
    </row>
    <row r="121" spans="1:9" x14ac:dyDescent="0.25">
      <c r="A121">
        <v>115</v>
      </c>
      <c r="B121" s="1">
        <v>45747</v>
      </c>
      <c r="C121">
        <v>21</v>
      </c>
      <c r="D121" t="str">
        <f>"2014"</f>
        <v>2014</v>
      </c>
      <c r="E12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21" t="str">
        <f>"2"</f>
        <v>2</v>
      </c>
      <c r="G121" t="str">
        <f>"5"</f>
        <v>5</v>
      </c>
      <c r="H121" t="str">
        <f>"1"</f>
        <v>1</v>
      </c>
      <c r="I121" s="2">
        <v>1278658312.1400001</v>
      </c>
    </row>
    <row r="122" spans="1:9" x14ac:dyDescent="0.25">
      <c r="A122">
        <v>116</v>
      </c>
      <c r="B122" s="1">
        <v>45747</v>
      </c>
      <c r="C122">
        <v>21</v>
      </c>
      <c r="D122" t="str">
        <f>"2203"</f>
        <v>2203</v>
      </c>
      <c r="E122" t="str">
        <f>"Текущие счета юридических лиц"</f>
        <v>Текущие счета юридических лиц</v>
      </c>
      <c r="F122" t="str">
        <f>"2"</f>
        <v>2</v>
      </c>
      <c r="G122" t="str">
        <f>"1"</f>
        <v>1</v>
      </c>
      <c r="H122" t="str">
        <f>"2"</f>
        <v>2</v>
      </c>
      <c r="I122" s="2">
        <v>673721092.22000003</v>
      </c>
    </row>
    <row r="123" spans="1:9" x14ac:dyDescent="0.25">
      <c r="A123">
        <v>117</v>
      </c>
      <c r="B123" s="1">
        <v>45747</v>
      </c>
      <c r="C123">
        <v>21</v>
      </c>
      <c r="D123" t="str">
        <f>"2203"</f>
        <v>2203</v>
      </c>
      <c r="E123" t="str">
        <f>"Текущие счета юридических лиц"</f>
        <v>Текущие счета юридических лиц</v>
      </c>
      <c r="F123" t="str">
        <f>"1"</f>
        <v>1</v>
      </c>
      <c r="G123" t="str">
        <f>"7"</f>
        <v>7</v>
      </c>
      <c r="H123" t="str">
        <f>"2"</f>
        <v>2</v>
      </c>
      <c r="I123" s="2">
        <v>408000554495.58002</v>
      </c>
    </row>
    <row r="124" spans="1:9" x14ac:dyDescent="0.25">
      <c r="A124">
        <v>118</v>
      </c>
      <c r="B124" s="1">
        <v>45747</v>
      </c>
      <c r="C124">
        <v>21</v>
      </c>
      <c r="D124" t="str">
        <f>"1894"</f>
        <v>1894</v>
      </c>
      <c r="E124" t="str">
        <f>"Требования по операциям спот"</f>
        <v>Требования по операциям спот</v>
      </c>
      <c r="F124" t="str">
        <f>"2"</f>
        <v>2</v>
      </c>
      <c r="G124" t="str">
        <f>"4"</f>
        <v>4</v>
      </c>
      <c r="H124" t="str">
        <f>"2"</f>
        <v>2</v>
      </c>
      <c r="I124" s="2">
        <v>451283661.00999999</v>
      </c>
    </row>
    <row r="125" spans="1:9" x14ac:dyDescent="0.25">
      <c r="A125">
        <v>119</v>
      </c>
      <c r="B125" s="1">
        <v>45747</v>
      </c>
      <c r="C125">
        <v>21</v>
      </c>
      <c r="D125" t="str">
        <f t="shared" ref="D125:D134" si="5">"2203"</f>
        <v>2203</v>
      </c>
      <c r="E125" t="str">
        <f t="shared" ref="E125:E134" si="6">"Текущие счета юридических лиц"</f>
        <v>Текущие счета юридических лиц</v>
      </c>
      <c r="F125" t="str">
        <f>"1"</f>
        <v>1</v>
      </c>
      <c r="G125" t="str">
        <f>"5"</f>
        <v>5</v>
      </c>
      <c r="H125" t="str">
        <f>"1"</f>
        <v>1</v>
      </c>
      <c r="I125" s="2">
        <v>5409444792.8199997</v>
      </c>
    </row>
    <row r="126" spans="1:9" x14ac:dyDescent="0.25">
      <c r="A126">
        <v>120</v>
      </c>
      <c r="B126" s="1">
        <v>45747</v>
      </c>
      <c r="C126">
        <v>21</v>
      </c>
      <c r="D126" t="str">
        <f t="shared" si="5"/>
        <v>2203</v>
      </c>
      <c r="E126" t="str">
        <f t="shared" si="6"/>
        <v>Текущие счета юридических лиц</v>
      </c>
      <c r="F126" t="str">
        <f>"2"</f>
        <v>2</v>
      </c>
      <c r="G126" t="str">
        <f>"3"</f>
        <v>3</v>
      </c>
      <c r="H126" t="str">
        <f>"2"</f>
        <v>2</v>
      </c>
      <c r="I126" s="2">
        <v>3702856.95</v>
      </c>
    </row>
    <row r="127" spans="1:9" x14ac:dyDescent="0.25">
      <c r="A127">
        <v>121</v>
      </c>
      <c r="B127" s="1">
        <v>45747</v>
      </c>
      <c r="C127">
        <v>21</v>
      </c>
      <c r="D127" t="str">
        <f t="shared" si="5"/>
        <v>2203</v>
      </c>
      <c r="E127" t="str">
        <f t="shared" si="6"/>
        <v>Текущие счета юридических лиц</v>
      </c>
      <c r="F127" t="str">
        <f>"2"</f>
        <v>2</v>
      </c>
      <c r="G127" t="str">
        <f>"5"</f>
        <v>5</v>
      </c>
      <c r="H127" t="str">
        <f>"1"</f>
        <v>1</v>
      </c>
      <c r="I127" s="2">
        <v>6261476476.3900003</v>
      </c>
    </row>
    <row r="128" spans="1:9" x14ac:dyDescent="0.25">
      <c r="A128">
        <v>122</v>
      </c>
      <c r="B128" s="1">
        <v>45747</v>
      </c>
      <c r="C128">
        <v>21</v>
      </c>
      <c r="D128" t="str">
        <f t="shared" si="5"/>
        <v>2203</v>
      </c>
      <c r="E128" t="str">
        <f t="shared" si="6"/>
        <v>Текущие счета юридических лиц</v>
      </c>
      <c r="F128" t="str">
        <f>"1"</f>
        <v>1</v>
      </c>
      <c r="G128" t="str">
        <f>"8"</f>
        <v>8</v>
      </c>
      <c r="H128" t="str">
        <f>"2"</f>
        <v>2</v>
      </c>
      <c r="I128" s="2">
        <v>104656751.05</v>
      </c>
    </row>
    <row r="129" spans="1:9" x14ac:dyDescent="0.25">
      <c r="A129">
        <v>123</v>
      </c>
      <c r="B129" s="1">
        <v>45747</v>
      </c>
      <c r="C129">
        <v>21</v>
      </c>
      <c r="D129" t="str">
        <f t="shared" si="5"/>
        <v>2203</v>
      </c>
      <c r="E129" t="str">
        <f t="shared" si="6"/>
        <v>Текущие счета юридических лиц</v>
      </c>
      <c r="F129" t="str">
        <f t="shared" ref="F129:F134" si="7">"2"</f>
        <v>2</v>
      </c>
      <c r="G129" t="str">
        <f>"5"</f>
        <v>5</v>
      </c>
      <c r="H129" t="str">
        <f>"2"</f>
        <v>2</v>
      </c>
      <c r="I129" s="2">
        <v>145342309.71000001</v>
      </c>
    </row>
    <row r="130" spans="1:9" x14ac:dyDescent="0.25">
      <c r="A130">
        <v>124</v>
      </c>
      <c r="B130" s="1">
        <v>45747</v>
      </c>
      <c r="C130">
        <v>21</v>
      </c>
      <c r="D130" t="str">
        <f t="shared" si="5"/>
        <v>2203</v>
      </c>
      <c r="E130" t="str">
        <f t="shared" si="6"/>
        <v>Текущие счета юридических лиц</v>
      </c>
      <c r="F130" t="str">
        <f t="shared" si="7"/>
        <v>2</v>
      </c>
      <c r="G130" t="str">
        <f>"3"</f>
        <v>3</v>
      </c>
      <c r="H130" t="str">
        <f>"1"</f>
        <v>1</v>
      </c>
      <c r="I130" s="2">
        <v>250073304.66999999</v>
      </c>
    </row>
    <row r="131" spans="1:9" x14ac:dyDescent="0.25">
      <c r="A131">
        <v>125</v>
      </c>
      <c r="B131" s="1">
        <v>45747</v>
      </c>
      <c r="C131">
        <v>21</v>
      </c>
      <c r="D131" t="str">
        <f t="shared" si="5"/>
        <v>2203</v>
      </c>
      <c r="E131" t="str">
        <f t="shared" si="6"/>
        <v>Текущие счета юридических лиц</v>
      </c>
      <c r="F131" t="str">
        <f t="shared" si="7"/>
        <v>2</v>
      </c>
      <c r="G131" t="str">
        <f>"7"</f>
        <v>7</v>
      </c>
      <c r="H131" t="str">
        <f>"3"</f>
        <v>3</v>
      </c>
      <c r="I131" s="2">
        <v>22258.18</v>
      </c>
    </row>
    <row r="132" spans="1:9" x14ac:dyDescent="0.25">
      <c r="A132">
        <v>126</v>
      </c>
      <c r="B132" s="1">
        <v>45747</v>
      </c>
      <c r="C132">
        <v>21</v>
      </c>
      <c r="D132" t="str">
        <f t="shared" si="5"/>
        <v>2203</v>
      </c>
      <c r="E132" t="str">
        <f t="shared" si="6"/>
        <v>Текущие счета юридических лиц</v>
      </c>
      <c r="F132" t="str">
        <f t="shared" si="7"/>
        <v>2</v>
      </c>
      <c r="G132" t="str">
        <f>"7"</f>
        <v>7</v>
      </c>
      <c r="H132" t="str">
        <f>"1"</f>
        <v>1</v>
      </c>
      <c r="I132" s="2">
        <v>4427629302.0600004</v>
      </c>
    </row>
    <row r="133" spans="1:9" x14ac:dyDescent="0.25">
      <c r="A133">
        <v>127</v>
      </c>
      <c r="B133" s="1">
        <v>45747</v>
      </c>
      <c r="C133">
        <v>21</v>
      </c>
      <c r="D133" t="str">
        <f t="shared" si="5"/>
        <v>2203</v>
      </c>
      <c r="E133" t="str">
        <f t="shared" si="6"/>
        <v>Текущие счета юридических лиц</v>
      </c>
      <c r="F133" t="str">
        <f t="shared" si="7"/>
        <v>2</v>
      </c>
      <c r="G133" t="str">
        <f>"8"</f>
        <v>8</v>
      </c>
      <c r="H133" t="str">
        <f>"2"</f>
        <v>2</v>
      </c>
      <c r="I133" s="2">
        <v>118311710.70999999</v>
      </c>
    </row>
    <row r="134" spans="1:9" x14ac:dyDescent="0.25">
      <c r="A134">
        <v>128</v>
      </c>
      <c r="B134" s="1">
        <v>45747</v>
      </c>
      <c r="C134">
        <v>21</v>
      </c>
      <c r="D134" t="str">
        <f t="shared" si="5"/>
        <v>2203</v>
      </c>
      <c r="E134" t="str">
        <f t="shared" si="6"/>
        <v>Текущие счета юридических лиц</v>
      </c>
      <c r="F134" t="str">
        <f t="shared" si="7"/>
        <v>2</v>
      </c>
      <c r="G134" t="str">
        <f>"7"</f>
        <v>7</v>
      </c>
      <c r="H134" t="str">
        <f>"2"</f>
        <v>2</v>
      </c>
      <c r="I134" s="2">
        <v>11019168564.26</v>
      </c>
    </row>
    <row r="135" spans="1:9" x14ac:dyDescent="0.25">
      <c r="A135">
        <v>129</v>
      </c>
      <c r="B135" s="1">
        <v>45747</v>
      </c>
      <c r="C135">
        <v>21</v>
      </c>
      <c r="D135" t="str">
        <f>"2204"</f>
        <v>2204</v>
      </c>
      <c r="E135" t="str">
        <f>"Текущие счета физических лиц"</f>
        <v>Текущие счета физических лиц</v>
      </c>
      <c r="F135" t="str">
        <f>"1"</f>
        <v>1</v>
      </c>
      <c r="G135" t="str">
        <f>"9"</f>
        <v>9</v>
      </c>
      <c r="H135" t="str">
        <f>"1"</f>
        <v>1</v>
      </c>
      <c r="I135" s="2">
        <v>2637435.84</v>
      </c>
    </row>
    <row r="136" spans="1:9" x14ac:dyDescent="0.25">
      <c r="A136">
        <v>130</v>
      </c>
      <c r="B136" s="1">
        <v>45747</v>
      </c>
      <c r="C136">
        <v>21</v>
      </c>
      <c r="D136" t="str">
        <f>"2215"</f>
        <v>2215</v>
      </c>
      <c r="E136" t="str">
        <f>"Краткосрочные вклады юридических лиц"</f>
        <v>Краткосрочные вклады юридических лиц</v>
      </c>
      <c r="F136" t="str">
        <f>"1"</f>
        <v>1</v>
      </c>
      <c r="G136" t="str">
        <f>"5"</f>
        <v>5</v>
      </c>
      <c r="H136" t="str">
        <f>"1"</f>
        <v>1</v>
      </c>
      <c r="I136" s="2">
        <v>228004905.74000001</v>
      </c>
    </row>
    <row r="137" spans="1:9" x14ac:dyDescent="0.25">
      <c r="A137">
        <v>131</v>
      </c>
      <c r="B137" s="1">
        <v>45747</v>
      </c>
      <c r="C137">
        <v>21</v>
      </c>
      <c r="D137" t="str">
        <f>"2215"</f>
        <v>2215</v>
      </c>
      <c r="E137" t="str">
        <f>"Краткосрочные вклады юридических лиц"</f>
        <v>Краткосрочные вклады юридических лиц</v>
      </c>
      <c r="F137" t="str">
        <f>"1"</f>
        <v>1</v>
      </c>
      <c r="G137" t="str">
        <f>"6"</f>
        <v>6</v>
      </c>
      <c r="H137" t="str">
        <f>"1"</f>
        <v>1</v>
      </c>
      <c r="I137" s="2">
        <v>229605098.27000001</v>
      </c>
    </row>
    <row r="138" spans="1:9" x14ac:dyDescent="0.25">
      <c r="A138">
        <v>132</v>
      </c>
      <c r="B138" s="1">
        <v>45747</v>
      </c>
      <c r="C138">
        <v>21</v>
      </c>
      <c r="D138" t="str">
        <f>"2215"</f>
        <v>2215</v>
      </c>
      <c r="E138" t="str">
        <f>"Краткосрочные вклады юридических лиц"</f>
        <v>Краткосрочные вклады юридических лиц</v>
      </c>
      <c r="F138" t="str">
        <f>"1"</f>
        <v>1</v>
      </c>
      <c r="G138" t="str">
        <f>"7"</f>
        <v>7</v>
      </c>
      <c r="H138" t="str">
        <f>"1"</f>
        <v>1</v>
      </c>
      <c r="I138" s="2">
        <v>157103918810.91</v>
      </c>
    </row>
    <row r="139" spans="1:9" x14ac:dyDescent="0.25">
      <c r="A139">
        <v>133</v>
      </c>
      <c r="B139" s="1">
        <v>45747</v>
      </c>
      <c r="C139">
        <v>21</v>
      </c>
      <c r="D139" t="str">
        <f>"2203"</f>
        <v>2203</v>
      </c>
      <c r="E139" t="str">
        <f>"Текущие счета юридических лиц"</f>
        <v>Текущие счета юридических лиц</v>
      </c>
      <c r="F139" t="str">
        <f>"2"</f>
        <v>2</v>
      </c>
      <c r="G139" t="str">
        <f>"8"</f>
        <v>8</v>
      </c>
      <c r="H139" t="str">
        <f>"1"</f>
        <v>1</v>
      </c>
      <c r="I139" s="2">
        <v>2862209.14</v>
      </c>
    </row>
    <row r="140" spans="1:9" x14ac:dyDescent="0.25">
      <c r="A140">
        <v>134</v>
      </c>
      <c r="B140" s="1">
        <v>45747</v>
      </c>
      <c r="C140">
        <v>21</v>
      </c>
      <c r="D140" t="str">
        <f>"2204"</f>
        <v>2204</v>
      </c>
      <c r="E140" t="str">
        <f>"Текущие счета физических лиц"</f>
        <v>Текущие счета физических лиц</v>
      </c>
      <c r="F140" t="str">
        <f t="shared" ref="F140:F148" si="8">"1"</f>
        <v>1</v>
      </c>
      <c r="G140" t="str">
        <f>"9"</f>
        <v>9</v>
      </c>
      <c r="H140" t="str">
        <f>"2"</f>
        <v>2</v>
      </c>
      <c r="I140" s="2">
        <v>169375.82</v>
      </c>
    </row>
    <row r="141" spans="1:9" x14ac:dyDescent="0.25">
      <c r="A141">
        <v>135</v>
      </c>
      <c r="B141" s="1">
        <v>45747</v>
      </c>
      <c r="C141">
        <v>21</v>
      </c>
      <c r="D141" t="str">
        <f>"2227"</f>
        <v>2227</v>
      </c>
      <c r="E141" t="str">
        <f>"Обязательства по аренде"</f>
        <v>Обязательства по аренде</v>
      </c>
      <c r="F141" t="str">
        <f t="shared" si="8"/>
        <v>1</v>
      </c>
      <c r="G141" t="str">
        <f>"7"</f>
        <v>7</v>
      </c>
      <c r="H141" t="str">
        <f>"1"</f>
        <v>1</v>
      </c>
      <c r="I141" s="2">
        <v>296826993.12</v>
      </c>
    </row>
    <row r="142" spans="1:9" x14ac:dyDescent="0.25">
      <c r="A142">
        <v>136</v>
      </c>
      <c r="B142" s="1">
        <v>45747</v>
      </c>
      <c r="C142">
        <v>21</v>
      </c>
      <c r="D142" t="str">
        <f>"2219"</f>
        <v>2219</v>
      </c>
      <c r="E142" t="str">
        <f>"Условные вклады юридических лиц"</f>
        <v>Условные вклады юридических лиц</v>
      </c>
      <c r="F142" t="str">
        <f t="shared" si="8"/>
        <v>1</v>
      </c>
      <c r="G142" t="str">
        <f>"7"</f>
        <v>7</v>
      </c>
      <c r="H142" t="str">
        <f>"2"</f>
        <v>2</v>
      </c>
      <c r="I142" s="2">
        <v>34016740788.709999</v>
      </c>
    </row>
    <row r="143" spans="1:9" x14ac:dyDescent="0.25">
      <c r="A143">
        <v>137</v>
      </c>
      <c r="B143" s="1">
        <v>45747</v>
      </c>
      <c r="C143">
        <v>21</v>
      </c>
      <c r="D143" t="str">
        <f>"2219"</f>
        <v>2219</v>
      </c>
      <c r="E143" t="str">
        <f>"Условные вклады юридических лиц"</f>
        <v>Условные вклады юридических лиц</v>
      </c>
      <c r="F143" t="str">
        <f t="shared" si="8"/>
        <v>1</v>
      </c>
      <c r="G143" t="str">
        <f>"7"</f>
        <v>7</v>
      </c>
      <c r="H143" t="str">
        <f>"1"</f>
        <v>1</v>
      </c>
      <c r="I143" s="2">
        <v>2786270904.8099999</v>
      </c>
    </row>
    <row r="144" spans="1:9" x14ac:dyDescent="0.25">
      <c r="A144">
        <v>138</v>
      </c>
      <c r="B144" s="1">
        <v>45747</v>
      </c>
      <c r="C144">
        <v>21</v>
      </c>
      <c r="D144" t="str">
        <f>"2219"</f>
        <v>2219</v>
      </c>
      <c r="E144" t="str">
        <f>"Условные вклады юридических лиц"</f>
        <v>Условные вклады юридических лиц</v>
      </c>
      <c r="F144" t="str">
        <f t="shared" si="8"/>
        <v>1</v>
      </c>
      <c r="G144" t="str">
        <f>"7"</f>
        <v>7</v>
      </c>
      <c r="H144" t="str">
        <f>"3"</f>
        <v>3</v>
      </c>
      <c r="I144" s="2">
        <v>52062.5</v>
      </c>
    </row>
    <row r="145" spans="1:9" x14ac:dyDescent="0.25">
      <c r="A145">
        <v>139</v>
      </c>
      <c r="B145" s="1">
        <v>45747</v>
      </c>
      <c r="C145">
        <v>21</v>
      </c>
      <c r="D145" t="str">
        <f>"2219"</f>
        <v>2219</v>
      </c>
      <c r="E145" t="str">
        <f>"Условные вклады юридических лиц"</f>
        <v>Условные вклады юридических лиц</v>
      </c>
      <c r="F145" t="str">
        <f t="shared" si="8"/>
        <v>1</v>
      </c>
      <c r="G145" t="str">
        <f>"6"</f>
        <v>6</v>
      </c>
      <c r="H145" t="str">
        <f>"2"</f>
        <v>2</v>
      </c>
      <c r="I145" s="2">
        <v>41246681.68</v>
      </c>
    </row>
    <row r="146" spans="1:9" x14ac:dyDescent="0.25">
      <c r="A146">
        <v>140</v>
      </c>
      <c r="B146" s="1">
        <v>45747</v>
      </c>
      <c r="C146">
        <v>21</v>
      </c>
      <c r="D146" t="str">
        <f t="shared" ref="D146:D154" si="9">"2237"</f>
        <v>2237</v>
      </c>
      <c r="E146" t="str">
        <f t="shared" ref="E146:E154" si="10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46" t="str">
        <f t="shared" si="8"/>
        <v>1</v>
      </c>
      <c r="G146" t="str">
        <f>"7"</f>
        <v>7</v>
      </c>
      <c r="H146" t="str">
        <f>"1"</f>
        <v>1</v>
      </c>
      <c r="I146" s="2">
        <v>606848478.90999997</v>
      </c>
    </row>
    <row r="147" spans="1:9" x14ac:dyDescent="0.25">
      <c r="A147">
        <v>141</v>
      </c>
      <c r="B147" s="1">
        <v>45747</v>
      </c>
      <c r="C147">
        <v>21</v>
      </c>
      <c r="D147" t="str">
        <f t="shared" si="9"/>
        <v>2237</v>
      </c>
      <c r="E147" t="str">
        <f t="shared" si="10"/>
        <v>Счет хранения указаний отправителя в соответствии с валютным законодательством Республики Казахстан</v>
      </c>
      <c r="F147" t="str">
        <f t="shared" si="8"/>
        <v>1</v>
      </c>
      <c r="G147" t="str">
        <f>"5"</f>
        <v>5</v>
      </c>
      <c r="H147" t="str">
        <f>"2"</f>
        <v>2</v>
      </c>
      <c r="I147" s="2">
        <v>41473104.619999997</v>
      </c>
    </row>
    <row r="148" spans="1:9" x14ac:dyDescent="0.25">
      <c r="A148">
        <v>142</v>
      </c>
      <c r="B148" s="1">
        <v>45747</v>
      </c>
      <c r="C148">
        <v>21</v>
      </c>
      <c r="D148" t="str">
        <f t="shared" si="9"/>
        <v>2237</v>
      </c>
      <c r="E148" t="str">
        <f t="shared" si="10"/>
        <v>Счет хранения указаний отправителя в соответствии с валютным законодательством Республики Казахстан</v>
      </c>
      <c r="F148" t="str">
        <f t="shared" si="8"/>
        <v>1</v>
      </c>
      <c r="G148" t="str">
        <f>"5"</f>
        <v>5</v>
      </c>
      <c r="H148" t="str">
        <f>"1"</f>
        <v>1</v>
      </c>
      <c r="I148" s="2">
        <v>52833</v>
      </c>
    </row>
    <row r="149" spans="1:9" x14ac:dyDescent="0.25">
      <c r="A149">
        <v>143</v>
      </c>
      <c r="B149" s="1">
        <v>45747</v>
      </c>
      <c r="C149">
        <v>21</v>
      </c>
      <c r="D149" t="str">
        <f t="shared" si="9"/>
        <v>2237</v>
      </c>
      <c r="E149" t="str">
        <f t="shared" si="10"/>
        <v>Счет хранения указаний отправителя в соответствии с валютным законодательством Республики Казахстан</v>
      </c>
      <c r="F149" t="str">
        <f>"2"</f>
        <v>2</v>
      </c>
      <c r="G149" t="str">
        <f>"8"</f>
        <v>8</v>
      </c>
      <c r="H149" t="str">
        <f>"2"</f>
        <v>2</v>
      </c>
      <c r="I149" s="2">
        <v>6726202.96</v>
      </c>
    </row>
    <row r="150" spans="1:9" x14ac:dyDescent="0.25">
      <c r="A150">
        <v>144</v>
      </c>
      <c r="B150" s="1">
        <v>45747</v>
      </c>
      <c r="C150">
        <v>21</v>
      </c>
      <c r="D150" t="str">
        <f t="shared" si="9"/>
        <v>2237</v>
      </c>
      <c r="E150" t="str">
        <f t="shared" si="10"/>
        <v>Счет хранения указаний отправителя в соответствии с валютным законодательством Республики Казахстан</v>
      </c>
      <c r="F150" t="str">
        <f>"1"</f>
        <v>1</v>
      </c>
      <c r="G150" t="str">
        <f>"7"</f>
        <v>7</v>
      </c>
      <c r="H150" t="str">
        <f>"2"</f>
        <v>2</v>
      </c>
      <c r="I150" s="2">
        <v>12210933577.360001</v>
      </c>
    </row>
    <row r="151" spans="1:9" x14ac:dyDescent="0.25">
      <c r="A151">
        <v>145</v>
      </c>
      <c r="B151" s="1">
        <v>45747</v>
      </c>
      <c r="C151">
        <v>21</v>
      </c>
      <c r="D151" t="str">
        <f t="shared" si="9"/>
        <v>2237</v>
      </c>
      <c r="E151" t="str">
        <f t="shared" si="10"/>
        <v>Счет хранения указаний отправителя в соответствии с валютным законодательством Республики Казахстан</v>
      </c>
      <c r="F151" t="str">
        <f>"1"</f>
        <v>1</v>
      </c>
      <c r="G151" t="str">
        <f>"6"</f>
        <v>6</v>
      </c>
      <c r="H151" t="str">
        <f>"2"</f>
        <v>2</v>
      </c>
      <c r="I151" s="2">
        <v>547123908.20000005</v>
      </c>
    </row>
    <row r="152" spans="1:9" x14ac:dyDescent="0.25">
      <c r="A152">
        <v>146</v>
      </c>
      <c r="B152" s="1">
        <v>45747</v>
      </c>
      <c r="C152">
        <v>21</v>
      </c>
      <c r="D152" t="str">
        <f t="shared" si="9"/>
        <v>2237</v>
      </c>
      <c r="E152" t="str">
        <f t="shared" si="10"/>
        <v>Счет хранения указаний отправителя в соответствии с валютным законодательством Республики Казахстан</v>
      </c>
      <c r="F152" t="str">
        <f>"1"</f>
        <v>1</v>
      </c>
      <c r="G152" t="str">
        <f>"8"</f>
        <v>8</v>
      </c>
      <c r="H152" t="str">
        <f>"1"</f>
        <v>1</v>
      </c>
      <c r="I152" s="2">
        <v>9896800</v>
      </c>
    </row>
    <row r="153" spans="1:9" x14ac:dyDescent="0.25">
      <c r="A153">
        <v>147</v>
      </c>
      <c r="B153" s="1">
        <v>45747</v>
      </c>
      <c r="C153">
        <v>21</v>
      </c>
      <c r="D153" t="str">
        <f t="shared" si="9"/>
        <v>2237</v>
      </c>
      <c r="E153" t="str">
        <f t="shared" si="10"/>
        <v>Счет хранения указаний отправителя в соответствии с валютным законодательством Республики Казахстан</v>
      </c>
      <c r="F153" t="str">
        <f>"2"</f>
        <v>2</v>
      </c>
      <c r="G153" t="str">
        <f>"1"</f>
        <v>1</v>
      </c>
      <c r="H153" t="str">
        <f>"2"</f>
        <v>2</v>
      </c>
      <c r="I153" s="2">
        <v>49435.12</v>
      </c>
    </row>
    <row r="154" spans="1:9" x14ac:dyDescent="0.25">
      <c r="A154">
        <v>148</v>
      </c>
      <c r="B154" s="1">
        <v>45747</v>
      </c>
      <c r="C154">
        <v>21</v>
      </c>
      <c r="D154" t="str">
        <f t="shared" si="9"/>
        <v>2237</v>
      </c>
      <c r="E154" t="str">
        <f t="shared" si="10"/>
        <v>Счет хранения указаний отправителя в соответствии с валютным законодательством Республики Казахстан</v>
      </c>
      <c r="F154" t="str">
        <f>"2"</f>
        <v>2</v>
      </c>
      <c r="G154" t="str">
        <f>"7"</f>
        <v>7</v>
      </c>
      <c r="H154" t="str">
        <f>"2"</f>
        <v>2</v>
      </c>
      <c r="I154" s="2">
        <v>6002.15</v>
      </c>
    </row>
    <row r="155" spans="1:9" x14ac:dyDescent="0.25">
      <c r="A155">
        <v>149</v>
      </c>
      <c r="B155" s="1">
        <v>45747</v>
      </c>
      <c r="C155">
        <v>21</v>
      </c>
      <c r="D155" t="str">
        <f>"2712"</f>
        <v>2712</v>
      </c>
      <c r="E155" t="str">
        <f>"Начисленные расходы по срочным вкладам других банков"</f>
        <v>Начисленные расходы по срочным вкладам других банков</v>
      </c>
      <c r="F155" t="str">
        <f>"2"</f>
        <v>2</v>
      </c>
      <c r="G155" t="str">
        <f>"4"</f>
        <v>4</v>
      </c>
      <c r="H155" t="str">
        <f>"2"</f>
        <v>2</v>
      </c>
      <c r="I155" s="2">
        <v>23225260.02</v>
      </c>
    </row>
    <row r="156" spans="1:9" x14ac:dyDescent="0.25">
      <c r="A156">
        <v>150</v>
      </c>
      <c r="B156" s="1">
        <v>45747</v>
      </c>
      <c r="C156">
        <v>21</v>
      </c>
      <c r="D156" t="str">
        <f>"2719"</f>
        <v>2719</v>
      </c>
      <c r="E156" t="str">
        <f>"Начисленные расходы по условным вкладам клиентов"</f>
        <v>Начисленные расходы по условным вкладам клиентов</v>
      </c>
      <c r="F156" t="str">
        <f>"1"</f>
        <v>1</v>
      </c>
      <c r="G156" t="str">
        <f>"7"</f>
        <v>7</v>
      </c>
      <c r="H156" t="str">
        <f>"2"</f>
        <v>2</v>
      </c>
      <c r="I156" s="2">
        <v>21053075.789999999</v>
      </c>
    </row>
    <row r="157" spans="1:9" x14ac:dyDescent="0.25">
      <c r="A157">
        <v>151</v>
      </c>
      <c r="B157" s="1">
        <v>45747</v>
      </c>
      <c r="C157">
        <v>21</v>
      </c>
      <c r="D157" t="str">
        <f>"2712"</f>
        <v>2712</v>
      </c>
      <c r="E157" t="str">
        <f>"Начисленные расходы по срочным вкладам других банков"</f>
        <v>Начисленные расходы по срочным вкладам других банков</v>
      </c>
      <c r="F157" t="str">
        <f>"2"</f>
        <v>2</v>
      </c>
      <c r="G157" t="str">
        <f>"4"</f>
        <v>4</v>
      </c>
      <c r="H157" t="str">
        <f>"1"</f>
        <v>1</v>
      </c>
      <c r="I157" s="2">
        <v>1435416.67</v>
      </c>
    </row>
    <row r="158" spans="1:9" x14ac:dyDescent="0.25">
      <c r="A158">
        <v>152</v>
      </c>
      <c r="B158" s="1">
        <v>45747</v>
      </c>
      <c r="C158">
        <v>21</v>
      </c>
      <c r="D158" t="str">
        <f>"2714"</f>
        <v>2714</v>
      </c>
      <c r="E158" t="str">
        <f>"Начисленные расходы по условным вкладам других банков"</f>
        <v>Начисленные расходы по условным вкладам других банков</v>
      </c>
      <c r="F158" t="str">
        <f>"2"</f>
        <v>2</v>
      </c>
      <c r="G158" t="str">
        <f>"4"</f>
        <v>4</v>
      </c>
      <c r="H158" t="str">
        <f>"2"</f>
        <v>2</v>
      </c>
      <c r="I158" s="2">
        <v>25760419.079999998</v>
      </c>
    </row>
    <row r="159" spans="1:9" x14ac:dyDescent="0.25">
      <c r="A159">
        <v>153</v>
      </c>
      <c r="B159" s="1">
        <v>45747</v>
      </c>
      <c r="C159">
        <v>21</v>
      </c>
      <c r="D159" t="str">
        <f>"2721"</f>
        <v>2721</v>
      </c>
      <c r="E159" t="str">
        <f>"Начисленные расходы по срочным вкладам клиентов"</f>
        <v>Начисленные расходы по срочным вкладам клиентов</v>
      </c>
      <c r="F159" t="str">
        <f t="shared" ref="F159:F164" si="11">"1"</f>
        <v>1</v>
      </c>
      <c r="G159" t="str">
        <f>"7"</f>
        <v>7</v>
      </c>
      <c r="H159" t="str">
        <f>"2"</f>
        <v>2</v>
      </c>
      <c r="I159" s="2">
        <v>7303438.4100000001</v>
      </c>
    </row>
    <row r="160" spans="1:9" x14ac:dyDescent="0.25">
      <c r="A160">
        <v>154</v>
      </c>
      <c r="B160" s="1">
        <v>45747</v>
      </c>
      <c r="C160">
        <v>21</v>
      </c>
      <c r="D160" t="str">
        <f>"2721"</f>
        <v>2721</v>
      </c>
      <c r="E160" t="str">
        <f>"Начисленные расходы по срочным вкладам клиентов"</f>
        <v>Начисленные расходы по срочным вкладам клиентов</v>
      </c>
      <c r="F160" t="str">
        <f t="shared" si="11"/>
        <v>1</v>
      </c>
      <c r="G160" t="str">
        <f>"5"</f>
        <v>5</v>
      </c>
      <c r="H160" t="str">
        <f>"1"</f>
        <v>1</v>
      </c>
      <c r="I160" s="2">
        <v>245916.66</v>
      </c>
    </row>
    <row r="161" spans="1:9" x14ac:dyDescent="0.25">
      <c r="A161">
        <v>155</v>
      </c>
      <c r="B161" s="1">
        <v>45747</v>
      </c>
      <c r="C161">
        <v>21</v>
      </c>
      <c r="D161" t="str">
        <f>"2721"</f>
        <v>2721</v>
      </c>
      <c r="E161" t="str">
        <f>"Начисленные расходы по срочным вкладам клиентов"</f>
        <v>Начисленные расходы по срочным вкладам клиентов</v>
      </c>
      <c r="F161" t="str">
        <f t="shared" si="11"/>
        <v>1</v>
      </c>
      <c r="G161" t="str">
        <f>"7"</f>
        <v>7</v>
      </c>
      <c r="H161" t="str">
        <f>"1"</f>
        <v>1</v>
      </c>
      <c r="I161" s="2">
        <v>185502369.44999999</v>
      </c>
    </row>
    <row r="162" spans="1:9" x14ac:dyDescent="0.25">
      <c r="A162">
        <v>156</v>
      </c>
      <c r="B162" s="1">
        <v>45747</v>
      </c>
      <c r="C162">
        <v>21</v>
      </c>
      <c r="D162" t="str">
        <f>"2820"</f>
        <v>2820</v>
      </c>
      <c r="E162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162" t="str">
        <f t="shared" si="11"/>
        <v>1</v>
      </c>
      <c r="G162" t="str">
        <f>""</f>
        <v/>
      </c>
      <c r="H162" t="str">
        <f>"1"</f>
        <v>1</v>
      </c>
      <c r="I162" s="2">
        <v>67060001</v>
      </c>
    </row>
    <row r="163" spans="1:9" x14ac:dyDescent="0.25">
      <c r="A163">
        <v>157</v>
      </c>
      <c r="B163" s="1">
        <v>45747</v>
      </c>
      <c r="C163">
        <v>21</v>
      </c>
      <c r="D163" t="str">
        <f>"2770"</f>
        <v>2770</v>
      </c>
      <c r="E163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63" t="str">
        <f t="shared" si="11"/>
        <v>1</v>
      </c>
      <c r="G163" t="str">
        <f>"7"</f>
        <v>7</v>
      </c>
      <c r="H163" t="str">
        <f>"1"</f>
        <v>1</v>
      </c>
      <c r="I163" s="2">
        <v>0.01</v>
      </c>
    </row>
    <row r="164" spans="1:9" x14ac:dyDescent="0.25">
      <c r="A164">
        <v>158</v>
      </c>
      <c r="B164" s="1">
        <v>45747</v>
      </c>
      <c r="C164">
        <v>21</v>
      </c>
      <c r="D164" t="str">
        <f>"2721"</f>
        <v>2721</v>
      </c>
      <c r="E164" t="str">
        <f>"Начисленные расходы по срочным вкладам клиентов"</f>
        <v>Начисленные расходы по срочным вкладам клиентов</v>
      </c>
      <c r="F164" t="str">
        <f t="shared" si="11"/>
        <v>1</v>
      </c>
      <c r="G164" t="str">
        <f>"7"</f>
        <v>7</v>
      </c>
      <c r="H164" t="str">
        <f>"3"</f>
        <v>3</v>
      </c>
      <c r="I164" s="2">
        <v>5846.41</v>
      </c>
    </row>
    <row r="165" spans="1:9" x14ac:dyDescent="0.25">
      <c r="A165">
        <v>159</v>
      </c>
      <c r="B165" s="1">
        <v>45747</v>
      </c>
      <c r="C165">
        <v>21</v>
      </c>
      <c r="D165" t="str">
        <f>"2854"</f>
        <v>2854</v>
      </c>
      <c r="E165" t="str">
        <f>"Расчеты с работниками"</f>
        <v>Расчеты с работниками</v>
      </c>
      <c r="F165" t="str">
        <f>""</f>
        <v/>
      </c>
      <c r="G165" t="str">
        <f>""</f>
        <v/>
      </c>
      <c r="H165" t="str">
        <f>""</f>
        <v/>
      </c>
      <c r="I165" s="2">
        <v>207432847.5</v>
      </c>
    </row>
    <row r="166" spans="1:9" x14ac:dyDescent="0.25">
      <c r="A166">
        <v>160</v>
      </c>
      <c r="B166" s="1">
        <v>45747</v>
      </c>
      <c r="C166">
        <v>21</v>
      </c>
      <c r="D166" t="str">
        <f>"2794"</f>
        <v>2794</v>
      </c>
      <c r="E166" t="str">
        <f>"Доходы будущих периодов"</f>
        <v>Доходы будущих периодов</v>
      </c>
      <c r="F166" t="str">
        <f>"1"</f>
        <v>1</v>
      </c>
      <c r="G166" t="str">
        <f>"7"</f>
        <v>7</v>
      </c>
      <c r="H166" t="str">
        <f>"1"</f>
        <v>1</v>
      </c>
      <c r="I166" s="2">
        <v>115946.66</v>
      </c>
    </row>
    <row r="167" spans="1:9" x14ac:dyDescent="0.25">
      <c r="A167">
        <v>161</v>
      </c>
      <c r="B167" s="1">
        <v>45747</v>
      </c>
      <c r="C167">
        <v>21</v>
      </c>
      <c r="D167" t="str">
        <f>"2851"</f>
        <v>2851</v>
      </c>
      <c r="E167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67" t="str">
        <f>"1"</f>
        <v>1</v>
      </c>
      <c r="G167" t="str">
        <f>"1"</f>
        <v>1</v>
      </c>
      <c r="H167" t="str">
        <f>"1"</f>
        <v>1</v>
      </c>
      <c r="I167" s="2">
        <v>1318983954.99</v>
      </c>
    </row>
    <row r="168" spans="1:9" x14ac:dyDescent="0.25">
      <c r="A168">
        <v>162</v>
      </c>
      <c r="B168" s="1">
        <v>45747</v>
      </c>
      <c r="C168">
        <v>21</v>
      </c>
      <c r="D168" t="str">
        <f>"2860"</f>
        <v>2860</v>
      </c>
      <c r="E168" t="str">
        <f>"Прочие кредиторы по банковской деятельности"</f>
        <v>Прочие кредиторы по банковской деятельности</v>
      </c>
      <c r="F168" t="str">
        <f>"1"</f>
        <v>1</v>
      </c>
      <c r="G168" t="str">
        <f>"3"</f>
        <v>3</v>
      </c>
      <c r="H168" t="str">
        <f>"1"</f>
        <v>1</v>
      </c>
      <c r="I168" s="2">
        <v>93961468412.179993</v>
      </c>
    </row>
    <row r="169" spans="1:9" x14ac:dyDescent="0.25">
      <c r="A169">
        <v>163</v>
      </c>
      <c r="B169" s="1">
        <v>45747</v>
      </c>
      <c r="C169">
        <v>21</v>
      </c>
      <c r="D169" t="str">
        <f>"2860"</f>
        <v>2860</v>
      </c>
      <c r="E169" t="str">
        <f>"Прочие кредиторы по банковской деятельности"</f>
        <v>Прочие кредиторы по банковской деятельности</v>
      </c>
      <c r="F169" t="str">
        <f>"1"</f>
        <v>1</v>
      </c>
      <c r="G169" t="str">
        <f>"4"</f>
        <v>4</v>
      </c>
      <c r="H169" t="str">
        <f>"2"</f>
        <v>2</v>
      </c>
      <c r="I169" s="2">
        <v>31368470.25</v>
      </c>
    </row>
    <row r="170" spans="1:9" x14ac:dyDescent="0.25">
      <c r="A170">
        <v>164</v>
      </c>
      <c r="B170" s="1">
        <v>45747</v>
      </c>
      <c r="C170">
        <v>21</v>
      </c>
      <c r="D170" t="str">
        <f>"2853"</f>
        <v>2853</v>
      </c>
      <c r="E170" t="str">
        <f>"Расчеты с акционерами (по дивидендам)"</f>
        <v>Расчеты с акционерами (по дивидендам)</v>
      </c>
      <c r="F170" t="str">
        <f>"2"</f>
        <v>2</v>
      </c>
      <c r="G170" t="str">
        <f>"4"</f>
        <v>4</v>
      </c>
      <c r="H170" t="str">
        <f>"1"</f>
        <v>1</v>
      </c>
      <c r="I170" s="2">
        <v>0.21</v>
      </c>
    </row>
    <row r="171" spans="1:9" x14ac:dyDescent="0.25">
      <c r="A171">
        <v>165</v>
      </c>
      <c r="B171" s="1">
        <v>45747</v>
      </c>
      <c r="C171">
        <v>21</v>
      </c>
      <c r="D171" t="str">
        <f>"2860"</f>
        <v>2860</v>
      </c>
      <c r="E171" t="str">
        <f>"Прочие кредиторы по банковской деятельности"</f>
        <v>Прочие кредиторы по банковской деятельности</v>
      </c>
      <c r="F171" t="str">
        <f>"1"</f>
        <v>1</v>
      </c>
      <c r="G171" t="str">
        <f>"6"</f>
        <v>6</v>
      </c>
      <c r="H171" t="str">
        <f>"2"</f>
        <v>2</v>
      </c>
      <c r="I171" s="2">
        <v>305491381.16000003</v>
      </c>
    </row>
    <row r="172" spans="1:9" x14ac:dyDescent="0.25">
      <c r="A172">
        <v>166</v>
      </c>
      <c r="B172" s="1">
        <v>45747</v>
      </c>
      <c r="C172">
        <v>21</v>
      </c>
      <c r="D172" t="str">
        <f>"2861"</f>
        <v>2861</v>
      </c>
      <c r="E172" t="str">
        <f>"Резерв на отпускные выплаты"</f>
        <v>Резерв на отпускные выплаты</v>
      </c>
      <c r="F172" t="str">
        <f>""</f>
        <v/>
      </c>
      <c r="G172" t="str">
        <f>""</f>
        <v/>
      </c>
      <c r="H172" t="str">
        <f>""</f>
        <v/>
      </c>
      <c r="I172" s="2">
        <v>219648393.88</v>
      </c>
    </row>
    <row r="173" spans="1:9" x14ac:dyDescent="0.25">
      <c r="A173">
        <v>167</v>
      </c>
      <c r="B173" s="1">
        <v>45747</v>
      </c>
      <c r="C173">
        <v>21</v>
      </c>
      <c r="D173" t="str">
        <f>"2860"</f>
        <v>2860</v>
      </c>
      <c r="E173" t="str">
        <f>"Прочие кредиторы по банковской деятельности"</f>
        <v>Прочие кредиторы по банковской деятельности</v>
      </c>
      <c r="F173" t="str">
        <f>"1"</f>
        <v>1</v>
      </c>
      <c r="G173" t="str">
        <f>"5"</f>
        <v>5</v>
      </c>
      <c r="H173" t="str">
        <f>"2"</f>
        <v>2</v>
      </c>
      <c r="I173" s="2">
        <v>125318079.64</v>
      </c>
    </row>
    <row r="174" spans="1:9" x14ac:dyDescent="0.25">
      <c r="A174">
        <v>168</v>
      </c>
      <c r="B174" s="1">
        <v>45747</v>
      </c>
      <c r="C174">
        <v>21</v>
      </c>
      <c r="D174" t="str">
        <f>"2860"</f>
        <v>2860</v>
      </c>
      <c r="E174" t="str">
        <f>"Прочие кредиторы по банковской деятельности"</f>
        <v>Прочие кредиторы по банковской деятельности</v>
      </c>
      <c r="F174" t="str">
        <f>"2"</f>
        <v>2</v>
      </c>
      <c r="G174" t="str">
        <f>"5"</f>
        <v>5</v>
      </c>
      <c r="H174" t="str">
        <f>"2"</f>
        <v>2</v>
      </c>
      <c r="I174" s="2">
        <v>357309.99</v>
      </c>
    </row>
    <row r="175" spans="1:9" x14ac:dyDescent="0.25">
      <c r="A175">
        <v>169</v>
      </c>
      <c r="B175" s="1">
        <v>45747</v>
      </c>
      <c r="C175">
        <v>21</v>
      </c>
      <c r="D175" t="str">
        <f>"2860"</f>
        <v>2860</v>
      </c>
      <c r="E175" t="str">
        <f>"Прочие кредиторы по банковской деятельности"</f>
        <v>Прочие кредиторы по банковской деятельности</v>
      </c>
      <c r="F175" t="str">
        <f t="shared" ref="F175:F181" si="12">"1"</f>
        <v>1</v>
      </c>
      <c r="G175" t="str">
        <f>"7"</f>
        <v>7</v>
      </c>
      <c r="H175" t="str">
        <f>"1"</f>
        <v>1</v>
      </c>
      <c r="I175" s="2">
        <v>1987074.03</v>
      </c>
    </row>
    <row r="176" spans="1:9" x14ac:dyDescent="0.25">
      <c r="A176">
        <v>170</v>
      </c>
      <c r="B176" s="1">
        <v>45747</v>
      </c>
      <c r="C176">
        <v>21</v>
      </c>
      <c r="D176" t="str">
        <f>"2860"</f>
        <v>2860</v>
      </c>
      <c r="E176" t="str">
        <f>"Прочие кредиторы по банковской деятельности"</f>
        <v>Прочие кредиторы по банковской деятельности</v>
      </c>
      <c r="F176" t="str">
        <f t="shared" si="12"/>
        <v>1</v>
      </c>
      <c r="G176" t="str">
        <f>"7"</f>
        <v>7</v>
      </c>
      <c r="H176" t="str">
        <f>"2"</f>
        <v>2</v>
      </c>
      <c r="I176" s="2">
        <v>1001227665.09</v>
      </c>
    </row>
    <row r="177" spans="1:9" x14ac:dyDescent="0.25">
      <c r="A177">
        <v>171</v>
      </c>
      <c r="B177" s="1">
        <v>45747</v>
      </c>
      <c r="C177">
        <v>21</v>
      </c>
      <c r="D177" t="str">
        <f>"2869"</f>
        <v>2869</v>
      </c>
      <c r="E177" t="str">
        <f>"Выданные гарантии"</f>
        <v>Выданные гарантии</v>
      </c>
      <c r="F177" t="str">
        <f t="shared" si="12"/>
        <v>1</v>
      </c>
      <c r="G177" t="str">
        <f>"4"</f>
        <v>4</v>
      </c>
      <c r="H177" t="str">
        <f>"1"</f>
        <v>1</v>
      </c>
      <c r="I177" s="2">
        <v>8932151.8499999996</v>
      </c>
    </row>
    <row r="178" spans="1:9" x14ac:dyDescent="0.25">
      <c r="A178">
        <v>172</v>
      </c>
      <c r="B178" s="1">
        <v>45747</v>
      </c>
      <c r="C178">
        <v>21</v>
      </c>
      <c r="D178" t="str">
        <f>"2869"</f>
        <v>2869</v>
      </c>
      <c r="E178" t="str">
        <f>"Выданные гарантии"</f>
        <v>Выданные гарантии</v>
      </c>
      <c r="F178" t="str">
        <f t="shared" si="12"/>
        <v>1</v>
      </c>
      <c r="G178" t="str">
        <f>"6"</f>
        <v>6</v>
      </c>
      <c r="H178" t="str">
        <f>"2"</f>
        <v>2</v>
      </c>
      <c r="I178" s="2">
        <v>48756320.310000002</v>
      </c>
    </row>
    <row r="179" spans="1:9" x14ac:dyDescent="0.25">
      <c r="A179">
        <v>173</v>
      </c>
      <c r="B179" s="1">
        <v>45747</v>
      </c>
      <c r="C179">
        <v>21</v>
      </c>
      <c r="D179" t="str">
        <f>"2868"</f>
        <v>2868</v>
      </c>
      <c r="E179" t="str">
        <f>"Оценочные обязательства"</f>
        <v>Оценочные обязательства</v>
      </c>
      <c r="F179" t="str">
        <f t="shared" si="12"/>
        <v>1</v>
      </c>
      <c r="G179" t="str">
        <f>"7"</f>
        <v>7</v>
      </c>
      <c r="H179" t="str">
        <f>"1"</f>
        <v>1</v>
      </c>
      <c r="I179" s="2">
        <v>41.28</v>
      </c>
    </row>
    <row r="180" spans="1:9" x14ac:dyDescent="0.25">
      <c r="A180">
        <v>174</v>
      </c>
      <c r="B180" s="1">
        <v>45747</v>
      </c>
      <c r="C180">
        <v>21</v>
      </c>
      <c r="D180" t="str">
        <f>"2869"</f>
        <v>2869</v>
      </c>
      <c r="E180" t="str">
        <f>"Выданные гарантии"</f>
        <v>Выданные гарантии</v>
      </c>
      <c r="F180" t="str">
        <f t="shared" si="12"/>
        <v>1</v>
      </c>
      <c r="G180" t="str">
        <f>"4"</f>
        <v>4</v>
      </c>
      <c r="H180" t="str">
        <f>"2"</f>
        <v>2</v>
      </c>
      <c r="I180" s="2">
        <v>1288566.76</v>
      </c>
    </row>
    <row r="181" spans="1:9" x14ac:dyDescent="0.25">
      <c r="A181">
        <v>175</v>
      </c>
      <c r="B181" s="1">
        <v>45747</v>
      </c>
      <c r="C181">
        <v>21</v>
      </c>
      <c r="D181" t="str">
        <f>"2869"</f>
        <v>2869</v>
      </c>
      <c r="E181" t="str">
        <f>"Выданные гарантии"</f>
        <v>Выданные гарантии</v>
      </c>
      <c r="F181" t="str">
        <f t="shared" si="12"/>
        <v>1</v>
      </c>
      <c r="G181" t="str">
        <f>"6"</f>
        <v>6</v>
      </c>
      <c r="H181" t="str">
        <f>"1"</f>
        <v>1</v>
      </c>
      <c r="I181" s="2">
        <v>19709958.050000001</v>
      </c>
    </row>
    <row r="182" spans="1:9" x14ac:dyDescent="0.25">
      <c r="A182">
        <v>176</v>
      </c>
      <c r="B182" s="1">
        <v>45747</v>
      </c>
      <c r="C182">
        <v>21</v>
      </c>
      <c r="D182" t="str">
        <f>"2857"</f>
        <v>2857</v>
      </c>
      <c r="E182" t="str">
        <f>"Отложенные налоговые обязательства"</f>
        <v>Отложенные налоговые обязательства</v>
      </c>
      <c r="F182" t="str">
        <f>""</f>
        <v/>
      </c>
      <c r="G182" t="str">
        <f>""</f>
        <v/>
      </c>
      <c r="H182" t="str">
        <f>""</f>
        <v/>
      </c>
      <c r="I182" s="2">
        <v>884236194.5</v>
      </c>
    </row>
    <row r="183" spans="1:9" x14ac:dyDescent="0.25">
      <c r="A183">
        <v>177</v>
      </c>
      <c r="B183" s="1">
        <v>45747</v>
      </c>
      <c r="C183">
        <v>21</v>
      </c>
      <c r="D183" t="str">
        <f>"2869"</f>
        <v>2869</v>
      </c>
      <c r="E183" t="str">
        <f>"Выданные гарантии"</f>
        <v>Выданные гарантии</v>
      </c>
      <c r="F183" t="str">
        <f>"1"</f>
        <v>1</v>
      </c>
      <c r="G183" t="str">
        <f>"7"</f>
        <v>7</v>
      </c>
      <c r="H183" t="str">
        <f>"1"</f>
        <v>1</v>
      </c>
      <c r="I183" s="2">
        <v>28127133.940000001</v>
      </c>
    </row>
    <row r="184" spans="1:9" x14ac:dyDescent="0.25">
      <c r="A184">
        <v>178</v>
      </c>
      <c r="B184" s="1">
        <v>45747</v>
      </c>
      <c r="C184">
        <v>21</v>
      </c>
      <c r="D184" t="str">
        <f>"2870"</f>
        <v>2870</v>
      </c>
      <c r="E184" t="str">
        <f>"Прочие транзитные счета"</f>
        <v>Прочие транзитные счета</v>
      </c>
      <c r="F184" t="str">
        <f>"1"</f>
        <v>1</v>
      </c>
      <c r="G184" t="str">
        <f>"7"</f>
        <v>7</v>
      </c>
      <c r="H184" t="str">
        <f>"1"</f>
        <v>1</v>
      </c>
      <c r="I184" s="2">
        <v>182142393.61000001</v>
      </c>
    </row>
    <row r="185" spans="1:9" x14ac:dyDescent="0.25">
      <c r="A185">
        <v>179</v>
      </c>
      <c r="B185" s="1">
        <v>45747</v>
      </c>
      <c r="C185">
        <v>21</v>
      </c>
      <c r="D185" t="str">
        <f>"2869"</f>
        <v>2869</v>
      </c>
      <c r="E185" t="str">
        <f>"Выданные гарантии"</f>
        <v>Выданные гарантии</v>
      </c>
      <c r="F185" t="str">
        <f>"2"</f>
        <v>2</v>
      </c>
      <c r="G185" t="str">
        <f>"4"</f>
        <v>4</v>
      </c>
      <c r="H185" t="str">
        <f>"2"</f>
        <v>2</v>
      </c>
      <c r="I185" s="2">
        <v>240834.79</v>
      </c>
    </row>
    <row r="186" spans="1:9" x14ac:dyDescent="0.25">
      <c r="A186">
        <v>180</v>
      </c>
      <c r="B186" s="1">
        <v>45747</v>
      </c>
      <c r="C186">
        <v>21</v>
      </c>
      <c r="D186" t="str">
        <f>"2868"</f>
        <v>2868</v>
      </c>
      <c r="E186" t="str">
        <f>"Оценочные обязательства"</f>
        <v>Оценочные обязательства</v>
      </c>
      <c r="F186" t="str">
        <f t="shared" ref="F186:F192" si="13">"1"</f>
        <v>1</v>
      </c>
      <c r="G186" t="str">
        <f>"6"</f>
        <v>6</v>
      </c>
      <c r="H186" t="str">
        <f>"2"</f>
        <v>2</v>
      </c>
      <c r="I186" s="2">
        <v>16.37</v>
      </c>
    </row>
    <row r="187" spans="1:9" x14ac:dyDescent="0.25">
      <c r="A187">
        <v>181</v>
      </c>
      <c r="B187" s="1">
        <v>45747</v>
      </c>
      <c r="C187">
        <v>21</v>
      </c>
      <c r="D187" t="str">
        <f>"2869"</f>
        <v>2869</v>
      </c>
      <c r="E187" t="str">
        <f>"Выданные гарантии"</f>
        <v>Выданные гарантии</v>
      </c>
      <c r="F187" t="str">
        <f t="shared" si="13"/>
        <v>1</v>
      </c>
      <c r="G187" t="str">
        <f>"7"</f>
        <v>7</v>
      </c>
      <c r="H187" t="str">
        <f>"2"</f>
        <v>2</v>
      </c>
      <c r="I187" s="2">
        <v>3135795.77</v>
      </c>
    </row>
    <row r="188" spans="1:9" x14ac:dyDescent="0.25">
      <c r="A188">
        <v>182</v>
      </c>
      <c r="B188" s="1">
        <v>45747</v>
      </c>
      <c r="C188">
        <v>21</v>
      </c>
      <c r="D188" t="str">
        <f>"2870"</f>
        <v>2870</v>
      </c>
      <c r="E188" t="str">
        <f>"Прочие транзитные счета"</f>
        <v>Прочие транзитные счета</v>
      </c>
      <c r="F188" t="str">
        <f t="shared" si="13"/>
        <v>1</v>
      </c>
      <c r="G188" t="str">
        <f>"4"</f>
        <v>4</v>
      </c>
      <c r="H188" t="str">
        <f>"1"</f>
        <v>1</v>
      </c>
      <c r="I188" s="2">
        <v>284385.93</v>
      </c>
    </row>
    <row r="189" spans="1:9" x14ac:dyDescent="0.25">
      <c r="A189">
        <v>183</v>
      </c>
      <c r="B189" s="1">
        <v>45747</v>
      </c>
      <c r="C189">
        <v>21</v>
      </c>
      <c r="D189" t="str">
        <f>"2203"</f>
        <v>2203</v>
      </c>
      <c r="E189" t="str">
        <f>"Текущие счета юридических лиц"</f>
        <v>Текущие счета юридических лиц</v>
      </c>
      <c r="F189" t="str">
        <f t="shared" si="13"/>
        <v>1</v>
      </c>
      <c r="G189" t="str">
        <f>"8"</f>
        <v>8</v>
      </c>
      <c r="H189" t="str">
        <f>"1"</f>
        <v>1</v>
      </c>
      <c r="I189" s="2">
        <v>84511477.349999994</v>
      </c>
    </row>
    <row r="190" spans="1:9" x14ac:dyDescent="0.25">
      <c r="A190">
        <v>184</v>
      </c>
      <c r="B190" s="1">
        <v>45747</v>
      </c>
      <c r="C190">
        <v>21</v>
      </c>
      <c r="D190" t="str">
        <f>"2892"</f>
        <v>2892</v>
      </c>
      <c r="E190" t="str">
        <f>"Обязательства по операциям форвард"</f>
        <v>Обязательства по операциям форвард</v>
      </c>
      <c r="F190" t="str">
        <f t="shared" si="13"/>
        <v>1</v>
      </c>
      <c r="G190" t="str">
        <f>"3"</f>
        <v>3</v>
      </c>
      <c r="H190" t="str">
        <f>"1"</f>
        <v>1</v>
      </c>
      <c r="I190" s="2">
        <v>17279059.84</v>
      </c>
    </row>
    <row r="191" spans="1:9" x14ac:dyDescent="0.25">
      <c r="A191">
        <v>185</v>
      </c>
      <c r="B191" s="1">
        <v>45747</v>
      </c>
      <c r="C191">
        <v>21</v>
      </c>
      <c r="D191" t="str">
        <f>"2892"</f>
        <v>2892</v>
      </c>
      <c r="E191" t="str">
        <f>"Обязательства по операциям форвард"</f>
        <v>Обязательства по операциям форвард</v>
      </c>
      <c r="F191" t="str">
        <f t="shared" si="13"/>
        <v>1</v>
      </c>
      <c r="G191" t="str">
        <f>"4"</f>
        <v>4</v>
      </c>
      <c r="H191" t="str">
        <f>"2"</f>
        <v>2</v>
      </c>
      <c r="I191" s="2">
        <v>178765090.88</v>
      </c>
    </row>
    <row r="192" spans="1:9" x14ac:dyDescent="0.25">
      <c r="A192">
        <v>186</v>
      </c>
      <c r="B192" s="1">
        <v>45747</v>
      </c>
      <c r="C192">
        <v>21</v>
      </c>
      <c r="D192" t="str">
        <f>"2875"</f>
        <v>2875</v>
      </c>
      <c r="E19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192" t="str">
        <f t="shared" si="13"/>
        <v>1</v>
      </c>
      <c r="G192" t="str">
        <f>"5"</f>
        <v>5</v>
      </c>
      <c r="H192" t="str">
        <f>"1"</f>
        <v>1</v>
      </c>
      <c r="I192" s="2">
        <v>185790.47</v>
      </c>
    </row>
    <row r="193" spans="1:9" x14ac:dyDescent="0.25">
      <c r="A193">
        <v>187</v>
      </c>
      <c r="B193" s="1">
        <v>45747</v>
      </c>
      <c r="C193">
        <v>21</v>
      </c>
      <c r="D193" t="str">
        <f>"2869"</f>
        <v>2869</v>
      </c>
      <c r="E193" t="str">
        <f>"Выданные гарантии"</f>
        <v>Выданные гарантии</v>
      </c>
      <c r="F193" t="str">
        <f>"2"</f>
        <v>2</v>
      </c>
      <c r="G193" t="str">
        <f>"4"</f>
        <v>4</v>
      </c>
      <c r="H193" t="str">
        <f>"1"</f>
        <v>1</v>
      </c>
      <c r="I193" s="2">
        <v>4770430</v>
      </c>
    </row>
    <row r="194" spans="1:9" x14ac:dyDescent="0.25">
      <c r="A194">
        <v>188</v>
      </c>
      <c r="B194" s="1">
        <v>45747</v>
      </c>
      <c r="C194">
        <v>21</v>
      </c>
      <c r="D194" t="str">
        <f>"2875"</f>
        <v>2875</v>
      </c>
      <c r="E19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194" t="str">
        <f>"1"</f>
        <v>1</v>
      </c>
      <c r="G194" t="str">
        <f>"7"</f>
        <v>7</v>
      </c>
      <c r="H194" t="str">
        <f>"2"</f>
        <v>2</v>
      </c>
      <c r="I194" s="2">
        <v>931170.06</v>
      </c>
    </row>
    <row r="195" spans="1:9" x14ac:dyDescent="0.25">
      <c r="A195">
        <v>189</v>
      </c>
      <c r="B195" s="1">
        <v>45747</v>
      </c>
      <c r="C195">
        <v>21</v>
      </c>
      <c r="D195" t="str">
        <f>"2875"</f>
        <v>2875</v>
      </c>
      <c r="E195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195" t="str">
        <f>"1"</f>
        <v>1</v>
      </c>
      <c r="G195" t="str">
        <f>"7"</f>
        <v>7</v>
      </c>
      <c r="H195" t="str">
        <f>"1"</f>
        <v>1</v>
      </c>
      <c r="I195" s="2">
        <v>17080.23</v>
      </c>
    </row>
    <row r="196" spans="1:9" x14ac:dyDescent="0.25">
      <c r="A196">
        <v>190</v>
      </c>
      <c r="B196" s="1">
        <v>45747</v>
      </c>
      <c r="C196">
        <v>21</v>
      </c>
      <c r="D196" t="str">
        <f>"2875"</f>
        <v>2875</v>
      </c>
      <c r="E196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196" t="str">
        <f>"1"</f>
        <v>1</v>
      </c>
      <c r="G196" t="str">
        <f>"3"</f>
        <v>3</v>
      </c>
      <c r="H196" t="str">
        <f>"1"</f>
        <v>1</v>
      </c>
      <c r="I196" s="2">
        <v>1286.69</v>
      </c>
    </row>
    <row r="197" spans="1:9" x14ac:dyDescent="0.25">
      <c r="A197">
        <v>191</v>
      </c>
      <c r="B197" s="1">
        <v>45747</v>
      </c>
      <c r="C197">
        <v>21</v>
      </c>
      <c r="D197" t="str">
        <f>"2894"</f>
        <v>2894</v>
      </c>
      <c r="E197" t="str">
        <f>"Обязательства по операциям спот"</f>
        <v>Обязательства по операциям спот</v>
      </c>
      <c r="F197" t="str">
        <f>"1"</f>
        <v>1</v>
      </c>
      <c r="G197" t="str">
        <f>"5"</f>
        <v>5</v>
      </c>
      <c r="H197" t="str">
        <f>"2"</f>
        <v>2</v>
      </c>
      <c r="I197" s="2">
        <v>2985215.92</v>
      </c>
    </row>
    <row r="198" spans="1:9" x14ac:dyDescent="0.25">
      <c r="A198">
        <v>192</v>
      </c>
      <c r="B198" s="1">
        <v>45747</v>
      </c>
      <c r="C198">
        <v>21</v>
      </c>
      <c r="D198" t="str">
        <f>"2892"</f>
        <v>2892</v>
      </c>
      <c r="E198" t="str">
        <f>"Обязательства по операциям форвард"</f>
        <v>Обязательства по операциям форвард</v>
      </c>
      <c r="F198" t="str">
        <f>"1"</f>
        <v>1</v>
      </c>
      <c r="G198" t="str">
        <f>"7"</f>
        <v>7</v>
      </c>
      <c r="H198" t="str">
        <f>"2"</f>
        <v>2</v>
      </c>
      <c r="I198" s="2">
        <v>21961211.440000001</v>
      </c>
    </row>
    <row r="199" spans="1:9" x14ac:dyDescent="0.25">
      <c r="A199">
        <v>193</v>
      </c>
      <c r="B199" s="1">
        <v>45747</v>
      </c>
      <c r="C199">
        <v>21</v>
      </c>
      <c r="D199" t="str">
        <f>"3001"</f>
        <v>3001</v>
      </c>
      <c r="E199" t="str">
        <f>"Уставный капитал – простые акции"</f>
        <v>Уставный капитал – простые акции</v>
      </c>
      <c r="F199" t="str">
        <f>""</f>
        <v/>
      </c>
      <c r="G199" t="str">
        <f>""</f>
        <v/>
      </c>
      <c r="H199" t="str">
        <f>""</f>
        <v/>
      </c>
      <c r="I199" s="2">
        <v>12497625000</v>
      </c>
    </row>
    <row r="200" spans="1:9" x14ac:dyDescent="0.25">
      <c r="A200">
        <v>194</v>
      </c>
      <c r="B200" s="1">
        <v>45747</v>
      </c>
      <c r="C200">
        <v>21</v>
      </c>
      <c r="D200" t="str">
        <f>"3580"</f>
        <v>3580</v>
      </c>
      <c r="E200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200" t="str">
        <f>""</f>
        <v/>
      </c>
      <c r="G200" t="str">
        <f>""</f>
        <v/>
      </c>
      <c r="H200" t="str">
        <f>""</f>
        <v/>
      </c>
      <c r="I200" s="2">
        <v>98578966009.589996</v>
      </c>
    </row>
    <row r="201" spans="1:9" x14ac:dyDescent="0.25">
      <c r="A201">
        <v>195</v>
      </c>
      <c r="B201" s="1">
        <v>45747</v>
      </c>
      <c r="C201">
        <v>21</v>
      </c>
      <c r="D201" t="str">
        <f>"3101"</f>
        <v>3101</v>
      </c>
      <c r="E201" t="str">
        <f>"Дополнительный оплаченный капитал"</f>
        <v>Дополнительный оплаченный капитал</v>
      </c>
      <c r="F201" t="str">
        <f>""</f>
        <v/>
      </c>
      <c r="G201" t="str">
        <f>""</f>
        <v/>
      </c>
      <c r="H201" t="str">
        <f>""</f>
        <v/>
      </c>
      <c r="I201" s="2">
        <v>61975080</v>
      </c>
    </row>
    <row r="202" spans="1:9" x14ac:dyDescent="0.25">
      <c r="A202">
        <v>196</v>
      </c>
      <c r="B202" s="1">
        <v>45747</v>
      </c>
      <c r="C202">
        <v>21</v>
      </c>
      <c r="D202" t="str">
        <f>"2894"</f>
        <v>2894</v>
      </c>
      <c r="E202" t="str">
        <f>"Обязательства по операциям спот"</f>
        <v>Обязательства по операциям спот</v>
      </c>
      <c r="F202" t="str">
        <f>"2"</f>
        <v>2</v>
      </c>
      <c r="G202" t="str">
        <f>"4"</f>
        <v>4</v>
      </c>
      <c r="H202" t="str">
        <f>"2"</f>
        <v>2</v>
      </c>
      <c r="I202" s="2">
        <v>1245398.22</v>
      </c>
    </row>
    <row r="203" spans="1:9" x14ac:dyDescent="0.25">
      <c r="A203">
        <v>197</v>
      </c>
      <c r="B203" s="1">
        <v>45747</v>
      </c>
      <c r="C203">
        <v>21</v>
      </c>
      <c r="D203" t="str">
        <f>"3599"</f>
        <v>3599</v>
      </c>
      <c r="E203" t="str">
        <f>"Нераспределенная чистая прибыль (непокрытый убыток)"</f>
        <v>Нераспределенная чистая прибыль (непокрытый убыток)</v>
      </c>
      <c r="F203" t="str">
        <f>""</f>
        <v/>
      </c>
      <c r="G203" t="str">
        <f>""</f>
        <v/>
      </c>
      <c r="H203" t="str">
        <f>""</f>
        <v/>
      </c>
      <c r="I203" s="2">
        <v>20427783376.330002</v>
      </c>
    </row>
    <row r="204" spans="1:9" x14ac:dyDescent="0.25">
      <c r="A204">
        <v>198</v>
      </c>
      <c r="B204" s="1">
        <v>45747</v>
      </c>
      <c r="C204">
        <v>21</v>
      </c>
      <c r="D204" t="str">
        <f>"4101"</f>
        <v>4101</v>
      </c>
      <c r="E204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204" t="str">
        <f>""</f>
        <v/>
      </c>
      <c r="G204" t="str">
        <f>""</f>
        <v/>
      </c>
      <c r="H204" t="str">
        <f>""</f>
        <v/>
      </c>
      <c r="I204" s="2">
        <v>2034243055.5599999</v>
      </c>
    </row>
    <row r="205" spans="1:9" x14ac:dyDescent="0.25">
      <c r="A205">
        <v>199</v>
      </c>
      <c r="B205" s="1">
        <v>45747</v>
      </c>
      <c r="C205">
        <v>21</v>
      </c>
      <c r="D205" t="str">
        <f>"4103"</f>
        <v>4103</v>
      </c>
      <c r="E205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205" t="str">
        <f>""</f>
        <v/>
      </c>
      <c r="G205" t="str">
        <f>""</f>
        <v/>
      </c>
      <c r="H205" t="str">
        <f>""</f>
        <v/>
      </c>
      <c r="I205" s="2">
        <v>27494359324.830002</v>
      </c>
    </row>
    <row r="206" spans="1:9" x14ac:dyDescent="0.25">
      <c r="A206">
        <v>200</v>
      </c>
      <c r="B206" s="1">
        <v>45747</v>
      </c>
      <c r="C206">
        <v>21</v>
      </c>
      <c r="D206" t="str">
        <f>"2895"</f>
        <v>2895</v>
      </c>
      <c r="E206" t="str">
        <f>"Обязательства по операциям своп"</f>
        <v>Обязательства по операциям своп</v>
      </c>
      <c r="F206" t="str">
        <f>"2"</f>
        <v>2</v>
      </c>
      <c r="G206" t="str">
        <f>"4"</f>
        <v>4</v>
      </c>
      <c r="H206" t="str">
        <f>"2"</f>
        <v>2</v>
      </c>
      <c r="I206" s="2">
        <v>59372780.119999997</v>
      </c>
    </row>
    <row r="207" spans="1:9" x14ac:dyDescent="0.25">
      <c r="A207">
        <v>201</v>
      </c>
      <c r="B207" s="1">
        <v>45747</v>
      </c>
      <c r="C207">
        <v>21</v>
      </c>
      <c r="D207" t="str">
        <f>"2892"</f>
        <v>2892</v>
      </c>
      <c r="E207" t="str">
        <f>"Обязательства по операциям форвард"</f>
        <v>Обязательства по операциям форвард</v>
      </c>
      <c r="F207" t="str">
        <f>"2"</f>
        <v>2</v>
      </c>
      <c r="G207" t="str">
        <f>"4"</f>
        <v>4</v>
      </c>
      <c r="H207" t="str">
        <f>"2"</f>
        <v>2</v>
      </c>
      <c r="I207" s="2">
        <v>470576154.97000003</v>
      </c>
    </row>
    <row r="208" spans="1:9" x14ac:dyDescent="0.25">
      <c r="A208">
        <v>202</v>
      </c>
      <c r="B208" s="1">
        <v>45747</v>
      </c>
      <c r="C208">
        <v>21</v>
      </c>
      <c r="D208" t="str">
        <f>"4052"</f>
        <v>4052</v>
      </c>
      <c r="E208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208" t="str">
        <f>""</f>
        <v/>
      </c>
      <c r="G208" t="str">
        <f>""</f>
        <v/>
      </c>
      <c r="H208" t="str">
        <f>""</f>
        <v/>
      </c>
      <c r="I208" s="2">
        <v>1196700726.3299999</v>
      </c>
    </row>
    <row r="209" spans="1:9" x14ac:dyDescent="0.25">
      <c r="A209">
        <v>203</v>
      </c>
      <c r="B209" s="1">
        <v>45747</v>
      </c>
      <c r="C209">
        <v>21</v>
      </c>
      <c r="D209" t="str">
        <f>"2895"</f>
        <v>2895</v>
      </c>
      <c r="E209" t="str">
        <f>"Обязательства по операциям своп"</f>
        <v>Обязательства по операциям своп</v>
      </c>
      <c r="F209" t="str">
        <f>"1"</f>
        <v>1</v>
      </c>
      <c r="G209" t="str">
        <f>"5"</f>
        <v>5</v>
      </c>
      <c r="H209" t="str">
        <f>"2"</f>
        <v>2</v>
      </c>
      <c r="I209" s="2">
        <v>133468928.69</v>
      </c>
    </row>
    <row r="210" spans="1:9" x14ac:dyDescent="0.25">
      <c r="A210">
        <v>204</v>
      </c>
      <c r="B210" s="1">
        <v>45747</v>
      </c>
      <c r="C210">
        <v>21</v>
      </c>
      <c r="D210" t="str">
        <f>"4202"</f>
        <v>4202</v>
      </c>
      <c r="E210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210" t="str">
        <f>""</f>
        <v/>
      </c>
      <c r="G210" t="str">
        <f>""</f>
        <v/>
      </c>
      <c r="H210" t="str">
        <f>""</f>
        <v/>
      </c>
      <c r="I210" s="2">
        <v>326172631.60000002</v>
      </c>
    </row>
    <row r="211" spans="1:9" x14ac:dyDescent="0.25">
      <c r="A211">
        <v>205</v>
      </c>
      <c r="B211" s="1">
        <v>45747</v>
      </c>
      <c r="C211">
        <v>21</v>
      </c>
      <c r="D211" t="str">
        <f>"4201"</f>
        <v>4201</v>
      </c>
      <c r="E211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211" t="str">
        <f>""</f>
        <v/>
      </c>
      <c r="G211" t="str">
        <f>""</f>
        <v/>
      </c>
      <c r="H211" t="str">
        <f>""</f>
        <v/>
      </c>
      <c r="I211" s="2">
        <v>513392792.45999998</v>
      </c>
    </row>
    <row r="212" spans="1:9" x14ac:dyDescent="0.25">
      <c r="A212">
        <v>206</v>
      </c>
      <c r="B212" s="1">
        <v>45747</v>
      </c>
      <c r="C212">
        <v>21</v>
      </c>
      <c r="D212" t="str">
        <f>"2895"</f>
        <v>2895</v>
      </c>
      <c r="E212" t="str">
        <f>"Обязательства по операциям своп"</f>
        <v>Обязательства по операциям своп</v>
      </c>
      <c r="F212" t="str">
        <f>"1"</f>
        <v>1</v>
      </c>
      <c r="G212" t="str">
        <f>"4"</f>
        <v>4</v>
      </c>
      <c r="H212" t="str">
        <f>"2"</f>
        <v>2</v>
      </c>
      <c r="I212" s="2">
        <v>7020000</v>
      </c>
    </row>
    <row r="213" spans="1:9" x14ac:dyDescent="0.25">
      <c r="A213">
        <v>207</v>
      </c>
      <c r="B213" s="1">
        <v>45747</v>
      </c>
      <c r="C213">
        <v>21</v>
      </c>
      <c r="D213" t="str">
        <f>"4265"</f>
        <v>4265</v>
      </c>
      <c r="E213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213" t="str">
        <f>""</f>
        <v/>
      </c>
      <c r="G213" t="str">
        <f>""</f>
        <v/>
      </c>
      <c r="H213" t="str">
        <f>""</f>
        <v/>
      </c>
      <c r="I213" s="2">
        <v>26231.57</v>
      </c>
    </row>
    <row r="214" spans="1:9" x14ac:dyDescent="0.25">
      <c r="A214">
        <v>208</v>
      </c>
      <c r="B214" s="1">
        <v>45747</v>
      </c>
      <c r="C214">
        <v>21</v>
      </c>
      <c r="D214" t="str">
        <f>"4403"</f>
        <v>4403</v>
      </c>
      <c r="E214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214" t="str">
        <f>""</f>
        <v/>
      </c>
      <c r="G214" t="str">
        <f>""</f>
        <v/>
      </c>
      <c r="H214" t="str">
        <f>""</f>
        <v/>
      </c>
      <c r="I214" s="2">
        <v>2090904.56</v>
      </c>
    </row>
    <row r="215" spans="1:9" x14ac:dyDescent="0.25">
      <c r="A215">
        <v>209</v>
      </c>
      <c r="B215" s="1">
        <v>45747</v>
      </c>
      <c r="C215">
        <v>21</v>
      </c>
      <c r="D215" t="str">
        <f>"4417"</f>
        <v>4417</v>
      </c>
      <c r="E215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215" t="str">
        <f>""</f>
        <v/>
      </c>
      <c r="G215" t="str">
        <f>""</f>
        <v/>
      </c>
      <c r="H215" t="str">
        <f>""</f>
        <v/>
      </c>
      <c r="I215" s="2">
        <v>430848336.70999998</v>
      </c>
    </row>
    <row r="216" spans="1:9" x14ac:dyDescent="0.25">
      <c r="A216">
        <v>210</v>
      </c>
      <c r="B216" s="1">
        <v>45747</v>
      </c>
      <c r="C216">
        <v>21</v>
      </c>
      <c r="D216" t="str">
        <f>"4411"</f>
        <v>4411</v>
      </c>
      <c r="E216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216" t="str">
        <f>""</f>
        <v/>
      </c>
      <c r="G216" t="str">
        <f>""</f>
        <v/>
      </c>
      <c r="H216" t="str">
        <f>""</f>
        <v/>
      </c>
      <c r="I216" s="2">
        <v>4248423626.1399999</v>
      </c>
    </row>
    <row r="217" spans="1:9" x14ac:dyDescent="0.25">
      <c r="A217">
        <v>211</v>
      </c>
      <c r="B217" s="1">
        <v>45747</v>
      </c>
      <c r="C217">
        <v>21</v>
      </c>
      <c r="D217" t="str">
        <f>"4401"</f>
        <v>4401</v>
      </c>
      <c r="E217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217" t="str">
        <f>""</f>
        <v/>
      </c>
      <c r="G217" t="str">
        <f>""</f>
        <v/>
      </c>
      <c r="H217" t="str">
        <f>""</f>
        <v/>
      </c>
      <c r="I217" s="2">
        <v>3250499.16</v>
      </c>
    </row>
    <row r="218" spans="1:9" x14ac:dyDescent="0.25">
      <c r="A218">
        <v>212</v>
      </c>
      <c r="B218" s="1">
        <v>45747</v>
      </c>
      <c r="C218">
        <v>21</v>
      </c>
      <c r="D218" t="str">
        <f>"4407"</f>
        <v>4407</v>
      </c>
      <c r="E218" t="str">
        <f>"Доходы, связанные с получением вознаграждения по факторингу клиентам"</f>
        <v>Доходы, связанные с получением вознаграждения по факторингу клиентам</v>
      </c>
      <c r="F218" t="str">
        <f>""</f>
        <v/>
      </c>
      <c r="G218" t="str">
        <f>""</f>
        <v/>
      </c>
      <c r="H218" t="str">
        <f>""</f>
        <v/>
      </c>
      <c r="I218" s="2">
        <v>29589516.120000001</v>
      </c>
    </row>
    <row r="219" spans="1:9" x14ac:dyDescent="0.25">
      <c r="A219">
        <v>213</v>
      </c>
      <c r="B219" s="1">
        <v>45747</v>
      </c>
      <c r="C219">
        <v>21</v>
      </c>
      <c r="D219" t="str">
        <f>"4429"</f>
        <v>4429</v>
      </c>
      <c r="E219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219" t="str">
        <f>""</f>
        <v/>
      </c>
      <c r="G219" t="str">
        <f>""</f>
        <v/>
      </c>
      <c r="H219" t="str">
        <f>""</f>
        <v/>
      </c>
      <c r="I219" s="2">
        <v>3640341.07</v>
      </c>
    </row>
    <row r="220" spans="1:9" x14ac:dyDescent="0.25">
      <c r="A220">
        <v>214</v>
      </c>
      <c r="B220" s="1">
        <v>45747</v>
      </c>
      <c r="C220">
        <v>21</v>
      </c>
      <c r="D220" t="str">
        <f>"4530"</f>
        <v>4530</v>
      </c>
      <c r="E220" t="str">
        <f>"Доходы по купле-продаже иностранной валюты"</f>
        <v>Доходы по купле-продаже иностранной валюты</v>
      </c>
      <c r="F220" t="str">
        <f>""</f>
        <v/>
      </c>
      <c r="G220" t="str">
        <f>""</f>
        <v/>
      </c>
      <c r="H220" t="str">
        <f>""</f>
        <v/>
      </c>
      <c r="I220" s="2">
        <v>18594159649.869999</v>
      </c>
    </row>
    <row r="221" spans="1:9" x14ac:dyDescent="0.25">
      <c r="A221">
        <v>215</v>
      </c>
      <c r="B221" s="1">
        <v>45747</v>
      </c>
      <c r="C221">
        <v>21</v>
      </c>
      <c r="D221" t="str">
        <f>"4606"</f>
        <v>4606</v>
      </c>
      <c r="E221" t="str">
        <f>"Комиссионные доходы за услуги по операциям с гарантиями"</f>
        <v>Комиссионные доходы за услуги по операциям с гарантиями</v>
      </c>
      <c r="F221" t="str">
        <f>""</f>
        <v/>
      </c>
      <c r="G221" t="str">
        <f>""</f>
        <v/>
      </c>
      <c r="H221" t="str">
        <f>""</f>
        <v/>
      </c>
      <c r="I221" s="2">
        <v>262996482.16</v>
      </c>
    </row>
    <row r="222" spans="1:9" x14ac:dyDescent="0.25">
      <c r="A222">
        <v>216</v>
      </c>
      <c r="B222" s="1">
        <v>45747</v>
      </c>
      <c r="C222">
        <v>21</v>
      </c>
      <c r="D222" t="str">
        <f>"4601"</f>
        <v>4601</v>
      </c>
      <c r="E222" t="str">
        <f>"Комиссионные доходы за услуги по переводным операциям"</f>
        <v>Комиссионные доходы за услуги по переводным операциям</v>
      </c>
      <c r="F222" t="str">
        <f>""</f>
        <v/>
      </c>
      <c r="G222" t="str">
        <f>""</f>
        <v/>
      </c>
      <c r="H222" t="str">
        <f>""</f>
        <v/>
      </c>
      <c r="I222" s="2">
        <v>450765540.32999998</v>
      </c>
    </row>
    <row r="223" spans="1:9" x14ac:dyDescent="0.25">
      <c r="A223">
        <v>217</v>
      </c>
      <c r="B223" s="1">
        <v>45747</v>
      </c>
      <c r="C223">
        <v>21</v>
      </c>
      <c r="D223" t="str">
        <f>"4609"</f>
        <v>4609</v>
      </c>
      <c r="E223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223" t="str">
        <f>""</f>
        <v/>
      </c>
      <c r="G223" t="str">
        <f>""</f>
        <v/>
      </c>
      <c r="H223" t="str">
        <f>""</f>
        <v/>
      </c>
      <c r="I223" s="2">
        <v>606722130.90999997</v>
      </c>
    </row>
    <row r="224" spans="1:9" x14ac:dyDescent="0.25">
      <c r="A224">
        <v>218</v>
      </c>
      <c r="B224" s="1">
        <v>45747</v>
      </c>
      <c r="C224">
        <v>21</v>
      </c>
      <c r="D224" t="str">
        <f>"4619"</f>
        <v>4619</v>
      </c>
      <c r="E224" t="str">
        <f>"Комиссионные доходы за обслуживание платежных карточек"</f>
        <v>Комиссионные доходы за обслуживание платежных карточек</v>
      </c>
      <c r="F224" t="str">
        <f>""</f>
        <v/>
      </c>
      <c r="G224" t="str">
        <f>""</f>
        <v/>
      </c>
      <c r="H224" t="str">
        <f>""</f>
        <v/>
      </c>
      <c r="I224" s="2">
        <v>704638.7</v>
      </c>
    </row>
    <row r="225" spans="1:9" x14ac:dyDescent="0.25">
      <c r="A225">
        <v>219</v>
      </c>
      <c r="B225" s="1">
        <v>45747</v>
      </c>
      <c r="C225">
        <v>21</v>
      </c>
      <c r="D225" t="str">
        <f>"4607"</f>
        <v>4607</v>
      </c>
      <c r="E225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225" t="str">
        <f>""</f>
        <v/>
      </c>
      <c r="G225" t="str">
        <f>""</f>
        <v/>
      </c>
      <c r="H225" t="str">
        <f>""</f>
        <v/>
      </c>
      <c r="I225" s="2">
        <v>8261442.96</v>
      </c>
    </row>
    <row r="226" spans="1:9" x14ac:dyDescent="0.25">
      <c r="A226">
        <v>220</v>
      </c>
      <c r="B226" s="1">
        <v>45747</v>
      </c>
      <c r="C226">
        <v>21</v>
      </c>
      <c r="D226" t="str">
        <f>"4612"</f>
        <v>4612</v>
      </c>
      <c r="E226" t="str">
        <f>"Комиссионные доходы по документарным расчетам"</f>
        <v>Комиссионные доходы по документарным расчетам</v>
      </c>
      <c r="F226" t="str">
        <f>""</f>
        <v/>
      </c>
      <c r="G226" t="str">
        <f>""</f>
        <v/>
      </c>
      <c r="H226" t="str">
        <f>""</f>
        <v/>
      </c>
      <c r="I226" s="2">
        <v>12988628.539999999</v>
      </c>
    </row>
    <row r="227" spans="1:9" x14ac:dyDescent="0.25">
      <c r="A227">
        <v>221</v>
      </c>
      <c r="B227" s="1">
        <v>45747</v>
      </c>
      <c r="C227">
        <v>21</v>
      </c>
      <c r="D227" t="str">
        <f>"4703"</f>
        <v>4703</v>
      </c>
      <c r="E227" t="str">
        <f>"Доход от переоценки иностранной валюты"</f>
        <v>Доход от переоценки иностранной валюты</v>
      </c>
      <c r="F227" t="str">
        <f>""</f>
        <v/>
      </c>
      <c r="G227" t="str">
        <f>""</f>
        <v/>
      </c>
      <c r="H227" t="str">
        <f>""</f>
        <v/>
      </c>
      <c r="I227" s="2">
        <v>7449151385.6800003</v>
      </c>
    </row>
    <row r="228" spans="1:9" x14ac:dyDescent="0.25">
      <c r="A228">
        <v>222</v>
      </c>
      <c r="B228" s="1">
        <v>45747</v>
      </c>
      <c r="C228">
        <v>21</v>
      </c>
      <c r="D228" t="str">
        <f>"4709"</f>
        <v>4709</v>
      </c>
      <c r="E228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228" t="str">
        <f>""</f>
        <v/>
      </c>
      <c r="G228" t="str">
        <f>""</f>
        <v/>
      </c>
      <c r="H228" t="str">
        <f>""</f>
        <v/>
      </c>
      <c r="I228" s="2">
        <v>198728.62</v>
      </c>
    </row>
    <row r="229" spans="1:9" x14ac:dyDescent="0.25">
      <c r="A229">
        <v>223</v>
      </c>
      <c r="B229" s="1">
        <v>45747</v>
      </c>
      <c r="C229">
        <v>21</v>
      </c>
      <c r="D229" t="str">
        <f>"4921"</f>
        <v>4921</v>
      </c>
      <c r="E229" t="str">
        <f>"Прочие доходы от банковской деятельности"</f>
        <v>Прочие доходы от банковской деятельности</v>
      </c>
      <c r="F229" t="str">
        <f>""</f>
        <v/>
      </c>
      <c r="G229" t="str">
        <f>""</f>
        <v/>
      </c>
      <c r="H229" t="str">
        <f>""</f>
        <v/>
      </c>
      <c r="I229" s="2">
        <v>1414634416.5899999</v>
      </c>
    </row>
    <row r="230" spans="1:9" x14ac:dyDescent="0.25">
      <c r="A230">
        <v>224</v>
      </c>
      <c r="B230" s="1">
        <v>45747</v>
      </c>
      <c r="C230">
        <v>21</v>
      </c>
      <c r="D230" t="str">
        <f>"4733"</f>
        <v>4733</v>
      </c>
      <c r="E230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230" t="str">
        <f>""</f>
        <v/>
      </c>
      <c r="G230" t="str">
        <f>""</f>
        <v/>
      </c>
      <c r="H230" t="str">
        <f>""</f>
        <v/>
      </c>
      <c r="I230" s="2">
        <v>9922249.6199999992</v>
      </c>
    </row>
    <row r="231" spans="1:9" x14ac:dyDescent="0.25">
      <c r="A231">
        <v>225</v>
      </c>
      <c r="B231" s="1">
        <v>45747</v>
      </c>
      <c r="C231">
        <v>21</v>
      </c>
      <c r="D231" t="str">
        <f>"4922"</f>
        <v>4922</v>
      </c>
      <c r="E231" t="str">
        <f>"Прочие доходы от неосновной деятельности"</f>
        <v>Прочие доходы от неосновной деятельности</v>
      </c>
      <c r="F231" t="str">
        <f>""</f>
        <v/>
      </c>
      <c r="G231" t="str">
        <f>""</f>
        <v/>
      </c>
      <c r="H231" t="str">
        <f>""</f>
        <v/>
      </c>
      <c r="I231" s="2">
        <v>52135853.189999998</v>
      </c>
    </row>
    <row r="232" spans="1:9" x14ac:dyDescent="0.25">
      <c r="A232">
        <v>226</v>
      </c>
      <c r="B232" s="1">
        <v>45747</v>
      </c>
      <c r="C232">
        <v>21</v>
      </c>
      <c r="D232" t="str">
        <f>"4951"</f>
        <v>4951</v>
      </c>
      <c r="E232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232" t="str">
        <f>""</f>
        <v/>
      </c>
      <c r="G232" t="str">
        <f>""</f>
        <v/>
      </c>
      <c r="H232" t="str">
        <f>""</f>
        <v/>
      </c>
      <c r="I232" s="2">
        <v>144828397.25</v>
      </c>
    </row>
    <row r="233" spans="1:9" x14ac:dyDescent="0.25">
      <c r="A233">
        <v>227</v>
      </c>
      <c r="B233" s="1">
        <v>45747</v>
      </c>
      <c r="C233">
        <v>21</v>
      </c>
      <c r="D233" t="str">
        <f>"4892"</f>
        <v>4892</v>
      </c>
      <c r="E233" t="str">
        <f>"Доходы по операциям форвард"</f>
        <v>Доходы по операциям форвард</v>
      </c>
      <c r="F233" t="str">
        <f>""</f>
        <v/>
      </c>
      <c r="G233" t="str">
        <f>""</f>
        <v/>
      </c>
      <c r="H233" t="str">
        <f>""</f>
        <v/>
      </c>
      <c r="I233" s="2">
        <v>81513985.469999999</v>
      </c>
    </row>
    <row r="234" spans="1:9" x14ac:dyDescent="0.25">
      <c r="A234">
        <v>228</v>
      </c>
      <c r="B234" s="1">
        <v>45747</v>
      </c>
      <c r="C234">
        <v>21</v>
      </c>
      <c r="D234" t="str">
        <f>"4955"</f>
        <v>4955</v>
      </c>
      <c r="E234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234" t="str">
        <f>""</f>
        <v/>
      </c>
      <c r="G234" t="str">
        <f>""</f>
        <v/>
      </c>
      <c r="H234" t="str">
        <f>""</f>
        <v/>
      </c>
      <c r="I234" s="2">
        <v>85913333.090000004</v>
      </c>
    </row>
    <row r="235" spans="1:9" x14ac:dyDescent="0.25">
      <c r="A235">
        <v>229</v>
      </c>
      <c r="B235" s="1">
        <v>45747</v>
      </c>
      <c r="C235">
        <v>21</v>
      </c>
      <c r="D235" t="str">
        <f>"4958"</f>
        <v>4958</v>
      </c>
      <c r="E235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235" t="str">
        <f>""</f>
        <v/>
      </c>
      <c r="G235" t="str">
        <f>""</f>
        <v/>
      </c>
      <c r="H235" t="str">
        <f>""</f>
        <v/>
      </c>
      <c r="I235" s="2">
        <v>45612071.630000003</v>
      </c>
    </row>
    <row r="236" spans="1:9" x14ac:dyDescent="0.25">
      <c r="A236">
        <v>230</v>
      </c>
      <c r="B236" s="1">
        <v>45747</v>
      </c>
      <c r="C236">
        <v>21</v>
      </c>
      <c r="D236" t="str">
        <f>"5126"</f>
        <v>5126</v>
      </c>
      <c r="E236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236" t="str">
        <f>""</f>
        <v/>
      </c>
      <c r="G236" t="str">
        <f>""</f>
        <v/>
      </c>
      <c r="H236" t="str">
        <f>""</f>
        <v/>
      </c>
      <c r="I236" s="2">
        <v>1569104117.03</v>
      </c>
    </row>
    <row r="237" spans="1:9" x14ac:dyDescent="0.25">
      <c r="A237">
        <v>231</v>
      </c>
      <c r="B237" s="1">
        <v>45747</v>
      </c>
      <c r="C237">
        <v>21</v>
      </c>
      <c r="D237" t="str">
        <f>"4570"</f>
        <v>4570</v>
      </c>
      <c r="E237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237" t="str">
        <f>""</f>
        <v/>
      </c>
      <c r="G237" t="str">
        <f>""</f>
        <v/>
      </c>
      <c r="H237" t="str">
        <f>""</f>
        <v/>
      </c>
      <c r="I237" s="2">
        <v>591073022.88999999</v>
      </c>
    </row>
    <row r="238" spans="1:9" x14ac:dyDescent="0.25">
      <c r="A238">
        <v>232</v>
      </c>
      <c r="B238" s="1">
        <v>45747</v>
      </c>
      <c r="C238">
        <v>21</v>
      </c>
      <c r="D238" t="str">
        <f>"5215"</f>
        <v>5215</v>
      </c>
      <c r="E238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238" t="str">
        <f>""</f>
        <v/>
      </c>
      <c r="G238" t="str">
        <f>""</f>
        <v/>
      </c>
      <c r="H238" t="str">
        <f>""</f>
        <v/>
      </c>
      <c r="I238" s="2">
        <v>3902323953.75</v>
      </c>
    </row>
    <row r="239" spans="1:9" x14ac:dyDescent="0.25">
      <c r="A239">
        <v>233</v>
      </c>
      <c r="B239" s="1">
        <v>45747</v>
      </c>
      <c r="C239">
        <v>21</v>
      </c>
      <c r="D239" t="str">
        <f>"5227"</f>
        <v>5227</v>
      </c>
      <c r="E239" t="str">
        <f>"Процентные расходы по обязательствам по аренде"</f>
        <v>Процентные расходы по обязательствам по аренде</v>
      </c>
      <c r="F239" t="str">
        <f>""</f>
        <v/>
      </c>
      <c r="G239" t="str">
        <f>""</f>
        <v/>
      </c>
      <c r="H239" t="str">
        <f>""</f>
        <v/>
      </c>
      <c r="I239" s="2">
        <v>10626827.279999999</v>
      </c>
    </row>
    <row r="240" spans="1:9" x14ac:dyDescent="0.25">
      <c r="A240">
        <v>234</v>
      </c>
      <c r="B240" s="1">
        <v>45747</v>
      </c>
      <c r="C240">
        <v>21</v>
      </c>
      <c r="D240" t="str">
        <f>"5219"</f>
        <v>5219</v>
      </c>
      <c r="E240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240" t="str">
        <f>""</f>
        <v/>
      </c>
      <c r="G240" t="str">
        <f>""</f>
        <v/>
      </c>
      <c r="H240" t="str">
        <f>""</f>
        <v/>
      </c>
      <c r="I240" s="2">
        <v>88304.53</v>
      </c>
    </row>
    <row r="241" spans="1:9" x14ac:dyDescent="0.25">
      <c r="A241">
        <v>235</v>
      </c>
      <c r="B241" s="1">
        <v>45747</v>
      </c>
      <c r="C241">
        <v>21</v>
      </c>
      <c r="D241" t="str">
        <f>"5305"</f>
        <v>5305</v>
      </c>
      <c r="E241" t="str">
        <f>"Расходы по амортизации премии по приобретенным ценным бумагам, учитываемым по справедливой стоимости через прибыль или убыток"</f>
        <v>Расходы по амортизации премии по приобретенным ценным бумагам, учитываемым по справедливой стоимости через прибыль или убыток</v>
      </c>
      <c r="F241" t="str">
        <f>""</f>
        <v/>
      </c>
      <c r="G241" t="str">
        <f>""</f>
        <v/>
      </c>
      <c r="H241" t="str">
        <f>""</f>
        <v/>
      </c>
      <c r="I241" s="2">
        <v>7012660.7699999996</v>
      </c>
    </row>
    <row r="242" spans="1:9" x14ac:dyDescent="0.25">
      <c r="A242">
        <v>236</v>
      </c>
      <c r="B242" s="1">
        <v>45747</v>
      </c>
      <c r="C242">
        <v>21</v>
      </c>
      <c r="D242" t="str">
        <f>"5451"</f>
        <v>5451</v>
      </c>
      <c r="E242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242" t="str">
        <f>""</f>
        <v/>
      </c>
      <c r="G242" t="str">
        <f>""</f>
        <v/>
      </c>
      <c r="H242" t="str">
        <f>""</f>
        <v/>
      </c>
      <c r="I242" s="2">
        <v>33461020</v>
      </c>
    </row>
    <row r="243" spans="1:9" x14ac:dyDescent="0.25">
      <c r="A243">
        <v>237</v>
      </c>
      <c r="B243" s="1">
        <v>45747</v>
      </c>
      <c r="C243">
        <v>21</v>
      </c>
      <c r="D243" t="str">
        <f>"5455"</f>
        <v>5455</v>
      </c>
      <c r="E243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243" t="str">
        <f>""</f>
        <v/>
      </c>
      <c r="G243" t="str">
        <f>""</f>
        <v/>
      </c>
      <c r="H243" t="str">
        <f>""</f>
        <v/>
      </c>
      <c r="I243" s="2">
        <v>164347159.83000001</v>
      </c>
    </row>
    <row r="244" spans="1:9" x14ac:dyDescent="0.25">
      <c r="A244">
        <v>238</v>
      </c>
      <c r="B244" s="1">
        <v>45747</v>
      </c>
      <c r="C244">
        <v>21</v>
      </c>
      <c r="D244" t="str">
        <f>"5465"</f>
        <v>5465</v>
      </c>
      <c r="E244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244" t="str">
        <f>""</f>
        <v/>
      </c>
      <c r="G244" t="str">
        <f>""</f>
        <v/>
      </c>
      <c r="H244" t="str">
        <f>""</f>
        <v/>
      </c>
      <c r="I244" s="2">
        <v>30823819.949999999</v>
      </c>
    </row>
    <row r="245" spans="1:9" x14ac:dyDescent="0.25">
      <c r="A245">
        <v>239</v>
      </c>
      <c r="B245" s="1">
        <v>45747</v>
      </c>
      <c r="C245">
        <v>21</v>
      </c>
      <c r="D245" t="str">
        <f>"5593"</f>
        <v>5593</v>
      </c>
      <c r="E245" t="str">
        <f>"Расходы от переоценки операций своп"</f>
        <v>Расходы от переоценки операций своп</v>
      </c>
      <c r="F245" t="str">
        <f>""</f>
        <v/>
      </c>
      <c r="G245" t="str">
        <f>""</f>
        <v/>
      </c>
      <c r="H245" t="str">
        <f>""</f>
        <v/>
      </c>
      <c r="I245" s="2">
        <v>1008014179.17</v>
      </c>
    </row>
    <row r="246" spans="1:9" x14ac:dyDescent="0.25">
      <c r="A246">
        <v>240</v>
      </c>
      <c r="B246" s="1">
        <v>45747</v>
      </c>
      <c r="C246">
        <v>21</v>
      </c>
      <c r="D246" t="str">
        <f>"5570"</f>
        <v>5570</v>
      </c>
      <c r="E246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246" t="str">
        <f>""</f>
        <v/>
      </c>
      <c r="G246" t="str">
        <f>""</f>
        <v/>
      </c>
      <c r="H246" t="str">
        <f>""</f>
        <v/>
      </c>
      <c r="I246" s="2">
        <v>137310599.34999999</v>
      </c>
    </row>
    <row r="247" spans="1:9" x14ac:dyDescent="0.25">
      <c r="A247">
        <v>241</v>
      </c>
      <c r="B247" s="1">
        <v>45747</v>
      </c>
      <c r="C247">
        <v>21</v>
      </c>
      <c r="D247" t="str">
        <f>"5601"</f>
        <v>5601</v>
      </c>
      <c r="E247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247" t="str">
        <f>""</f>
        <v/>
      </c>
      <c r="G247" t="str">
        <f>""</f>
        <v/>
      </c>
      <c r="H247" t="str">
        <f>""</f>
        <v/>
      </c>
      <c r="I247" s="2">
        <v>71412722.530000001</v>
      </c>
    </row>
    <row r="248" spans="1:9" x14ac:dyDescent="0.25">
      <c r="A248">
        <v>242</v>
      </c>
      <c r="B248" s="1">
        <v>45747</v>
      </c>
      <c r="C248">
        <v>21</v>
      </c>
      <c r="D248" t="str">
        <f>"5560"</f>
        <v>5560</v>
      </c>
      <c r="E248" t="str">
        <f>"Расходы от переоценки форвардных операций по ценным бумагам"</f>
        <v>Расходы от переоценки форвардных операций по ценным бумагам</v>
      </c>
      <c r="F248" t="str">
        <f>""</f>
        <v/>
      </c>
      <c r="G248" t="str">
        <f>""</f>
        <v/>
      </c>
      <c r="H248" t="str">
        <f>""</f>
        <v/>
      </c>
      <c r="I248" s="2">
        <v>17279059.84</v>
      </c>
    </row>
    <row r="249" spans="1:9" x14ac:dyDescent="0.25">
      <c r="A249">
        <v>243</v>
      </c>
      <c r="B249" s="1">
        <v>45747</v>
      </c>
      <c r="C249">
        <v>21</v>
      </c>
      <c r="D249" t="str">
        <f>"5603"</f>
        <v>5603</v>
      </c>
      <c r="E249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249" t="str">
        <f>""</f>
        <v/>
      </c>
      <c r="G249" t="str">
        <f>""</f>
        <v/>
      </c>
      <c r="H249" t="str">
        <f>""</f>
        <v/>
      </c>
      <c r="I249" s="2">
        <v>1298132.01</v>
      </c>
    </row>
    <row r="250" spans="1:9" x14ac:dyDescent="0.25">
      <c r="A250">
        <v>244</v>
      </c>
      <c r="B250" s="1">
        <v>45747</v>
      </c>
      <c r="C250">
        <v>21</v>
      </c>
      <c r="D250" t="str">
        <f>"5606"</f>
        <v>5606</v>
      </c>
      <c r="E250" t="str">
        <f>"Комиссионные расходы по полученным услугам по гарантиям"</f>
        <v>Комиссионные расходы по полученным услугам по гарантиям</v>
      </c>
      <c r="F250" t="str">
        <f>""</f>
        <v/>
      </c>
      <c r="G250" t="str">
        <f>""</f>
        <v/>
      </c>
      <c r="H250" t="str">
        <f>""</f>
        <v/>
      </c>
      <c r="I250" s="2">
        <v>1148223813.05</v>
      </c>
    </row>
    <row r="251" spans="1:9" x14ac:dyDescent="0.25">
      <c r="A251">
        <v>245</v>
      </c>
      <c r="B251" s="1">
        <v>45747</v>
      </c>
      <c r="C251">
        <v>21</v>
      </c>
      <c r="D251" t="str">
        <f>"5609"</f>
        <v>5609</v>
      </c>
      <c r="E251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251" t="str">
        <f>""</f>
        <v/>
      </c>
      <c r="G251" t="str">
        <f>""</f>
        <v/>
      </c>
      <c r="H251" t="str">
        <f>""</f>
        <v/>
      </c>
      <c r="I251" s="2">
        <v>21791911.510000002</v>
      </c>
    </row>
    <row r="252" spans="1:9" x14ac:dyDescent="0.25">
      <c r="A252">
        <v>246</v>
      </c>
      <c r="B252" s="1">
        <v>45747</v>
      </c>
      <c r="C252">
        <v>21</v>
      </c>
      <c r="D252" t="str">
        <f>"5709"</f>
        <v>5709</v>
      </c>
      <c r="E252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252" t="str">
        <f>""</f>
        <v/>
      </c>
      <c r="G252" t="str">
        <f>""</f>
        <v/>
      </c>
      <c r="H252" t="str">
        <f>""</f>
        <v/>
      </c>
      <c r="I252" s="2">
        <v>3613048814.4899998</v>
      </c>
    </row>
    <row r="253" spans="1:9" x14ac:dyDescent="0.25">
      <c r="A253">
        <v>247</v>
      </c>
      <c r="B253" s="1">
        <v>45747</v>
      </c>
      <c r="C253">
        <v>21</v>
      </c>
      <c r="D253" t="str">
        <f>"5721"</f>
        <v>5721</v>
      </c>
      <c r="E253" t="str">
        <f>"Расходы по оплате труда"</f>
        <v>Расходы по оплате труда</v>
      </c>
      <c r="F253" t="str">
        <f>""</f>
        <v/>
      </c>
      <c r="G253" t="str">
        <f>""</f>
        <v/>
      </c>
      <c r="H253" t="str">
        <f>""</f>
        <v/>
      </c>
      <c r="I253" s="2">
        <v>1535392309.1500001</v>
      </c>
    </row>
    <row r="254" spans="1:9" x14ac:dyDescent="0.25">
      <c r="A254">
        <v>248</v>
      </c>
      <c r="B254" s="1">
        <v>45747</v>
      </c>
      <c r="C254">
        <v>21</v>
      </c>
      <c r="D254" t="str">
        <f>"5608"</f>
        <v>5608</v>
      </c>
      <c r="E254" t="str">
        <f>"Прочие комиссионные расходы"</f>
        <v>Прочие комиссионные расходы</v>
      </c>
      <c r="F254" t="str">
        <f>""</f>
        <v/>
      </c>
      <c r="G254" t="str">
        <f>""</f>
        <v/>
      </c>
      <c r="H254" t="str">
        <f>""</f>
        <v/>
      </c>
      <c r="I254" s="2">
        <v>117136385.41</v>
      </c>
    </row>
    <row r="255" spans="1:9" x14ac:dyDescent="0.25">
      <c r="A255">
        <v>249</v>
      </c>
      <c r="B255" s="1">
        <v>45747</v>
      </c>
      <c r="C255">
        <v>21</v>
      </c>
      <c r="D255" t="str">
        <f>"5729"</f>
        <v>5729</v>
      </c>
      <c r="E255" t="str">
        <f>"Прочие выплаты"</f>
        <v>Прочие выплаты</v>
      </c>
      <c r="F255" t="str">
        <f>""</f>
        <v/>
      </c>
      <c r="G255" t="str">
        <f>""</f>
        <v/>
      </c>
      <c r="H255" t="str">
        <f>""</f>
        <v/>
      </c>
      <c r="I255" s="2">
        <v>39106696.93</v>
      </c>
    </row>
    <row r="256" spans="1:9" x14ac:dyDescent="0.25">
      <c r="A256">
        <v>250</v>
      </c>
      <c r="B256" s="1">
        <v>45747</v>
      </c>
      <c r="C256">
        <v>21</v>
      </c>
      <c r="D256" t="str">
        <f>"5744"</f>
        <v>5744</v>
      </c>
      <c r="E256" t="str">
        <f>"Расходы на ремонт"</f>
        <v>Расходы на ремонт</v>
      </c>
      <c r="F256" t="str">
        <f>""</f>
        <v/>
      </c>
      <c r="G256" t="str">
        <f>""</f>
        <v/>
      </c>
      <c r="H256" t="str">
        <f>""</f>
        <v/>
      </c>
      <c r="I256" s="2">
        <v>10515009.939999999</v>
      </c>
    </row>
    <row r="257" spans="1:9" x14ac:dyDescent="0.25">
      <c r="A257">
        <v>251</v>
      </c>
      <c r="B257" s="1">
        <v>45747</v>
      </c>
      <c r="C257">
        <v>21</v>
      </c>
      <c r="D257" t="str">
        <f>"5733"</f>
        <v>5733</v>
      </c>
      <c r="E257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257" t="str">
        <f>""</f>
        <v/>
      </c>
      <c r="G257" t="str">
        <f>""</f>
        <v/>
      </c>
      <c r="H257" t="str">
        <f>""</f>
        <v/>
      </c>
      <c r="I257" s="2">
        <v>5303113.8600000003</v>
      </c>
    </row>
    <row r="258" spans="1:9" x14ac:dyDescent="0.25">
      <c r="A258">
        <v>252</v>
      </c>
      <c r="B258" s="1">
        <v>45747</v>
      </c>
      <c r="C258">
        <v>21</v>
      </c>
      <c r="D258" t="str">
        <f>"5722"</f>
        <v>5722</v>
      </c>
      <c r="E258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258" t="str">
        <f>""</f>
        <v/>
      </c>
      <c r="G258" t="str">
        <f>""</f>
        <v/>
      </c>
      <c r="H258" t="str">
        <f>""</f>
        <v/>
      </c>
      <c r="I258" s="2">
        <v>48256985</v>
      </c>
    </row>
    <row r="259" spans="1:9" x14ac:dyDescent="0.25">
      <c r="A259">
        <v>253</v>
      </c>
      <c r="B259" s="1">
        <v>45747</v>
      </c>
      <c r="C259">
        <v>21</v>
      </c>
      <c r="D259" t="str">
        <f>"5741"</f>
        <v>5741</v>
      </c>
      <c r="E259" t="str">
        <f>"Транспортные расходы"</f>
        <v>Транспортные расходы</v>
      </c>
      <c r="F259" t="str">
        <f>""</f>
        <v/>
      </c>
      <c r="G259" t="str">
        <f>""</f>
        <v/>
      </c>
      <c r="H259" t="str">
        <f>""</f>
        <v/>
      </c>
      <c r="I259" s="2">
        <v>8064676.9000000004</v>
      </c>
    </row>
    <row r="260" spans="1:9" x14ac:dyDescent="0.25">
      <c r="A260">
        <v>254</v>
      </c>
      <c r="B260" s="1">
        <v>45747</v>
      </c>
      <c r="C260">
        <v>21</v>
      </c>
      <c r="D260" t="str">
        <f>"5742"</f>
        <v>5742</v>
      </c>
      <c r="E260" t="str">
        <f>"Административные расходы"</f>
        <v>Административные расходы</v>
      </c>
      <c r="F260" t="str">
        <f>""</f>
        <v/>
      </c>
      <c r="G260" t="str">
        <f>""</f>
        <v/>
      </c>
      <c r="H260" t="str">
        <f>""</f>
        <v/>
      </c>
      <c r="I260" s="2">
        <v>42521654.899999999</v>
      </c>
    </row>
    <row r="261" spans="1:9" x14ac:dyDescent="0.25">
      <c r="A261">
        <v>255</v>
      </c>
      <c r="B261" s="1">
        <v>45747</v>
      </c>
      <c r="C261">
        <v>21</v>
      </c>
      <c r="D261" t="str">
        <f>"5743"</f>
        <v>5743</v>
      </c>
      <c r="E261" t="str">
        <f>"Расходы на инкассацию"</f>
        <v>Расходы на инкассацию</v>
      </c>
      <c r="F261" t="str">
        <f>""</f>
        <v/>
      </c>
      <c r="G261" t="str">
        <f>""</f>
        <v/>
      </c>
      <c r="H261" t="str">
        <f>""</f>
        <v/>
      </c>
      <c r="I261" s="2">
        <v>33842504.530000001</v>
      </c>
    </row>
    <row r="262" spans="1:9" x14ac:dyDescent="0.25">
      <c r="A262">
        <v>256</v>
      </c>
      <c r="B262" s="1">
        <v>45747</v>
      </c>
      <c r="C262">
        <v>21</v>
      </c>
      <c r="D262" t="str">
        <f>"5746"</f>
        <v>5746</v>
      </c>
      <c r="E262" t="str">
        <f>"Расходы на охрану и сигнализацию"</f>
        <v>Расходы на охрану и сигнализацию</v>
      </c>
      <c r="F262" t="str">
        <f>""</f>
        <v/>
      </c>
      <c r="G262" t="str">
        <f>""</f>
        <v/>
      </c>
      <c r="H262" t="str">
        <f>""</f>
        <v/>
      </c>
      <c r="I262" s="2">
        <v>6419527.9900000002</v>
      </c>
    </row>
    <row r="263" spans="1:9" x14ac:dyDescent="0.25">
      <c r="A263">
        <v>257</v>
      </c>
      <c r="B263" s="1">
        <v>45747</v>
      </c>
      <c r="C263">
        <v>21</v>
      </c>
      <c r="D263" t="str">
        <f>"5745"</f>
        <v>5745</v>
      </c>
      <c r="E263" t="str">
        <f>"Расходы на рекламу"</f>
        <v>Расходы на рекламу</v>
      </c>
      <c r="F263" t="str">
        <f>""</f>
        <v/>
      </c>
      <c r="G263" t="str">
        <f>""</f>
        <v/>
      </c>
      <c r="H263" t="str">
        <f>""</f>
        <v/>
      </c>
      <c r="I263" s="2">
        <v>7756621.9199999999</v>
      </c>
    </row>
    <row r="264" spans="1:9" x14ac:dyDescent="0.25">
      <c r="A264">
        <v>258</v>
      </c>
      <c r="B264" s="1">
        <v>45747</v>
      </c>
      <c r="C264">
        <v>21</v>
      </c>
      <c r="D264" t="str">
        <f>"5748"</f>
        <v>5748</v>
      </c>
      <c r="E264" t="str">
        <f>"Прочие общехозяйственные расходы"</f>
        <v>Прочие общехозяйственные расходы</v>
      </c>
      <c r="F264" t="str">
        <f>""</f>
        <v/>
      </c>
      <c r="G264" t="str">
        <f>""</f>
        <v/>
      </c>
      <c r="H264" t="str">
        <f>""</f>
        <v/>
      </c>
      <c r="I264" s="2">
        <v>3851975604.0500002</v>
      </c>
    </row>
    <row r="265" spans="1:9" x14ac:dyDescent="0.25">
      <c r="A265">
        <v>259</v>
      </c>
      <c r="B265" s="1">
        <v>45747</v>
      </c>
      <c r="C265">
        <v>21</v>
      </c>
      <c r="D265" t="str">
        <f>"5747"</f>
        <v>5747</v>
      </c>
      <c r="E265" t="str">
        <f>"Представительские расходы"</f>
        <v>Представительские расходы</v>
      </c>
      <c r="F265" t="str">
        <f>""</f>
        <v/>
      </c>
      <c r="G265" t="str">
        <f>""</f>
        <v/>
      </c>
      <c r="H265" t="str">
        <f>""</f>
        <v/>
      </c>
      <c r="I265" s="2">
        <v>6643128.6200000001</v>
      </c>
    </row>
    <row r="266" spans="1:9" x14ac:dyDescent="0.25">
      <c r="A266">
        <v>260</v>
      </c>
      <c r="B266" s="1">
        <v>45747</v>
      </c>
      <c r="C266">
        <v>21</v>
      </c>
      <c r="D266" t="str">
        <f>"5250"</f>
        <v>5250</v>
      </c>
      <c r="E266" t="s">
        <v>9</v>
      </c>
      <c r="F266" t="str">
        <f>""</f>
        <v/>
      </c>
      <c r="G266" t="str">
        <f>""</f>
        <v/>
      </c>
      <c r="H266" t="str">
        <f>""</f>
        <v/>
      </c>
      <c r="I266" s="2">
        <v>18440880.02</v>
      </c>
    </row>
    <row r="267" spans="1:9" x14ac:dyDescent="0.25">
      <c r="A267">
        <v>261</v>
      </c>
      <c r="B267" s="1">
        <v>45747</v>
      </c>
      <c r="C267">
        <v>21</v>
      </c>
      <c r="D267" t="str">
        <f>"5753"</f>
        <v>5753</v>
      </c>
      <c r="E267" t="str">
        <f>"Расходы по услугам связи"</f>
        <v>Расходы по услугам связи</v>
      </c>
      <c r="F267" t="str">
        <f>""</f>
        <v/>
      </c>
      <c r="G267" t="str">
        <f>""</f>
        <v/>
      </c>
      <c r="H267" t="str">
        <f>""</f>
        <v/>
      </c>
      <c r="I267" s="2">
        <v>12739361.369999999</v>
      </c>
    </row>
    <row r="268" spans="1:9" x14ac:dyDescent="0.25">
      <c r="A268">
        <v>262</v>
      </c>
      <c r="B268" s="1">
        <v>45747</v>
      </c>
      <c r="C268">
        <v>21</v>
      </c>
      <c r="D268" t="str">
        <f>"5752"</f>
        <v>5752</v>
      </c>
      <c r="E268" t="str">
        <f>"Расходы по страхованию"</f>
        <v>Расходы по страхованию</v>
      </c>
      <c r="F268" t="str">
        <f>""</f>
        <v/>
      </c>
      <c r="G268" t="str">
        <f>""</f>
        <v/>
      </c>
      <c r="H268" t="str">
        <f>""</f>
        <v/>
      </c>
      <c r="I268" s="2">
        <v>10956343.15</v>
      </c>
    </row>
    <row r="269" spans="1:9" x14ac:dyDescent="0.25">
      <c r="A269">
        <v>263</v>
      </c>
      <c r="B269" s="1">
        <v>45747</v>
      </c>
      <c r="C269">
        <v>21</v>
      </c>
      <c r="D269" t="str">
        <f>"5750"</f>
        <v>5750</v>
      </c>
      <c r="E269" t="str">
        <f>"Расходы по аудиту и консультационным услугам"</f>
        <v>Расходы по аудиту и консультационным услугам</v>
      </c>
      <c r="F269" t="str">
        <f>""</f>
        <v/>
      </c>
      <c r="G269" t="str">
        <f>""</f>
        <v/>
      </c>
      <c r="H269" t="str">
        <f>""</f>
        <v/>
      </c>
      <c r="I269" s="2">
        <v>11975001</v>
      </c>
    </row>
    <row r="270" spans="1:9" x14ac:dyDescent="0.25">
      <c r="A270">
        <v>264</v>
      </c>
      <c r="B270" s="1">
        <v>45747</v>
      </c>
      <c r="C270">
        <v>21</v>
      </c>
      <c r="D270" t="str">
        <f>"5763"</f>
        <v>5763</v>
      </c>
      <c r="E270" t="str">
        <f>"Социальный налог"</f>
        <v>Социальный налог</v>
      </c>
      <c r="F270" t="str">
        <f>""</f>
        <v/>
      </c>
      <c r="G270" t="str">
        <f>""</f>
        <v/>
      </c>
      <c r="H270" t="str">
        <f>""</f>
        <v/>
      </c>
      <c r="I270" s="2">
        <v>227909424.05000001</v>
      </c>
    </row>
    <row r="271" spans="1:9" x14ac:dyDescent="0.25">
      <c r="A271">
        <v>265</v>
      </c>
      <c r="B271" s="1">
        <v>45747</v>
      </c>
      <c r="C271">
        <v>21</v>
      </c>
      <c r="D271" t="str">
        <f>"5749"</f>
        <v>5749</v>
      </c>
      <c r="E271" t="str">
        <f>"Расходы на служебные командировки"</f>
        <v>Расходы на служебные командировки</v>
      </c>
      <c r="F271" t="str">
        <f>""</f>
        <v/>
      </c>
      <c r="G271" t="str">
        <f>""</f>
        <v/>
      </c>
      <c r="H271" t="str">
        <f>""</f>
        <v/>
      </c>
      <c r="I271" s="2">
        <v>28135634.359999999</v>
      </c>
    </row>
    <row r="272" spans="1:9" x14ac:dyDescent="0.25">
      <c r="A272">
        <v>266</v>
      </c>
      <c r="B272" s="1">
        <v>45747</v>
      </c>
      <c r="C272">
        <v>21</v>
      </c>
      <c r="D272" t="str">
        <f>"5761"</f>
        <v>5761</v>
      </c>
      <c r="E272" t="str">
        <f>"Налог на добавленную стоимость"</f>
        <v>Налог на добавленную стоимость</v>
      </c>
      <c r="F272" t="str">
        <f>""</f>
        <v/>
      </c>
      <c r="G272" t="str">
        <f>""</f>
        <v/>
      </c>
      <c r="H272" t="str">
        <f>""</f>
        <v/>
      </c>
      <c r="I272" s="2">
        <v>640788945.15999997</v>
      </c>
    </row>
    <row r="273" spans="1:9" x14ac:dyDescent="0.25">
      <c r="A273">
        <v>267</v>
      </c>
      <c r="B273" s="1">
        <v>45747</v>
      </c>
      <c r="C273">
        <v>21</v>
      </c>
      <c r="D273" t="str">
        <f>"5768"</f>
        <v>5768</v>
      </c>
      <c r="E273" t="str">
        <f>"Прочие налоги и обязательные платежи в бюджет"</f>
        <v>Прочие налоги и обязательные платежи в бюджет</v>
      </c>
      <c r="F273" t="str">
        <f>""</f>
        <v/>
      </c>
      <c r="G273" t="str">
        <f>""</f>
        <v/>
      </c>
      <c r="H273" t="str">
        <f>""</f>
        <v/>
      </c>
      <c r="I273" s="2">
        <v>308435489.63</v>
      </c>
    </row>
    <row r="274" spans="1:9" x14ac:dyDescent="0.25">
      <c r="A274">
        <v>268</v>
      </c>
      <c r="B274" s="1">
        <v>45747</v>
      </c>
      <c r="C274">
        <v>21</v>
      </c>
      <c r="D274" t="str">
        <f>"5754"</f>
        <v>5754</v>
      </c>
      <c r="E274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274" t="str">
        <f>""</f>
        <v/>
      </c>
      <c r="G274" t="str">
        <f>""</f>
        <v/>
      </c>
      <c r="H274" t="str">
        <f>""</f>
        <v/>
      </c>
      <c r="I274" s="2">
        <v>844.13</v>
      </c>
    </row>
    <row r="275" spans="1:9" x14ac:dyDescent="0.25">
      <c r="A275">
        <v>269</v>
      </c>
      <c r="B275" s="1">
        <v>45747</v>
      </c>
      <c r="C275">
        <v>21</v>
      </c>
      <c r="D275" t="str">
        <f>"5781"</f>
        <v>5781</v>
      </c>
      <c r="E275" t="str">
        <f>"Расходы по амортизации зданий и сооружений"</f>
        <v>Расходы по амортизации зданий и сооружений</v>
      </c>
      <c r="F275" t="str">
        <f>""</f>
        <v/>
      </c>
      <c r="G275" t="str">
        <f>""</f>
        <v/>
      </c>
      <c r="H275" t="str">
        <f>""</f>
        <v/>
      </c>
      <c r="I275" s="2">
        <v>6560379.8200000003</v>
      </c>
    </row>
    <row r="276" spans="1:9" x14ac:dyDescent="0.25">
      <c r="A276">
        <v>270</v>
      </c>
      <c r="B276" s="1">
        <v>45747</v>
      </c>
      <c r="C276">
        <v>21</v>
      </c>
      <c r="D276" t="str">
        <f>"5782"</f>
        <v>5782</v>
      </c>
      <c r="E276" t="str">
        <f>"Расходы по амортизации компьютерного оборудования"</f>
        <v>Расходы по амортизации компьютерного оборудования</v>
      </c>
      <c r="F276" t="str">
        <f>""</f>
        <v/>
      </c>
      <c r="G276" t="str">
        <f>""</f>
        <v/>
      </c>
      <c r="H276" t="str">
        <f>""</f>
        <v/>
      </c>
      <c r="I276" s="2">
        <v>21084631.850000001</v>
      </c>
    </row>
    <row r="277" spans="1:9" x14ac:dyDescent="0.25">
      <c r="A277">
        <v>271</v>
      </c>
      <c r="B277" s="1">
        <v>45747</v>
      </c>
      <c r="C277">
        <v>21</v>
      </c>
      <c r="D277" t="str">
        <f>"5783"</f>
        <v>5783</v>
      </c>
      <c r="E277" t="str">
        <f>"Расходы по амортизации прочих основных средств"</f>
        <v>Расходы по амортизации прочих основных средств</v>
      </c>
      <c r="F277" t="str">
        <f>""</f>
        <v/>
      </c>
      <c r="G277" t="str">
        <f>""</f>
        <v/>
      </c>
      <c r="H277" t="str">
        <f>""</f>
        <v/>
      </c>
      <c r="I277" s="2">
        <v>31336774.219999999</v>
      </c>
    </row>
    <row r="278" spans="1:9" x14ac:dyDescent="0.25">
      <c r="A278">
        <v>272</v>
      </c>
      <c r="B278" s="1">
        <v>45747</v>
      </c>
      <c r="C278">
        <v>21</v>
      </c>
      <c r="D278" t="str">
        <f>"5786"</f>
        <v>5786</v>
      </c>
      <c r="E278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278" t="str">
        <f>""</f>
        <v/>
      </c>
      <c r="G278" t="str">
        <f>""</f>
        <v/>
      </c>
      <c r="H278" t="str">
        <f>""</f>
        <v/>
      </c>
      <c r="I278" s="2">
        <v>5696193.1500000004</v>
      </c>
    </row>
    <row r="279" spans="1:9" x14ac:dyDescent="0.25">
      <c r="A279">
        <v>273</v>
      </c>
      <c r="B279" s="1">
        <v>45747</v>
      </c>
      <c r="C279">
        <v>21</v>
      </c>
      <c r="D279" t="str">
        <f>"5784"</f>
        <v>5784</v>
      </c>
      <c r="E279" t="str">
        <f>"Расходы по амортизации активов в форме права пользования"</f>
        <v>Расходы по амортизации активов в форме права пользования</v>
      </c>
      <c r="F279" t="str">
        <f>""</f>
        <v/>
      </c>
      <c r="G279" t="str">
        <f>""</f>
        <v/>
      </c>
      <c r="H279" t="str">
        <f>""</f>
        <v/>
      </c>
      <c r="I279" s="2">
        <v>31929814.68</v>
      </c>
    </row>
    <row r="280" spans="1:9" x14ac:dyDescent="0.25">
      <c r="A280">
        <v>274</v>
      </c>
      <c r="B280" s="1">
        <v>45747</v>
      </c>
      <c r="C280">
        <v>21</v>
      </c>
      <c r="D280" t="str">
        <f>"5892"</f>
        <v>5892</v>
      </c>
      <c r="E280" t="str">
        <f>"Расходы по операциям форвард"</f>
        <v>Расходы по операциям форвард</v>
      </c>
      <c r="F280" t="str">
        <f>""</f>
        <v/>
      </c>
      <c r="G280" t="str">
        <f>""</f>
        <v/>
      </c>
      <c r="H280" t="str">
        <f>""</f>
        <v/>
      </c>
      <c r="I280" s="2">
        <v>349879793.81999999</v>
      </c>
    </row>
    <row r="281" spans="1:9" x14ac:dyDescent="0.25">
      <c r="A281">
        <v>275</v>
      </c>
      <c r="B281" s="1">
        <v>45747</v>
      </c>
      <c r="C281">
        <v>21</v>
      </c>
      <c r="D281" t="str">
        <f>"5787"</f>
        <v>5787</v>
      </c>
      <c r="E281" t="str">
        <f>"Расходы по амортизации транспортных средств"</f>
        <v>Расходы по амортизации транспортных средств</v>
      </c>
      <c r="F281" t="str">
        <f>""</f>
        <v/>
      </c>
      <c r="G281" t="str">
        <f>""</f>
        <v/>
      </c>
      <c r="H281" t="str">
        <f>""</f>
        <v/>
      </c>
      <c r="I281" s="2">
        <v>5891061.5999999996</v>
      </c>
    </row>
    <row r="282" spans="1:9" x14ac:dyDescent="0.25">
      <c r="A282">
        <v>276</v>
      </c>
      <c r="B282" s="1">
        <v>45747</v>
      </c>
      <c r="C282">
        <v>21</v>
      </c>
      <c r="D282" t="str">
        <f>"5895"</f>
        <v>5895</v>
      </c>
      <c r="E282" t="str">
        <f>"Расходы по операциям своп"</f>
        <v>Расходы по операциям своп</v>
      </c>
      <c r="F282" t="str">
        <f>""</f>
        <v/>
      </c>
      <c r="G282" t="str">
        <f>""</f>
        <v/>
      </c>
      <c r="H282" t="str">
        <f>""</f>
        <v/>
      </c>
      <c r="I282" s="2">
        <v>19946475437.16</v>
      </c>
    </row>
    <row r="283" spans="1:9" x14ac:dyDescent="0.25">
      <c r="A283">
        <v>277</v>
      </c>
      <c r="B283" s="1">
        <v>45747</v>
      </c>
      <c r="C283">
        <v>21</v>
      </c>
      <c r="D283" t="str">
        <f>"5900"</f>
        <v>5900</v>
      </c>
      <c r="E283" t="str">
        <f>"Неустойка (штраф, пеня)"</f>
        <v>Неустойка (штраф, пеня)</v>
      </c>
      <c r="F283" t="str">
        <f>""</f>
        <v/>
      </c>
      <c r="G283" t="str">
        <f>""</f>
        <v/>
      </c>
      <c r="H283" t="str">
        <f>""</f>
        <v/>
      </c>
      <c r="I283" s="2">
        <v>78640</v>
      </c>
    </row>
    <row r="284" spans="1:9" x14ac:dyDescent="0.25">
      <c r="A284">
        <v>278</v>
      </c>
      <c r="B284" s="1">
        <v>45747</v>
      </c>
      <c r="C284">
        <v>21</v>
      </c>
      <c r="D284" t="str">
        <f>"5923"</f>
        <v>5923</v>
      </c>
      <c r="E284" t="str">
        <f>"Расходы по аренде"</f>
        <v>Расходы по аренде</v>
      </c>
      <c r="F284" t="str">
        <f>""</f>
        <v/>
      </c>
      <c r="G284" t="str">
        <f>""</f>
        <v/>
      </c>
      <c r="H284" t="str">
        <f>""</f>
        <v/>
      </c>
      <c r="I284" s="2">
        <v>1665401.58</v>
      </c>
    </row>
    <row r="285" spans="1:9" x14ac:dyDescent="0.25">
      <c r="A285">
        <v>279</v>
      </c>
      <c r="B285" s="1">
        <v>45747</v>
      </c>
      <c r="C285">
        <v>21</v>
      </c>
      <c r="D285" t="str">
        <f>"5764"</f>
        <v>5764</v>
      </c>
      <c r="E285" t="str">
        <f>"Земельный налог"</f>
        <v>Земельный налог</v>
      </c>
      <c r="F285" t="str">
        <f>""</f>
        <v/>
      </c>
      <c r="G285" t="str">
        <f>""</f>
        <v/>
      </c>
      <c r="H285" t="str">
        <f>""</f>
        <v/>
      </c>
      <c r="I285" s="2">
        <v>14112</v>
      </c>
    </row>
    <row r="286" spans="1:9" x14ac:dyDescent="0.25">
      <c r="A286">
        <v>280</v>
      </c>
      <c r="B286" s="1">
        <v>45747</v>
      </c>
      <c r="C286">
        <v>21</v>
      </c>
      <c r="D286" t="str">
        <f>"5921"</f>
        <v>5921</v>
      </c>
      <c r="E286" t="str">
        <f>"Прочие расходы от банковской деятельности"</f>
        <v>Прочие расходы от банковской деятельности</v>
      </c>
      <c r="F286" t="str">
        <f>""</f>
        <v/>
      </c>
      <c r="G286" t="str">
        <f>""</f>
        <v/>
      </c>
      <c r="H286" t="str">
        <f>""</f>
        <v/>
      </c>
      <c r="I286" s="2">
        <v>1108456452.0899999</v>
      </c>
    </row>
    <row r="287" spans="1:9" x14ac:dyDescent="0.25">
      <c r="A287">
        <v>281</v>
      </c>
      <c r="B287" s="1">
        <v>45747</v>
      </c>
      <c r="C287">
        <v>21</v>
      </c>
      <c r="D287" t="str">
        <f>"6055"</f>
        <v>6055</v>
      </c>
      <c r="E287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287" t="str">
        <f>""</f>
        <v/>
      </c>
      <c r="G287" t="str">
        <f>""</f>
        <v/>
      </c>
      <c r="H287" t="str">
        <f>""</f>
        <v/>
      </c>
      <c r="I287" s="2">
        <v>60090188375.449997</v>
      </c>
    </row>
    <row r="288" spans="1:9" x14ac:dyDescent="0.25">
      <c r="A288">
        <v>282</v>
      </c>
      <c r="B288" s="1">
        <v>45747</v>
      </c>
      <c r="C288">
        <v>21</v>
      </c>
      <c r="D288" t="str">
        <f>"6125"</f>
        <v>6125</v>
      </c>
      <c r="E288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288" t="str">
        <f>""</f>
        <v/>
      </c>
      <c r="G288" t="str">
        <f>""</f>
        <v/>
      </c>
      <c r="H288" t="str">
        <f>""</f>
        <v/>
      </c>
      <c r="I288" s="2">
        <v>10792096495.92</v>
      </c>
    </row>
    <row r="289" spans="1:9" x14ac:dyDescent="0.25">
      <c r="A289">
        <v>283</v>
      </c>
      <c r="B289" s="1">
        <v>45747</v>
      </c>
      <c r="C289">
        <v>21</v>
      </c>
      <c r="D289" t="str">
        <f>"5999"</f>
        <v>5999</v>
      </c>
      <c r="E289" t="str">
        <f>"Корпоративный подоходный налог"</f>
        <v>Корпоративный подоходный налог</v>
      </c>
      <c r="F289" t="str">
        <f>""</f>
        <v/>
      </c>
      <c r="G289" t="str">
        <f>""</f>
        <v/>
      </c>
      <c r="H289" t="str">
        <f>""</f>
        <v/>
      </c>
      <c r="I289" s="2">
        <v>5448984638.1499996</v>
      </c>
    </row>
    <row r="290" spans="1:9" x14ac:dyDescent="0.25">
      <c r="A290">
        <v>284</v>
      </c>
      <c r="B290" s="1">
        <v>45747</v>
      </c>
      <c r="C290">
        <v>21</v>
      </c>
      <c r="D290" t="str">
        <f>"6005"</f>
        <v>6005</v>
      </c>
      <c r="E290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290" t="str">
        <f>""</f>
        <v/>
      </c>
      <c r="G290" t="str">
        <f>""</f>
        <v/>
      </c>
      <c r="H290" t="str">
        <f>""</f>
        <v/>
      </c>
      <c r="I290" s="2">
        <v>320492209.18000001</v>
      </c>
    </row>
    <row r="291" spans="1:9" x14ac:dyDescent="0.25">
      <c r="A291">
        <v>285</v>
      </c>
      <c r="B291" s="1">
        <v>45747</v>
      </c>
      <c r="C291">
        <v>21</v>
      </c>
      <c r="D291" t="str">
        <f>"6126"</f>
        <v>6126</v>
      </c>
      <c r="E291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291" t="str">
        <f>""</f>
        <v/>
      </c>
      <c r="G291" t="str">
        <f>""</f>
        <v/>
      </c>
      <c r="H291" t="str">
        <f>""</f>
        <v/>
      </c>
      <c r="I291" s="2">
        <v>399252157684.46002</v>
      </c>
    </row>
    <row r="292" spans="1:9" x14ac:dyDescent="0.25">
      <c r="A292">
        <v>286</v>
      </c>
      <c r="B292" s="1">
        <v>45747</v>
      </c>
      <c r="C292">
        <v>21</v>
      </c>
      <c r="D292" t="str">
        <f>"6405"</f>
        <v>6405</v>
      </c>
      <c r="E292" t="str">
        <f>"Условные требования по купле-продаже иностранной валюты"</f>
        <v>Условные требования по купле-продаже иностранной валюты</v>
      </c>
      <c r="F292" t="str">
        <f>""</f>
        <v/>
      </c>
      <c r="G292" t="str">
        <f>""</f>
        <v/>
      </c>
      <c r="H292" t="str">
        <f>""</f>
        <v/>
      </c>
      <c r="I292" s="2">
        <v>949802943541.56995</v>
      </c>
    </row>
    <row r="293" spans="1:9" x14ac:dyDescent="0.25">
      <c r="A293">
        <v>287</v>
      </c>
      <c r="B293" s="1">
        <v>45747</v>
      </c>
      <c r="C293">
        <v>21</v>
      </c>
      <c r="D293" t="str">
        <f>"6075"</f>
        <v>6075</v>
      </c>
      <c r="E293" t="str">
        <f>"Возможные требования по принятым гарантиям"</f>
        <v>Возможные требования по принятым гарантиям</v>
      </c>
      <c r="F293" t="str">
        <f>""</f>
        <v/>
      </c>
      <c r="G293" t="str">
        <f>""</f>
        <v/>
      </c>
      <c r="H293" t="str">
        <f>""</f>
        <v/>
      </c>
      <c r="I293" s="2">
        <v>566632391777.05005</v>
      </c>
    </row>
    <row r="294" spans="1:9" x14ac:dyDescent="0.25">
      <c r="A294">
        <v>288</v>
      </c>
      <c r="B294" s="1">
        <v>45747</v>
      </c>
      <c r="C294">
        <v>21</v>
      </c>
      <c r="D294" t="str">
        <f>"6305"</f>
        <v>6305</v>
      </c>
      <c r="E294" t="str">
        <f>"Условные требования по продаже ценных бумаг"</f>
        <v>Условные требования по продаже ценных бумаг</v>
      </c>
      <c r="F294" t="str">
        <f>""</f>
        <v/>
      </c>
      <c r="G294" t="str">
        <f>""</f>
        <v/>
      </c>
      <c r="H294" t="str">
        <f>""</f>
        <v/>
      </c>
      <c r="I294" s="2">
        <v>18344233200</v>
      </c>
    </row>
    <row r="295" spans="1:9" x14ac:dyDescent="0.25">
      <c r="A295">
        <v>289</v>
      </c>
      <c r="B295" s="1">
        <v>45747</v>
      </c>
      <c r="C295">
        <v>21</v>
      </c>
      <c r="D295" t="str">
        <f>"6505"</f>
        <v>6505</v>
      </c>
      <c r="E295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295" t="str">
        <f>""</f>
        <v/>
      </c>
      <c r="G295" t="str">
        <f>""</f>
        <v/>
      </c>
      <c r="H295" t="str">
        <f>""</f>
        <v/>
      </c>
      <c r="I295" s="2">
        <v>320492209.18000001</v>
      </c>
    </row>
    <row r="296" spans="1:9" x14ac:dyDescent="0.25">
      <c r="A296">
        <v>290</v>
      </c>
      <c r="B296" s="1">
        <v>45747</v>
      </c>
      <c r="C296">
        <v>21</v>
      </c>
      <c r="D296" t="str">
        <f>"6575"</f>
        <v>6575</v>
      </c>
      <c r="E296" t="str">
        <f>"Возможное уменьшение требований по принятым гарантиям"</f>
        <v>Возможное уменьшение требований по принятым гарантиям</v>
      </c>
      <c r="F296" t="str">
        <f>""</f>
        <v/>
      </c>
      <c r="G296" t="str">
        <f>""</f>
        <v/>
      </c>
      <c r="H296" t="str">
        <f>""</f>
        <v/>
      </c>
      <c r="I296" s="2">
        <v>566632391777.05005</v>
      </c>
    </row>
    <row r="297" spans="1:9" x14ac:dyDescent="0.25">
      <c r="A297">
        <v>291</v>
      </c>
      <c r="B297" s="1">
        <v>45747</v>
      </c>
      <c r="C297">
        <v>21</v>
      </c>
      <c r="D297" t="str">
        <f>"6555"</f>
        <v>6555</v>
      </c>
      <c r="E297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297" t="str">
        <f>""</f>
        <v/>
      </c>
      <c r="G297" t="str">
        <f>""</f>
        <v/>
      </c>
      <c r="H297" t="str">
        <f>""</f>
        <v/>
      </c>
      <c r="I297" s="2">
        <v>60090188375.449997</v>
      </c>
    </row>
    <row r="298" spans="1:9" x14ac:dyDescent="0.25">
      <c r="A298">
        <v>292</v>
      </c>
      <c r="B298" s="1">
        <v>45747</v>
      </c>
      <c r="C298">
        <v>21</v>
      </c>
      <c r="D298" t="str">
        <f>"6625"</f>
        <v>6625</v>
      </c>
      <c r="E298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298" t="str">
        <f>""</f>
        <v/>
      </c>
      <c r="G298" t="str">
        <f>""</f>
        <v/>
      </c>
      <c r="H298" t="str">
        <f>""</f>
        <v/>
      </c>
      <c r="I298" s="2">
        <v>10792096495.92</v>
      </c>
    </row>
    <row r="299" spans="1:9" x14ac:dyDescent="0.25">
      <c r="A299">
        <v>293</v>
      </c>
      <c r="B299" s="1">
        <v>45747</v>
      </c>
      <c r="C299">
        <v>21</v>
      </c>
      <c r="D299" t="str">
        <f>"6626"</f>
        <v>6626</v>
      </c>
      <c r="E299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299" t="str">
        <f>""</f>
        <v/>
      </c>
      <c r="G299" t="str">
        <f>""</f>
        <v/>
      </c>
      <c r="H299" t="str">
        <f>""</f>
        <v/>
      </c>
      <c r="I299" s="2">
        <v>399252157684.46002</v>
      </c>
    </row>
    <row r="300" spans="1:9" x14ac:dyDescent="0.25">
      <c r="A300">
        <v>294</v>
      </c>
      <c r="B300" s="1">
        <v>45747</v>
      </c>
      <c r="C300">
        <v>21</v>
      </c>
      <c r="D300" t="str">
        <f>"6805"</f>
        <v>6805</v>
      </c>
      <c r="E300" t="str">
        <f>"Условные обязательства по продаже ценных бумаг"</f>
        <v>Условные обязательства по продаже ценных бумаг</v>
      </c>
      <c r="F300" t="str">
        <f>""</f>
        <v/>
      </c>
      <c r="G300" t="str">
        <f>""</f>
        <v/>
      </c>
      <c r="H300" t="str">
        <f>""</f>
        <v/>
      </c>
      <c r="I300" s="2">
        <v>18344233200</v>
      </c>
    </row>
    <row r="301" spans="1:9" x14ac:dyDescent="0.25">
      <c r="A301">
        <v>295</v>
      </c>
      <c r="B301" s="1">
        <v>45747</v>
      </c>
      <c r="C301">
        <v>21</v>
      </c>
      <c r="D301" t="str">
        <f>"6905"</f>
        <v>6905</v>
      </c>
      <c r="E301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301" t="str">
        <f>""</f>
        <v/>
      </c>
      <c r="G301" t="str">
        <f>""</f>
        <v/>
      </c>
      <c r="H301" t="str">
        <f>""</f>
        <v/>
      </c>
      <c r="I301" s="2">
        <v>949802943541.56995</v>
      </c>
    </row>
    <row r="302" spans="1:9" x14ac:dyDescent="0.25">
      <c r="A302">
        <v>296</v>
      </c>
      <c r="B302" s="1">
        <v>45747</v>
      </c>
      <c r="C302">
        <v>21</v>
      </c>
      <c r="D302" t="str">
        <f>"7339"</f>
        <v>7339</v>
      </c>
      <c r="E302" t="str">
        <f>"Разные ценности и документы"</f>
        <v>Разные ценности и документы</v>
      </c>
      <c r="F302" t="str">
        <f>""</f>
        <v/>
      </c>
      <c r="G302" t="str">
        <f>""</f>
        <v/>
      </c>
      <c r="H302" t="str">
        <f>""</f>
        <v/>
      </c>
      <c r="I302" s="2">
        <v>179</v>
      </c>
    </row>
    <row r="303" spans="1:9" x14ac:dyDescent="0.25">
      <c r="A303">
        <v>297</v>
      </c>
      <c r="B303" s="1">
        <v>45747</v>
      </c>
      <c r="C303">
        <v>21</v>
      </c>
      <c r="D303" t="str">
        <f>"7303"</f>
        <v>7303</v>
      </c>
      <c r="E303" t="str">
        <f>"Платежные документы, не оплаченные в срок"</f>
        <v>Платежные документы, не оплаченные в срок</v>
      </c>
      <c r="F303" t="str">
        <f>""</f>
        <v/>
      </c>
      <c r="G303" t="str">
        <f>""</f>
        <v/>
      </c>
      <c r="H303" t="str">
        <f>""</f>
        <v/>
      </c>
      <c r="I303" s="2">
        <v>701845048.44000006</v>
      </c>
    </row>
    <row r="304" spans="1:9" x14ac:dyDescent="0.25">
      <c r="A304">
        <v>298</v>
      </c>
      <c r="B304" s="1">
        <v>45747</v>
      </c>
      <c r="C304">
        <v>21</v>
      </c>
      <c r="D304" t="str">
        <f>"7363"</f>
        <v>7363</v>
      </c>
      <c r="E304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304" t="str">
        <f>""</f>
        <v/>
      </c>
      <c r="G304" t="str">
        <f>""</f>
        <v/>
      </c>
      <c r="H304" t="str">
        <f>""</f>
        <v/>
      </c>
      <c r="I304" s="2">
        <v>998806383706.38</v>
      </c>
    </row>
    <row r="309" spans="1:4" x14ac:dyDescent="0.25">
      <c r="A309" t="s">
        <v>24</v>
      </c>
      <c r="C309" t="s">
        <v>14</v>
      </c>
    </row>
    <row r="310" spans="1:4" x14ac:dyDescent="0.25">
      <c r="A310" t="s">
        <v>15</v>
      </c>
      <c r="C310" t="s">
        <v>29</v>
      </c>
    </row>
    <row r="311" spans="1:4" x14ac:dyDescent="0.25">
      <c r="A311" t="s">
        <v>16</v>
      </c>
      <c r="C311" t="s">
        <v>17</v>
      </c>
    </row>
    <row r="312" spans="1:4" x14ac:dyDescent="0.25">
      <c r="A312" t="s">
        <v>18</v>
      </c>
      <c r="C312" t="s">
        <v>19</v>
      </c>
    </row>
    <row r="313" spans="1:4" x14ac:dyDescent="0.25">
      <c r="A313" t="s">
        <v>20</v>
      </c>
      <c r="C313" t="s">
        <v>25</v>
      </c>
      <c r="D313" t="s">
        <v>26</v>
      </c>
    </row>
    <row r="314" spans="1:4" ht="105" customHeight="1" x14ac:dyDescent="0.25">
      <c r="C314" t="s">
        <v>21</v>
      </c>
      <c r="D314" t="s">
        <v>22</v>
      </c>
    </row>
    <row r="315" spans="1:4" x14ac:dyDescent="0.25">
      <c r="A315" t="s">
        <v>23</v>
      </c>
      <c r="C315" t="s">
        <v>28</v>
      </c>
      <c r="D315" t="s">
        <v>27</v>
      </c>
    </row>
    <row r="316" spans="1:4" ht="105" customHeight="1" x14ac:dyDescent="0.25">
      <c r="C316" t="s">
        <v>21</v>
      </c>
      <c r="D316" t="s">
        <v>22</v>
      </c>
    </row>
  </sheetData>
  <mergeCells count="3">
    <mergeCell ref="A1:I1"/>
    <mergeCell ref="A2:I2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700ND 31.03.2025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Shakhabayeva, Amira [FIN]</dc:creator>
  <cp:lastModifiedBy>Shakhabayeva, Amira [FIN]</cp:lastModifiedBy>
  <dcterms:created xsi:type="dcterms:W3CDTF">2015-06-05T18:17:20Z</dcterms:created>
  <dcterms:modified xsi:type="dcterms:W3CDTF">2025-04-07T09:04:07Z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181445-6ec4-4473-9810-00785f082df0_Enabled">
    <vt:lpwstr>true</vt:lpwstr>
  </property>
  <property fmtid="{D5CDD505-2E9C-101B-9397-08002B2CF9AE}" pid="3" name="MSIP_Label_dd181445-6ec4-4473-9810-00785f082df0_SetDate">
    <vt:lpwstr>2024-11-12T11:32:05Z</vt:lpwstr>
  </property>
  <property fmtid="{D5CDD505-2E9C-101B-9397-08002B2CF9AE}" pid="4" name="MSIP_Label_dd181445-6ec4-4473-9810-00785f082df0_Method">
    <vt:lpwstr>Privileged</vt:lpwstr>
  </property>
  <property fmtid="{D5CDD505-2E9C-101B-9397-08002B2CF9AE}" pid="5" name="MSIP_Label_dd181445-6ec4-4473-9810-00785f082df0_Name">
    <vt:lpwstr>Internal</vt:lpwstr>
  </property>
  <property fmtid="{D5CDD505-2E9C-101B-9397-08002B2CF9AE}" pid="6" name="MSIP_Label_dd181445-6ec4-4473-9810-00785f082df0_SiteId">
    <vt:lpwstr>1771ae17-e764-4e0f-a476-d4184d79a5d9</vt:lpwstr>
  </property>
  <property fmtid="{D5CDD505-2E9C-101B-9397-08002B2CF9AE}" pid="7" name="MSIP_Label_dd181445-6ec4-4473-9810-00785f082df0_ActionId">
    <vt:lpwstr>9c22b2d5-2dd5-41fc-8d1a-30f7d64a3ccc</vt:lpwstr>
  </property>
  <property fmtid="{D5CDD505-2E9C-101B-9397-08002B2CF9AE}" pid="8" name="MSIP_Label_dd181445-6ec4-4473-9810-00785f082df0_ContentBits">
    <vt:lpwstr>0</vt:lpwstr>
  </property>
</Properties>
</file>