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3"/>
  </bookViews>
  <sheets>
    <sheet name="Баланс" sheetId="1" r:id="rId1"/>
    <sheet name="ОСД" sheetId="2" r:id="rId2"/>
    <sheet name="ДДС" sheetId="3" r:id="rId3"/>
    <sheet name="Капитал" sheetId="4" r:id="rId4"/>
  </sheets>
  <definedNames>
    <definedName name="_xlnm.Print_Area" localSheetId="0">Баланс!$A$1:$E$61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" l="1"/>
  <c r="C22" i="3"/>
  <c r="D14" i="3"/>
  <c r="C14" i="3"/>
  <c r="D10" i="1" l="1"/>
  <c r="D14" i="1"/>
  <c r="C57" i="3" l="1"/>
  <c r="E35" i="1" l="1"/>
  <c r="E36" i="1"/>
  <c r="E34" i="1"/>
  <c r="E31" i="1"/>
  <c r="G24" i="1" l="1"/>
  <c r="G25" i="1"/>
  <c r="D52" i="3" l="1"/>
  <c r="D46" i="3"/>
  <c r="D15" i="3"/>
  <c r="D8" i="3"/>
  <c r="E8" i="2"/>
  <c r="E17" i="2" s="1"/>
  <c r="E19" i="2" s="1"/>
  <c r="E21" i="2" s="1"/>
  <c r="E23" i="2" s="1"/>
  <c r="D58" i="3" l="1"/>
  <c r="D24" i="3"/>
  <c r="D27" i="2" l="1"/>
  <c r="C64" i="3" s="1"/>
  <c r="C35" i="4" s="1"/>
  <c r="E22" i="4" l="1"/>
  <c r="C15" i="3"/>
  <c r="D15" i="1" l="1"/>
  <c r="F25" i="1" l="1"/>
  <c r="F24" i="1"/>
  <c r="D8" i="2" l="1"/>
  <c r="E28" i="4" l="1"/>
  <c r="G7" i="4"/>
  <c r="G9" i="4"/>
  <c r="G10" i="4"/>
  <c r="G11" i="4"/>
  <c r="G12" i="4"/>
  <c r="G15" i="4"/>
  <c r="G16" i="4"/>
  <c r="G17" i="4"/>
  <c r="G18" i="4"/>
  <c r="D8" i="4"/>
  <c r="E8" i="4"/>
  <c r="F8" i="4"/>
  <c r="H8" i="4"/>
  <c r="C8" i="4"/>
  <c r="E53" i="1"/>
  <c r="E55" i="1" s="1"/>
  <c r="E45" i="1"/>
  <c r="E37" i="1"/>
  <c r="E27" i="1"/>
  <c r="E15" i="1"/>
  <c r="G8" i="4" l="1"/>
  <c r="E54" i="1"/>
  <c r="E28" i="1"/>
  <c r="I15" i="4"/>
  <c r="I16" i="4"/>
  <c r="I17" i="4"/>
  <c r="G27" i="4" l="1"/>
  <c r="E32" i="4" l="1"/>
  <c r="D22" i="4"/>
  <c r="F22" i="4"/>
  <c r="H22" i="4"/>
  <c r="C22" i="4"/>
  <c r="D27" i="4"/>
  <c r="F27" i="4"/>
  <c r="H27" i="4"/>
  <c r="I27" i="4" s="1"/>
  <c r="C27" i="4"/>
  <c r="C28" i="4" s="1"/>
  <c r="C32" i="4" s="1"/>
  <c r="G20" i="4"/>
  <c r="I20" i="4" s="1"/>
  <c r="D14" i="4"/>
  <c r="F14" i="4"/>
  <c r="H14" i="4"/>
  <c r="C14" i="4"/>
  <c r="I7" i="4"/>
  <c r="I9" i="4"/>
  <c r="I10" i="4"/>
  <c r="I11" i="4"/>
  <c r="I12" i="4"/>
  <c r="I18" i="4"/>
  <c r="G23" i="4"/>
  <c r="I23" i="4" s="1"/>
  <c r="G24" i="4"/>
  <c r="I24" i="4" s="1"/>
  <c r="G25" i="4"/>
  <c r="I25" i="4" s="1"/>
  <c r="G26" i="4"/>
  <c r="G29" i="4"/>
  <c r="I29" i="4" s="1"/>
  <c r="G30" i="4"/>
  <c r="I30" i="4" s="1"/>
  <c r="G31" i="4"/>
  <c r="I31" i="4" s="1"/>
  <c r="C52" i="3"/>
  <c r="C46" i="3"/>
  <c r="D35" i="3"/>
  <c r="C35" i="3"/>
  <c r="D26" i="3"/>
  <c r="C26" i="3"/>
  <c r="C8" i="3"/>
  <c r="E24" i="2"/>
  <c r="D17" i="2"/>
  <c r="D19" i="2" s="1"/>
  <c r="D53" i="1"/>
  <c r="D55" i="1" s="1"/>
  <c r="D45" i="1"/>
  <c r="D37" i="1"/>
  <c r="D27" i="1"/>
  <c r="F28" i="4" l="1"/>
  <c r="F32" i="4" s="1"/>
  <c r="D19" i="4"/>
  <c r="D28" i="4"/>
  <c r="D32" i="4" s="1"/>
  <c r="H28" i="4"/>
  <c r="H32" i="4" s="1"/>
  <c r="C58" i="3"/>
  <c r="D44" i="3"/>
  <c r="D60" i="3" s="1"/>
  <c r="D62" i="3" s="1"/>
  <c r="C44" i="3"/>
  <c r="C24" i="3"/>
  <c r="D54" i="1"/>
  <c r="H19" i="4"/>
  <c r="C19" i="4"/>
  <c r="I26" i="4"/>
  <c r="G21" i="4"/>
  <c r="D21" i="2"/>
  <c r="D23" i="2" s="1"/>
  <c r="C60" i="3" l="1"/>
  <c r="C62" i="3" s="1"/>
  <c r="E13" i="4"/>
  <c r="G13" i="4" s="1"/>
  <c r="G28" i="4"/>
  <c r="I28" i="4" s="1"/>
  <c r="D24" i="2"/>
  <c r="I21" i="4"/>
  <c r="I22" i="4" s="1"/>
  <c r="G22" i="4"/>
  <c r="I32" i="4" l="1"/>
  <c r="G32" i="4"/>
  <c r="E14" i="4"/>
  <c r="G14" i="4" s="1"/>
  <c r="I13" i="4" l="1"/>
  <c r="I14" i="4" l="1"/>
  <c r="E19" i="4" l="1"/>
  <c r="F19" i="4"/>
  <c r="G6" i="4"/>
  <c r="G19" i="4" l="1"/>
  <c r="I6" i="4"/>
  <c r="I8" i="4" s="1"/>
  <c r="I19" i="4" l="1"/>
  <c r="D28" i="1"/>
  <c r="D62" i="1" s="1"/>
</calcChain>
</file>

<file path=xl/sharedStrings.xml><?xml version="1.0" encoding="utf-8"?>
<sst xmlns="http://schemas.openxmlformats.org/spreadsheetml/2006/main" count="338" uniqueCount="242">
  <si>
    <t>(тыс.тенге)</t>
  </si>
  <si>
    <t>Активы</t>
  </si>
  <si>
    <t>Код стр.</t>
  </si>
  <si>
    <t>На конец отчётного периода</t>
  </si>
  <si>
    <t>На начало отчётного периода</t>
  </si>
  <si>
    <t>1. Краткосрочные активы</t>
  </si>
  <si>
    <t>Денежные средства и их эквиваленты</t>
  </si>
  <si>
    <t>010</t>
  </si>
  <si>
    <t>Краткосрочные финансовые инвестиции</t>
  </si>
  <si>
    <t>011</t>
  </si>
  <si>
    <t>Краткосрочная дебиторская задолженность</t>
  </si>
  <si>
    <t>012</t>
  </si>
  <si>
    <t>Запасы</t>
  </si>
  <si>
    <t>013</t>
  </si>
  <si>
    <t>Текущие налоговые активы</t>
  </si>
  <si>
    <t>014</t>
  </si>
  <si>
    <t>Долгосрочные активы,предназначенные для продажи</t>
  </si>
  <si>
    <t>015</t>
  </si>
  <si>
    <t>Прочие краткосрочные активы</t>
  </si>
  <si>
    <t>016</t>
  </si>
  <si>
    <t>Итого краткосрочных активов</t>
  </si>
  <si>
    <t>100</t>
  </si>
  <si>
    <t>II. Долгосрочные активы</t>
  </si>
  <si>
    <t>Долгосрочные финансовые инвестиции</t>
  </si>
  <si>
    <t>020</t>
  </si>
  <si>
    <t>Долгосрочная дебиторская задолженность</t>
  </si>
  <si>
    <t>021</t>
  </si>
  <si>
    <t>Инвестиции, учитываемые методом долевого участия</t>
  </si>
  <si>
    <t>022</t>
  </si>
  <si>
    <t>Инвестиционная недвижимость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</si>
  <si>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</si>
  <si>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</si>
  <si>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</si>
  <si>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</si>
  <si>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</si>
  <si>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</si>
  <si>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</si>
  <si>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</si>
  <si>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</si>
  <si>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</si>
  <si>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028</t>
  </si>
  <si>
    <t>Прочие долгосрочные активы</t>
  </si>
  <si>
    <t>029</t>
  </si>
  <si>
    <t>Итого долгосрочных активов</t>
  </si>
  <si>
    <t>200</t>
  </si>
  <si>
    <t>Баланс (стр.100 + стр.200)</t>
  </si>
  <si>
    <t>Пассивы</t>
  </si>
  <si>
    <t>III. Краткосрочные обязательства</t>
  </si>
  <si>
    <t>030</t>
  </si>
  <si>
    <t>Краткосрочные финансовые обязательства</t>
  </si>
  <si>
    <t>031</t>
  </si>
  <si>
    <t>Обязательства по налогам</t>
  </si>
  <si>
    <t>032</t>
  </si>
  <si>
    <t>Обязательства по другим обязательным и добровольным платежам</t>
  </si>
  <si>
    <t>033</t>
  </si>
  <si>
    <t>Краткосрочная кредиторская задолженность</t>
  </si>
  <si>
    <t>034</t>
  </si>
  <si>
    <t>Краткосрочные оценочные обязательства</t>
  </si>
  <si>
    <t>035</t>
  </si>
  <si>
    <t>Прочие краткосрочные  обязательства</t>
  </si>
  <si>
    <t>036</t>
  </si>
  <si>
    <t>Итого краткосрочных обязательств</t>
  </si>
  <si>
    <t>300</t>
  </si>
  <si>
    <t>IV.Долгосрочные обязательства</t>
  </si>
  <si>
    <t>040</t>
  </si>
  <si>
    <t>Займы</t>
  </si>
  <si>
    <t>Долгосрочные финансовые обязательства</t>
  </si>
  <si>
    <t>042</t>
  </si>
  <si>
    <t>Долгосрочная кредиторская задолженность</t>
  </si>
  <si>
    <t>043</t>
  </si>
  <si>
    <t>Долгосрочные оценочные обязательства</t>
  </si>
  <si>
    <t>044</t>
  </si>
  <si>
    <t>Отложенные налоговые обязательства</t>
  </si>
  <si>
    <t>045</t>
  </si>
  <si>
    <t>Прочие долгосрочные обязательства</t>
  </si>
  <si>
    <t>046</t>
  </si>
  <si>
    <t>Итого долгосрочных обязательств</t>
  </si>
  <si>
    <t>400</t>
  </si>
  <si>
    <t>V.Капитал</t>
  </si>
  <si>
    <t>Выпущенный капитал</t>
  </si>
  <si>
    <t>050</t>
  </si>
  <si>
    <t>Эмиссионный доход</t>
  </si>
  <si>
    <t>051</t>
  </si>
  <si>
    <t>Выкупленные собственные долевые инструменты</t>
  </si>
  <si>
    <t>052</t>
  </si>
  <si>
    <t>Резервы</t>
  </si>
  <si>
    <t>053</t>
  </si>
  <si>
    <t>Нераспределённый доход (непокрытый убыток)</t>
  </si>
  <si>
    <t>054</t>
  </si>
  <si>
    <t>Прочие взносы</t>
  </si>
  <si>
    <t>055</t>
  </si>
  <si>
    <t>Итого капитал</t>
  </si>
  <si>
    <t>500</t>
  </si>
  <si>
    <t>Баланс (стр.300 + стр.400 + стр.500)</t>
  </si>
  <si>
    <t>Балансовая стоимость 1 акции, в тенге*</t>
  </si>
  <si>
    <t xml:space="preserve"> *Балансовая стоимость одной акции по правилам АО "Казахстанская фондовая биржа"</t>
  </si>
  <si>
    <t xml:space="preserve">                                                                    подпись</t>
  </si>
  <si>
    <t>тыс.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</si>
  <si>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</si>
  <si>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</si>
  <si>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</si>
  <si>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</si>
  <si>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</si>
  <si>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</si>
  <si>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</si>
  <si>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Административные расходы</t>
  </si>
  <si>
    <t>Прочие расходы</t>
  </si>
  <si>
    <t>Прочие доходы</t>
  </si>
  <si>
    <t>Расходы по подоходному налогу</t>
  </si>
  <si>
    <t>Прибыль (убыток) после налогообложения от прекращенной деятельности</t>
  </si>
  <si>
    <t>Доходы от финансирования</t>
  </si>
  <si>
    <t>Расходы на реализации продукции и оказание услуг</t>
  </si>
  <si>
    <t>060</t>
  </si>
  <si>
    <t>070</t>
  </si>
  <si>
    <t>Расходы на финансирование</t>
  </si>
  <si>
    <t>080</t>
  </si>
  <si>
    <t>090</t>
  </si>
  <si>
    <t>Доля прибыли/убытка организаций, учитываемых по методу долевого участия</t>
  </si>
  <si>
    <t>Прибыль (убыток) за период от продолжаемой деятельности (стр.030 + стр.040 + стр.050 - стр.060 - стр.070 - стр.080 - стр.090 +/- стр.100)</t>
  </si>
  <si>
    <t>110</t>
  </si>
  <si>
    <t>Прибыль (убыток) от прекращённой деятельности</t>
  </si>
  <si>
    <t>120</t>
  </si>
  <si>
    <t>Прибыль (убыток) до налогообложения (стр.110 +/- стр.120)</t>
  </si>
  <si>
    <t>Итоговая прибыль (убыток) за период (стр. 130 – стр. 140) до вычета доли меньшинства</t>
  </si>
  <si>
    <t>130</t>
  </si>
  <si>
    <t>140</t>
  </si>
  <si>
    <t>150</t>
  </si>
  <si>
    <t>160</t>
  </si>
  <si>
    <t>170</t>
  </si>
  <si>
    <t xml:space="preserve">Итоговая прибыль убыток)  за период (стр. 150 - стр. 160) </t>
  </si>
  <si>
    <t>Прибыль на акцию в расчете базовой и разводненной, в тенге</t>
  </si>
  <si>
    <t>180</t>
  </si>
  <si>
    <t>подпись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</si>
  <si>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</si>
  <si>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</si>
  <si>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</t>
  </si>
  <si>
    <t xml:space="preserve">        в том числе:</t>
  </si>
  <si>
    <t xml:space="preserve">            реализация товаров</t>
  </si>
  <si>
    <t xml:space="preserve">            предоставление услуг</t>
  </si>
  <si>
    <t xml:space="preserve">            авансы полученные</t>
  </si>
  <si>
    <t xml:space="preserve">            Дивиденды</t>
  </si>
  <si>
    <t xml:space="preserve">            прочие поступления</t>
  </si>
  <si>
    <t>2. Выбытие денежных средств, всего</t>
  </si>
  <si>
    <t xml:space="preserve">            платежи поставщикам за товары и услуги</t>
  </si>
  <si>
    <t xml:space="preserve">            авансы выданные</t>
  </si>
  <si>
    <t xml:space="preserve">            выплаты по заработной плате</t>
  </si>
  <si>
    <t xml:space="preserve">            выплата вознаграждения по займам</t>
  </si>
  <si>
    <t xml:space="preserve">            корпоративный подоходный налог</t>
  </si>
  <si>
    <t xml:space="preserve">            другие платежи в бюджет</t>
  </si>
  <si>
    <t xml:space="preserve">            прочие выплаты</t>
  </si>
  <si>
    <t>3. Чистая сумма денежных средств от операционной деятельности (стр.010 - стр.020)</t>
  </si>
  <si>
    <t>II. ДВИЖЕНИЕ ДЕНЕЖНЫХ СРЕДСТВ ОТ ИНВЕСТИЦИОННОЙ ДЕЯТЕЛЬНОСТИ</t>
  </si>
  <si>
    <t xml:space="preserve">            реализация основных средств</t>
  </si>
  <si>
    <t>041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</si>
  <si>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</si>
  <si>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</si>
  <si>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финансовых активов</t>
  </si>
  <si>
    <t xml:space="preserve">            погашение займов, предоставленных другим   организациям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</si>
  <si>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фьючерсные и форвардные конракты, опционы и свопы</t>
  </si>
  <si>
    <t>047</t>
  </si>
  <si>
    <t xml:space="preserve">         в том числе: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</si>
  <si>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</si>
  <si>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</si>
  <si>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</si>
  <si>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финансовых активов</t>
  </si>
  <si>
    <t xml:space="preserve">            предоставление займов другим организациям</t>
  </si>
  <si>
    <t>056</t>
  </si>
  <si>
    <t>057</t>
  </si>
  <si>
    <t>3. Чистая сумма денежных средств от инвестиционной деятельности (стр.040 - стр.050)</t>
  </si>
  <si>
    <t>III. ДВИЖЕНИЕ ДЕНЕЖНЫХ СРЕДСТВ ОТ ФИНАНСОВОЙ ДЕЯТЕЛЬНОСТИ</t>
  </si>
  <si>
    <t xml:space="preserve">            эмиссия акций и других ценных бумаг</t>
  </si>
  <si>
    <t>071</t>
  </si>
  <si>
    <t xml:space="preserve">            получение займов</t>
  </si>
  <si>
    <t>072</t>
  </si>
  <si>
    <t xml:space="preserve">            получение вознаграждения по финансируемой аренде</t>
  </si>
  <si>
    <t>073</t>
  </si>
  <si>
    <t>074</t>
  </si>
  <si>
    <t>2 Выбытие денежных средств, всего</t>
  </si>
  <si>
    <t xml:space="preserve">            погашение займов</t>
  </si>
  <si>
    <t>081</t>
  </si>
  <si>
    <t xml:space="preserve">            приобретение собственных акций</t>
  </si>
  <si>
    <t>082</t>
  </si>
  <si>
    <t>083</t>
  </si>
  <si>
    <t>084</t>
  </si>
  <si>
    <t>3. Чистая сумма денежных средств от финансовой деятельности (стр.070 - стр.080)</t>
  </si>
  <si>
    <t>ИТОГО: Увеличение +/- уменьшение денежных средств (строка 030 +/- строка 060 +/- строка 090)</t>
  </si>
  <si>
    <t xml:space="preserve"> Денежные средства и их эквиваленты на начало отчетного периода</t>
  </si>
  <si>
    <t xml:space="preserve"> Денежные средства и их эквиваленты на конец отчетного периода</t>
  </si>
  <si>
    <t>Наименование компонентов</t>
  </si>
  <si>
    <t>Капитал материнской организации</t>
  </si>
  <si>
    <t>Нераспределенная прибыль</t>
  </si>
  <si>
    <t>Изменение в учетной политике</t>
  </si>
  <si>
    <t>Резервный капитал</t>
  </si>
  <si>
    <t>Всего</t>
  </si>
  <si>
    <t>Доля меньшинства</t>
  </si>
  <si>
    <t>Пересчитанное сальдо (строка 010+/строка 020)</t>
  </si>
  <si>
    <t>Прибыль (убыток) от переоценки</t>
  </si>
  <si>
    <t xml:space="preserve">Хеджирование денежных потоков </t>
  </si>
  <si>
    <t>Курсовая разница от зарубежной деятельности</t>
  </si>
  <si>
    <t>Прибыль/убыток, признанная/ый в самом капитале (стр.031 +/- ст.032 +/- стр.033)</t>
  </si>
  <si>
    <t>Всего прибыль/убыток за период (стр.040 +/- стр.050)</t>
  </si>
  <si>
    <t>Дивиденды</t>
  </si>
  <si>
    <t>Изменения в учетной политике</t>
  </si>
  <si>
    <t>Пересчитанное сальдо (стр. 110+/стр. 120)</t>
  </si>
  <si>
    <t>Прибыль (убыток) от переоценки активов</t>
  </si>
  <si>
    <t>131</t>
  </si>
  <si>
    <t>132</t>
  </si>
  <si>
    <t>Курсовая разница  зарубежной деятельности</t>
  </si>
  <si>
    <t>133</t>
  </si>
  <si>
    <t>Прибыль/убыток, признанная/ый в самом капитале (стр.131 +/- ст.132 +/- стр.133)</t>
  </si>
  <si>
    <t>Всего прибыль/убыток за период (стр.140 +/- стр.150)</t>
  </si>
  <si>
    <t>Дисконт займа, предоставленный материнской компанией</t>
  </si>
  <si>
    <t>Эмиссия акций</t>
  </si>
  <si>
    <t>190</t>
  </si>
  <si>
    <t>Главный бухгалтер                   ____________________________</t>
  </si>
  <si>
    <t>Главный бухгалтер              ______________________________</t>
  </si>
  <si>
    <t>№ примечания</t>
  </si>
  <si>
    <t xml:space="preserve">                                                     подпись</t>
  </si>
  <si>
    <t>Руководитель                            ____________________________</t>
  </si>
  <si>
    <t>Руководитель                             ____________________________</t>
  </si>
  <si>
    <t>Руководитель                        ______________________________</t>
  </si>
  <si>
    <t>Садыкова Г.М.</t>
  </si>
  <si>
    <t xml:space="preserve">            прочие выплаты </t>
  </si>
  <si>
    <t>Бал НМА 01.01.18</t>
  </si>
  <si>
    <t>Бал НМА 30.09.18</t>
  </si>
  <si>
    <t>Прибыль/убыток за 2018 год</t>
  </si>
  <si>
    <t>Сальдо на 01 января 2019 года</t>
  </si>
  <si>
    <t>Сальдо на 1 января 2018 года</t>
  </si>
  <si>
    <t>Сальдо на 01.01.2019 года (стр. 160 - стр. 170 + стр. 180 - стр.190)</t>
  </si>
  <si>
    <t xml:space="preserve">            выплата дивидендов (выкуп облигаций)</t>
  </si>
  <si>
    <t>4. Оценочный резерв под убытки от обесценения денежных средств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</si>
  <si>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</si>
  <si>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</si>
  <si>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</si>
  <si>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Отчет об изменениях в собственном капитале АО "Dosjan temir joly"</t>
  </si>
  <si>
    <t xml:space="preserve">                                                                                  по состоянию на 31 декабря 2019 года</t>
  </si>
  <si>
    <t xml:space="preserve"> за период, заканчивающийся  31 декабря 2019 года</t>
  </si>
  <si>
    <t xml:space="preserve">                                                                        за период,заканчивающийся 31 декабря 2019 года</t>
  </si>
  <si>
    <t>за период, заканчивающийся на 31 декабря 2019 года</t>
  </si>
  <si>
    <t>Прибыль/убыток за отчетный период - 12 месяцев 2019г.</t>
  </si>
  <si>
    <t>Сальдо на 31.12.2019 года (стр.030 + стр. 060 - стр. 070 + стр. 080 - стр.090)</t>
  </si>
  <si>
    <t>Потлов Д.В.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</si>
</sst>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horizontal="left"/>
    </xf>
  </cellStyleXfs>
  <cellXfs count="126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3" fontId="6" fillId="0" borderId="6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3" fontId="7" fillId="0" borderId="6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Border="1"/>
    <xf numFmtId="49" fontId="6" fillId="0" borderId="6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/>
    <xf numFmtId="0" fontId="7" fillId="0" borderId="1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0" xfId="0" applyFont="1" applyFill="1"/>
    <xf numFmtId="0" fontId="10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/>
    <xf numFmtId="0" fontId="14" fillId="0" borderId="0" xfId="0" applyFont="1" applyFill="1"/>
    <xf numFmtId="3" fontId="11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3" fontId="10" fillId="0" borderId="0" xfId="0" applyNumberFormat="1" applyFont="1" applyFill="1"/>
    <xf numFmtId="0" fontId="11" fillId="0" borderId="2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11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9" fontId="10" fillId="0" borderId="12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9" fillId="2" borderId="6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/>
    </xf>
    <xf numFmtId="0" fontId="9" fillId="2" borderId="5" xfId="0" applyFont="1" applyFill="1" applyBorder="1" applyAlignment="1">
      <alignment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3" fontId="8" fillId="2" borderId="6" xfId="0" applyNumberFormat="1" applyFont="1" applyFill="1" applyBorder="1" applyAlignment="1">
      <alignment horizontal="center" vertical="top" wrapText="1"/>
    </xf>
    <xf numFmtId="3" fontId="16" fillId="2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top" wrapText="1"/>
    </xf>
    <xf numFmtId="3" fontId="17" fillId="0" borderId="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center" vertical="top" wrapText="1"/>
    </xf>
    <xf numFmtId="3" fontId="9" fillId="2" borderId="0" xfId="0" applyNumberFormat="1" applyFont="1" applyFill="1" applyBorder="1" applyAlignment="1">
      <alignment horizontal="center" vertical="top" wrapText="1"/>
    </xf>
    <xf numFmtId="3" fontId="18" fillId="0" borderId="0" xfId="0" applyNumberFormat="1" applyFont="1" applyFill="1" applyBorder="1"/>
    <xf numFmtId="3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7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3" fontId="14" fillId="0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H62"/>
  <sheetViews>
    <sheetView zoomScaleSheetLayoutView="110" workbookViewId="0">
      <selection activeCell="F64" sqref="F64"/>
    </sheetView>
  </sheetViews>
  <sheetFormatPr defaultColWidth="9.140625" defaultRowHeight="15" outlineLevelCol="1" x14ac:dyDescent="0.25"/>
  <cols>
    <col min="1" max="1" width="50.140625" style="29" customWidth="1"/>
    <col min="2" max="2" width="8.28515625" style="29" customWidth="1" outlineLevel="1"/>
    <col min="3" max="3" width="9.140625" style="31"/>
    <col min="4" max="4" width="16.85546875" style="29" customWidth="1"/>
    <col min="5" max="5" width="18.7109375" style="29" customWidth="1"/>
    <col min="6" max="6" width="23.42578125" style="29" bestFit="1" customWidth="1"/>
    <col min="7" max="7" width="12.140625" style="29" bestFit="1" customWidth="1"/>
    <col min="8" max="16384" width="9.140625" style="29"/>
  </cols>
  <sheetData>
    <row r="3" spans="1:5" x14ac:dyDescent="0.25">
      <c r="A3" s="103" t="s">
        <v>231</v>
      </c>
      <c r="B3" s="103"/>
      <c r="C3" s="103"/>
      <c r="D3" s="103"/>
      <c r="E3" s="103"/>
    </row>
    <row r="4" spans="1:5" x14ac:dyDescent="0.25">
      <c r="A4" s="30" t="s">
        <v>235</v>
      </c>
      <c r="B4" s="30"/>
    </row>
    <row r="5" spans="1:5" x14ac:dyDescent="0.25">
      <c r="E5" s="32" t="s">
        <v>0</v>
      </c>
    </row>
    <row r="6" spans="1:5" s="30" customFormat="1" ht="42.75" x14ac:dyDescent="0.2">
      <c r="A6" s="33" t="s">
        <v>1</v>
      </c>
      <c r="B6" s="34" t="s">
        <v>216</v>
      </c>
      <c r="C6" s="35" t="s">
        <v>2</v>
      </c>
      <c r="D6" s="34" t="s">
        <v>3</v>
      </c>
      <c r="E6" s="34" t="s">
        <v>4</v>
      </c>
    </row>
    <row r="7" spans="1:5" s="30" customFormat="1" ht="14.25" x14ac:dyDescent="0.2">
      <c r="A7" s="36" t="s">
        <v>5</v>
      </c>
      <c r="B7" s="36"/>
      <c r="C7" s="37"/>
      <c r="D7" s="38"/>
      <c r="E7" s="36"/>
    </row>
    <row r="8" spans="1:5" x14ac:dyDescent="0.25">
      <c r="A8" s="39" t="s">
        <v>6</v>
      </c>
      <c r="B8" s="40">
        <v>11</v>
      </c>
      <c r="C8" s="41" t="s">
        <v>7</v>
      </c>
      <c r="D8" s="82">
        <v>1973818</v>
      </c>
      <c r="E8" s="82">
        <v>1028115</v>
      </c>
    </row>
    <row r="9" spans="1:5" x14ac:dyDescent="0.25">
      <c r="A9" s="39" t="s">
        <v>8</v>
      </c>
      <c r="B9" s="40"/>
      <c r="C9" s="41" t="s">
        <v>9</v>
      </c>
      <c r="D9" s="82"/>
      <c r="E9" s="82"/>
    </row>
    <row r="10" spans="1:5" x14ac:dyDescent="0.25">
      <c r="A10" s="39" t="s">
        <v>10</v>
      </c>
      <c r="B10" s="40">
        <v>9</v>
      </c>
      <c r="C10" s="41" t="s">
        <v>11</v>
      </c>
      <c r="D10" s="82">
        <f>455302+2698</f>
        <v>458000</v>
      </c>
      <c r="E10" s="82">
        <v>526544</v>
      </c>
    </row>
    <row r="11" spans="1:5" x14ac:dyDescent="0.25">
      <c r="A11" s="39" t="s">
        <v>12</v>
      </c>
      <c r="B11" s="40">
        <v>8</v>
      </c>
      <c r="C11" s="41" t="s">
        <v>13</v>
      </c>
      <c r="D11" s="82">
        <v>62926</v>
      </c>
      <c r="E11" s="82">
        <v>45788</v>
      </c>
    </row>
    <row r="12" spans="1:5" x14ac:dyDescent="0.25">
      <c r="A12" s="39" t="s">
        <v>14</v>
      </c>
      <c r="B12" s="40"/>
      <c r="C12" s="41" t="s">
        <v>15</v>
      </c>
      <c r="D12" s="82"/>
      <c r="E12" s="82">
        <v>51717</v>
      </c>
    </row>
    <row r="13" spans="1:5" x14ac:dyDescent="0.25">
      <c r="A13" s="39" t="s">
        <v>16</v>
      </c>
      <c r="B13" s="40"/>
      <c r="C13" s="41" t="s">
        <v>17</v>
      </c>
      <c r="D13" s="82"/>
      <c r="E13" s="82"/>
    </row>
    <row r="14" spans="1:5" x14ac:dyDescent="0.25">
      <c r="A14" s="39" t="s">
        <v>18</v>
      </c>
      <c r="B14" s="40">
        <v>10</v>
      </c>
      <c r="C14" s="41" t="s">
        <v>19</v>
      </c>
      <c r="D14" s="85">
        <f>546+51092</f>
        <v>51638</v>
      </c>
      <c r="E14" s="82">
        <v>29061</v>
      </c>
    </row>
    <row r="15" spans="1:5" s="30" customFormat="1" ht="14.25" x14ac:dyDescent="0.2">
      <c r="A15" s="36" t="s">
        <v>20</v>
      </c>
      <c r="B15" s="43"/>
      <c r="C15" s="37" t="s">
        <v>21</v>
      </c>
      <c r="D15" s="44">
        <f>SUM(D8:D14)</f>
        <v>2546382</v>
      </c>
      <c r="E15" s="44">
        <f>SUM(E8:E14)</f>
        <v>1681225</v>
      </c>
    </row>
    <row r="16" spans="1:5" s="30" customFormat="1" x14ac:dyDescent="0.2">
      <c r="A16" s="36" t="s">
        <v>22</v>
      </c>
      <c r="B16" s="43"/>
      <c r="C16" s="37"/>
      <c r="D16" s="82"/>
      <c r="E16" s="44"/>
    </row>
    <row r="17" spans="1:8" x14ac:dyDescent="0.25">
      <c r="A17" s="39" t="s">
        <v>23</v>
      </c>
      <c r="B17" s="40"/>
      <c r="C17" s="41" t="s">
        <v>24</v>
      </c>
      <c r="D17" s="82"/>
      <c r="E17" s="42"/>
    </row>
    <row r="18" spans="1:8" x14ac:dyDescent="0.25">
      <c r="A18" s="39" t="s">
        <v>25</v>
      </c>
      <c r="B18" s="40">
        <v>7</v>
      </c>
      <c r="C18" s="41" t="s">
        <v>26</v>
      </c>
      <c r="D18" s="82"/>
      <c r="E18" s="42">
        <v>145771</v>
      </c>
    </row>
    <row r="19" spans="1:8" x14ac:dyDescent="0.25">
      <c r="A19" s="39" t="s">
        <v>27</v>
      </c>
      <c r="B19" s="40"/>
      <c r="C19" s="41" t="s">
        <v>28</v>
      </c>
      <c r="D19" s="82"/>
      <c r="E19" s="42"/>
    </row>
    <row r="20" spans="1:8" x14ac:dyDescent="0.25">
      <c r="A20" s="39" t="s">
        <v>29</v>
      </c>
      <c r="B20" s="40"/>
      <c r="C20" s="41" t="s">
        <v>30</v>
      </c>
      <c r="D20" s="82"/>
      <c r="E20" s="42"/>
    </row>
    <row r="21" spans="1:8" x14ac:dyDescent="0.25">
      <c r="A21" s="39" t="s">
        <v>31</v>
      </c>
      <c r="B21" s="40">
        <v>5</v>
      </c>
      <c r="C21" s="41" t="s">
        <v>32</v>
      </c>
      <c r="D21" s="82">
        <v>457788</v>
      </c>
      <c r="E21" s="82">
        <v>371422</v>
      </c>
    </row>
    <row r="22" spans="1:8" x14ac:dyDescent="0.25">
      <c r="A22" s="39" t="s">
        <v>33</v>
      </c>
      <c r="B22" s="40"/>
      <c r="C22" s="41" t="s">
        <v>34</v>
      </c>
      <c r="D22" s="82"/>
      <c r="E22" s="82"/>
    </row>
    <row r="23" spans="1:8" x14ac:dyDescent="0.25">
      <c r="A23" s="39" t="s">
        <v>35</v>
      </c>
      <c r="B23" s="40"/>
      <c r="C23" s="41" t="s">
        <v>36</v>
      </c>
      <c r="D23" s="82"/>
      <c r="E23" s="82"/>
    </row>
    <row r="24" spans="1:8" x14ac:dyDescent="0.25">
      <c r="A24" s="39" t="s">
        <v>37</v>
      </c>
      <c r="B24" s="40">
        <v>6</v>
      </c>
      <c r="C24" s="41" t="s">
        <v>38</v>
      </c>
      <c r="D24" s="82">
        <v>8546867</v>
      </c>
      <c r="E24" s="82">
        <v>9494534</v>
      </c>
      <c r="F24" s="45">
        <f>9558273</f>
        <v>9558273</v>
      </c>
      <c r="G24" s="125">
        <f>E24</f>
        <v>9494534</v>
      </c>
      <c r="H24" s="46" t="s">
        <v>223</v>
      </c>
    </row>
    <row r="25" spans="1:8" x14ac:dyDescent="0.25">
      <c r="A25" s="39" t="s">
        <v>39</v>
      </c>
      <c r="B25" s="40">
        <v>24</v>
      </c>
      <c r="C25" s="41" t="s">
        <v>40</v>
      </c>
      <c r="D25" s="83"/>
      <c r="E25" s="83"/>
      <c r="F25" s="45">
        <f>10445114</f>
        <v>10445114</v>
      </c>
      <c r="G25" s="125">
        <f>D24</f>
        <v>8546867</v>
      </c>
      <c r="H25" s="46" t="s">
        <v>224</v>
      </c>
    </row>
    <row r="26" spans="1:8" x14ac:dyDescent="0.25">
      <c r="A26" s="39" t="s">
        <v>41</v>
      </c>
      <c r="B26" s="40"/>
      <c r="C26" s="41" t="s">
        <v>42</v>
      </c>
      <c r="D26" s="82"/>
      <c r="E26" s="82"/>
      <c r="G26" s="46"/>
      <c r="H26" s="46"/>
    </row>
    <row r="27" spans="1:8" s="30" customFormat="1" ht="14.25" x14ac:dyDescent="0.2">
      <c r="A27" s="36" t="s">
        <v>43</v>
      </c>
      <c r="B27" s="43"/>
      <c r="C27" s="37" t="s">
        <v>44</v>
      </c>
      <c r="D27" s="84">
        <f>SUM(D17:D26)</f>
        <v>9004655</v>
      </c>
      <c r="E27" s="84">
        <f>SUM(E17:E26)</f>
        <v>10011727</v>
      </c>
    </row>
    <row r="28" spans="1:8" s="30" customFormat="1" ht="14.25" x14ac:dyDescent="0.2">
      <c r="A28" s="36" t="s">
        <v>45</v>
      </c>
      <c r="B28" s="43"/>
      <c r="C28" s="37"/>
      <c r="D28" s="84">
        <f>D15+D27</f>
        <v>11551037</v>
      </c>
      <c r="E28" s="84">
        <f>E15+E27</f>
        <v>11692952</v>
      </c>
    </row>
    <row r="29" spans="1:8" x14ac:dyDescent="0.25">
      <c r="A29" s="36" t="s">
        <v>46</v>
      </c>
      <c r="B29" s="43"/>
      <c r="C29" s="41"/>
      <c r="D29" s="82"/>
      <c r="E29" s="82"/>
    </row>
    <row r="30" spans="1:8" x14ac:dyDescent="0.25">
      <c r="A30" s="36" t="s">
        <v>47</v>
      </c>
      <c r="B30" s="43"/>
      <c r="C30" s="37" t="s">
        <v>48</v>
      </c>
      <c r="D30" s="82"/>
      <c r="E30" s="82"/>
    </row>
    <row r="31" spans="1:8" x14ac:dyDescent="0.25">
      <c r="A31" s="39" t="s">
        <v>49</v>
      </c>
      <c r="B31" s="40">
        <v>14.15</v>
      </c>
      <c r="C31" s="41" t="s">
        <v>50</v>
      </c>
      <c r="D31" s="83">
        <v>3323553</v>
      </c>
      <c r="E31" s="83">
        <f>895087+523376</f>
        <v>1418463</v>
      </c>
    </row>
    <row r="32" spans="1:8" x14ac:dyDescent="0.25">
      <c r="A32" s="39" t="s">
        <v>51</v>
      </c>
      <c r="B32" s="40">
        <v>17</v>
      </c>
      <c r="C32" s="41" t="s">
        <v>52</v>
      </c>
      <c r="D32" s="83">
        <v>603852</v>
      </c>
      <c r="E32" s="83">
        <v>128516</v>
      </c>
      <c r="F32" s="47"/>
    </row>
    <row r="33" spans="1:6" ht="30" x14ac:dyDescent="0.25">
      <c r="A33" s="48" t="s">
        <v>53</v>
      </c>
      <c r="B33" s="49">
        <v>17</v>
      </c>
      <c r="C33" s="41" t="s">
        <v>54</v>
      </c>
      <c r="D33" s="82">
        <v>4443</v>
      </c>
      <c r="E33" s="82">
        <v>5971</v>
      </c>
    </row>
    <row r="34" spans="1:6" x14ac:dyDescent="0.25">
      <c r="A34" s="39" t="s">
        <v>55</v>
      </c>
      <c r="B34" s="40">
        <v>16</v>
      </c>
      <c r="C34" s="41" t="s">
        <v>56</v>
      </c>
      <c r="D34" s="82">
        <v>128809</v>
      </c>
      <c r="E34" s="82">
        <f>59857+20774</f>
        <v>80631</v>
      </c>
    </row>
    <row r="35" spans="1:6" x14ac:dyDescent="0.25">
      <c r="A35" s="39" t="s">
        <v>57</v>
      </c>
      <c r="B35" s="40"/>
      <c r="C35" s="41" t="s">
        <v>58</v>
      </c>
      <c r="D35" s="82">
        <v>186554</v>
      </c>
      <c r="E35" s="82">
        <f>32083</f>
        <v>32083</v>
      </c>
    </row>
    <row r="36" spans="1:6" x14ac:dyDescent="0.25">
      <c r="A36" s="39" t="s">
        <v>59</v>
      </c>
      <c r="B36" s="40">
        <v>18</v>
      </c>
      <c r="C36" s="41" t="s">
        <v>60</v>
      </c>
      <c r="D36" s="82">
        <v>223</v>
      </c>
      <c r="E36" s="82">
        <f>134639-E32-E33+13240</f>
        <v>13392</v>
      </c>
    </row>
    <row r="37" spans="1:6" s="30" customFormat="1" ht="14.25" x14ac:dyDescent="0.2">
      <c r="A37" s="36" t="s">
        <v>61</v>
      </c>
      <c r="B37" s="43"/>
      <c r="C37" s="37" t="s">
        <v>62</v>
      </c>
      <c r="D37" s="84">
        <f>SUM(D31:D36)</f>
        <v>4247434</v>
      </c>
      <c r="E37" s="84">
        <f>SUM(E31:E36)</f>
        <v>1679056</v>
      </c>
    </row>
    <row r="38" spans="1:6" s="30" customFormat="1" ht="14.25" x14ac:dyDescent="0.2">
      <c r="A38" s="36" t="s">
        <v>63</v>
      </c>
      <c r="B38" s="43"/>
      <c r="C38" s="37"/>
      <c r="D38" s="84"/>
      <c r="E38" s="84"/>
    </row>
    <row r="39" spans="1:6" x14ac:dyDescent="0.25">
      <c r="A39" s="39" t="s">
        <v>65</v>
      </c>
      <c r="B39" s="40">
        <v>14</v>
      </c>
      <c r="C39" s="41" t="s">
        <v>64</v>
      </c>
      <c r="D39" s="82">
        <v>6534186</v>
      </c>
      <c r="E39" s="82">
        <v>6937400</v>
      </c>
    </row>
    <row r="40" spans="1:6" x14ac:dyDescent="0.25">
      <c r="A40" s="39" t="s">
        <v>66</v>
      </c>
      <c r="B40" s="40">
        <v>15</v>
      </c>
      <c r="C40" s="41" t="s">
        <v>67</v>
      </c>
      <c r="D40" s="82">
        <v>14788464</v>
      </c>
      <c r="E40" s="82">
        <v>17575501</v>
      </c>
      <c r="F40" s="47"/>
    </row>
    <row r="41" spans="1:6" x14ac:dyDescent="0.25">
      <c r="A41" s="39" t="s">
        <v>68</v>
      </c>
      <c r="B41" s="40"/>
      <c r="C41" s="41" t="s">
        <v>69</v>
      </c>
      <c r="D41" s="82"/>
      <c r="E41" s="42"/>
    </row>
    <row r="42" spans="1:6" x14ac:dyDescent="0.25">
      <c r="A42" s="39" t="s">
        <v>70</v>
      </c>
      <c r="B42" s="40"/>
      <c r="C42" s="41" t="s">
        <v>71</v>
      </c>
      <c r="D42" s="82"/>
      <c r="E42" s="42"/>
    </row>
    <row r="43" spans="1:6" x14ac:dyDescent="0.25">
      <c r="A43" s="39" t="s">
        <v>72</v>
      </c>
      <c r="B43" s="40"/>
      <c r="C43" s="41" t="s">
        <v>73</v>
      </c>
      <c r="D43" s="82">
        <v>0</v>
      </c>
      <c r="E43" s="42">
        <v>0</v>
      </c>
    </row>
    <row r="44" spans="1:6" x14ac:dyDescent="0.25">
      <c r="A44" s="39" t="s">
        <v>74</v>
      </c>
      <c r="B44" s="40"/>
      <c r="C44" s="41" t="s">
        <v>75</v>
      </c>
      <c r="D44" s="82"/>
      <c r="E44" s="42"/>
    </row>
    <row r="45" spans="1:6" s="30" customFormat="1" ht="14.25" x14ac:dyDescent="0.2">
      <c r="A45" s="36" t="s">
        <v>76</v>
      </c>
      <c r="B45" s="43"/>
      <c r="C45" s="37" t="s">
        <v>77</v>
      </c>
      <c r="D45" s="84">
        <f>SUM(D39:D44)</f>
        <v>21322650</v>
      </c>
      <c r="E45" s="44">
        <f>SUM(E39:E44)</f>
        <v>24512901</v>
      </c>
    </row>
    <row r="46" spans="1:6" s="30" customFormat="1" ht="14.25" x14ac:dyDescent="0.2">
      <c r="A46" s="36" t="s">
        <v>78</v>
      </c>
      <c r="B46" s="43"/>
      <c r="C46" s="37"/>
      <c r="D46" s="84"/>
      <c r="E46" s="44"/>
    </row>
    <row r="47" spans="1:6" x14ac:dyDescent="0.25">
      <c r="A47" s="39" t="s">
        <v>79</v>
      </c>
      <c r="B47" s="40">
        <v>12</v>
      </c>
      <c r="C47" s="41" t="s">
        <v>80</v>
      </c>
      <c r="D47" s="82">
        <v>11861000</v>
      </c>
      <c r="E47" s="42">
        <v>11861000</v>
      </c>
    </row>
    <row r="48" spans="1:6" x14ac:dyDescent="0.25">
      <c r="A48" s="39" t="s">
        <v>81</v>
      </c>
      <c r="B48" s="40"/>
      <c r="C48" s="41" t="s">
        <v>82</v>
      </c>
      <c r="D48" s="82"/>
      <c r="E48" s="42"/>
    </row>
    <row r="49" spans="1:7" x14ac:dyDescent="0.25">
      <c r="A49" s="39" t="s">
        <v>83</v>
      </c>
      <c r="B49" s="40"/>
      <c r="C49" s="41" t="s">
        <v>84</v>
      </c>
      <c r="D49" s="82"/>
      <c r="E49" s="42"/>
    </row>
    <row r="50" spans="1:7" x14ac:dyDescent="0.25">
      <c r="A50" s="39" t="s">
        <v>85</v>
      </c>
      <c r="B50" s="40"/>
      <c r="C50" s="41" t="s">
        <v>86</v>
      </c>
      <c r="D50" s="82">
        <v>7086480</v>
      </c>
      <c r="E50" s="42">
        <v>7086480</v>
      </c>
    </row>
    <row r="51" spans="1:7" x14ac:dyDescent="0.25">
      <c r="A51" s="39" t="s">
        <v>87</v>
      </c>
      <c r="B51" s="40"/>
      <c r="C51" s="41" t="s">
        <v>88</v>
      </c>
      <c r="D51" s="82">
        <v>-32966527</v>
      </c>
      <c r="E51" s="42">
        <v>-33446485</v>
      </c>
      <c r="F51" s="46"/>
      <c r="G51" s="47"/>
    </row>
    <row r="52" spans="1:7" x14ac:dyDescent="0.25">
      <c r="A52" s="39" t="s">
        <v>89</v>
      </c>
      <c r="B52" s="40">
        <v>13</v>
      </c>
      <c r="C52" s="41" t="s">
        <v>90</v>
      </c>
      <c r="D52" s="82"/>
      <c r="E52" s="82"/>
    </row>
    <row r="53" spans="1:7" s="30" customFormat="1" ht="14.25" x14ac:dyDescent="0.2">
      <c r="A53" s="36" t="s">
        <v>91</v>
      </c>
      <c r="B53" s="43"/>
      <c r="C53" s="37" t="s">
        <v>92</v>
      </c>
      <c r="D53" s="44">
        <f>SUM(D47:D52)</f>
        <v>-14019047</v>
      </c>
      <c r="E53" s="44">
        <f>SUM(E47:E52)</f>
        <v>-14499005</v>
      </c>
    </row>
    <row r="54" spans="1:7" s="30" customFormat="1" ht="14.25" x14ac:dyDescent="0.2">
      <c r="A54" s="36" t="s">
        <v>93</v>
      </c>
      <c r="B54" s="43"/>
      <c r="C54" s="37"/>
      <c r="D54" s="44">
        <f>D37+D45+D53</f>
        <v>11551037</v>
      </c>
      <c r="E54" s="44">
        <f>E37+E45+E53</f>
        <v>11692952</v>
      </c>
      <c r="F54" s="50"/>
    </row>
    <row r="55" spans="1:7" s="30" customFormat="1" x14ac:dyDescent="0.25">
      <c r="A55" s="36" t="s">
        <v>94</v>
      </c>
      <c r="B55" s="40">
        <v>12</v>
      </c>
      <c r="C55" s="37"/>
      <c r="D55" s="91">
        <f>(D53-G25)/11861*1000</f>
        <v>-1902530.4780372651</v>
      </c>
      <c r="E55" s="92">
        <f>(E53-G24)/11861*1000</f>
        <v>-2022893.4322569766</v>
      </c>
    </row>
    <row r="56" spans="1:7" x14ac:dyDescent="0.25">
      <c r="A56" s="51" t="s">
        <v>95</v>
      </c>
      <c r="B56" s="52"/>
      <c r="C56" s="53"/>
      <c r="D56" s="96"/>
      <c r="E56" s="100"/>
    </row>
    <row r="57" spans="1:7" x14ac:dyDescent="0.25">
      <c r="A57" s="52"/>
      <c r="B57" s="52"/>
      <c r="C57" s="53"/>
      <c r="D57" s="100"/>
      <c r="E57" s="100"/>
    </row>
    <row r="58" spans="1:7" s="30" customFormat="1" ht="16.5" customHeight="1" x14ac:dyDescent="0.2">
      <c r="A58" s="54" t="s">
        <v>219</v>
      </c>
      <c r="B58" s="54"/>
      <c r="C58" s="55"/>
      <c r="D58" s="30" t="s">
        <v>241</v>
      </c>
    </row>
    <row r="59" spans="1:7" s="30" customFormat="1" ht="14.25" x14ac:dyDescent="0.2">
      <c r="A59" s="56" t="s">
        <v>96</v>
      </c>
      <c r="B59" s="56"/>
      <c r="C59" s="55"/>
    </row>
    <row r="60" spans="1:7" s="30" customFormat="1" ht="14.25" x14ac:dyDescent="0.2">
      <c r="A60" s="30" t="s">
        <v>214</v>
      </c>
      <c r="C60" s="55"/>
      <c r="D60" s="30" t="s">
        <v>221</v>
      </c>
    </row>
    <row r="61" spans="1:7" x14ac:dyDescent="0.25">
      <c r="A61" s="54" t="s">
        <v>96</v>
      </c>
      <c r="B61" s="54"/>
    </row>
    <row r="62" spans="1:7" x14ac:dyDescent="0.25">
      <c r="D62" s="46" t="b">
        <f>D54=D28</f>
        <v>1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3"/>
  <sheetViews>
    <sheetView showWhiteSpace="0" view="pageBreakPreview" zoomScale="120" zoomScaleSheetLayoutView="120" workbookViewId="0">
      <selection activeCell="D20" sqref="D20"/>
    </sheetView>
  </sheetViews>
  <sheetFormatPr defaultColWidth="9.140625" defaultRowHeight="15" outlineLevelCol="1" x14ac:dyDescent="0.25"/>
  <cols>
    <col min="1" max="1" width="43.140625" style="57" customWidth="1"/>
    <col min="2" max="2" width="12.42578125" style="57" hidden="1" customWidth="1" outlineLevel="1"/>
    <col min="3" max="3" width="9" style="57" customWidth="1" collapsed="1"/>
    <col min="4" max="4" width="19.85546875" style="57" customWidth="1"/>
    <col min="5" max="5" width="20.5703125" style="57" customWidth="1"/>
    <col min="6" max="16384" width="9.140625" style="57"/>
  </cols>
  <sheetData>
    <row r="1" spans="1:5" x14ac:dyDescent="0.25">
      <c r="A1" s="106" t="s">
        <v>232</v>
      </c>
      <c r="B1" s="106"/>
      <c r="C1" s="107"/>
      <c r="D1" s="107"/>
      <c r="E1" s="107"/>
    </row>
    <row r="2" spans="1:5" x14ac:dyDescent="0.25">
      <c r="A2" s="106" t="s">
        <v>236</v>
      </c>
      <c r="B2" s="106"/>
      <c r="C2" s="107"/>
      <c r="D2" s="107"/>
      <c r="E2" s="107"/>
    </row>
    <row r="3" spans="1:5" x14ac:dyDescent="0.25">
      <c r="A3" s="24"/>
      <c r="B3" s="24"/>
      <c r="C3" s="25"/>
      <c r="D3" s="25"/>
      <c r="E3" s="25"/>
    </row>
    <row r="4" spans="1:5" ht="15.75" thickBot="1" x14ac:dyDescent="0.3">
      <c r="A4" s="1"/>
      <c r="B4" s="1"/>
      <c r="C4" s="2"/>
      <c r="D4" s="2"/>
      <c r="E4" s="3" t="s">
        <v>97</v>
      </c>
    </row>
    <row r="5" spans="1:5" ht="26.25" thickBot="1" x14ac:dyDescent="0.3">
      <c r="A5" s="4" t="s">
        <v>98</v>
      </c>
      <c r="B5" s="4" t="s">
        <v>216</v>
      </c>
      <c r="C5" s="5" t="s">
        <v>99</v>
      </c>
      <c r="D5" s="5" t="s">
        <v>100</v>
      </c>
      <c r="E5" s="5" t="s">
        <v>101</v>
      </c>
    </row>
    <row r="6" spans="1:5" ht="15.75" thickBot="1" x14ac:dyDescent="0.3">
      <c r="A6" s="6" t="s">
        <v>102</v>
      </c>
      <c r="B6" s="26">
        <v>19</v>
      </c>
      <c r="C6" s="14" t="s">
        <v>7</v>
      </c>
      <c r="D6" s="7">
        <v>7243077</v>
      </c>
      <c r="E6" s="101">
        <v>6118174</v>
      </c>
    </row>
    <row r="7" spans="1:5" ht="15.75" thickBot="1" x14ac:dyDescent="0.3">
      <c r="A7" s="6" t="s">
        <v>103</v>
      </c>
      <c r="B7" s="26">
        <v>20</v>
      </c>
      <c r="C7" s="14" t="s">
        <v>24</v>
      </c>
      <c r="D7" s="7">
        <v>-3151373</v>
      </c>
      <c r="E7" s="102">
        <v>-2834542</v>
      </c>
    </row>
    <row r="8" spans="1:5" s="58" customFormat="1" thickBot="1" x14ac:dyDescent="0.25">
      <c r="A8" s="8" t="s">
        <v>104</v>
      </c>
      <c r="B8" s="27"/>
      <c r="C8" s="15" t="s">
        <v>48</v>
      </c>
      <c r="D8" s="9">
        <f>SUM(D6:D7)</f>
        <v>4091704</v>
      </c>
      <c r="E8" s="9">
        <f>SUM(E6:E7)</f>
        <v>3283632</v>
      </c>
    </row>
    <row r="9" spans="1:5" ht="15.75" thickBot="1" x14ac:dyDescent="0.3">
      <c r="A9" s="6" t="s">
        <v>110</v>
      </c>
      <c r="B9" s="26">
        <v>22</v>
      </c>
      <c r="C9" s="14" t="s">
        <v>64</v>
      </c>
      <c r="D9" s="7">
        <v>153633</v>
      </c>
      <c r="E9" s="7">
        <v>88520</v>
      </c>
    </row>
    <row r="10" spans="1:5" ht="15.75" thickBot="1" x14ac:dyDescent="0.3">
      <c r="A10" s="6" t="s">
        <v>107</v>
      </c>
      <c r="B10" s="26"/>
      <c r="C10" s="14" t="s">
        <v>80</v>
      </c>
      <c r="D10" s="7">
        <v>7186</v>
      </c>
      <c r="E10" s="7">
        <v>98082</v>
      </c>
    </row>
    <row r="11" spans="1:5" ht="16.5" customHeight="1" thickBot="1" x14ac:dyDescent="0.3">
      <c r="A11" s="6" t="s">
        <v>111</v>
      </c>
      <c r="B11" s="26"/>
      <c r="C11" s="14" t="s">
        <v>112</v>
      </c>
      <c r="D11" s="7"/>
      <c r="E11" s="7"/>
    </row>
    <row r="12" spans="1:5" ht="15.75" thickBot="1" x14ac:dyDescent="0.3">
      <c r="A12" s="6" t="s">
        <v>105</v>
      </c>
      <c r="B12" s="26">
        <v>21</v>
      </c>
      <c r="C12" s="14" t="s">
        <v>113</v>
      </c>
      <c r="D12" s="7">
        <v>-580108</v>
      </c>
      <c r="E12" s="7">
        <v>-507254</v>
      </c>
    </row>
    <row r="13" spans="1:5" ht="15.75" thickBot="1" x14ac:dyDescent="0.3">
      <c r="A13" s="6" t="s">
        <v>114</v>
      </c>
      <c r="B13" s="26">
        <v>23</v>
      </c>
      <c r="C13" s="14" t="s">
        <v>115</v>
      </c>
      <c r="D13" s="7">
        <v>-1920460</v>
      </c>
      <c r="E13" s="7">
        <v>-2176994</v>
      </c>
    </row>
    <row r="14" spans="1:5" ht="15.75" thickBot="1" x14ac:dyDescent="0.3">
      <c r="A14" s="6" t="s">
        <v>106</v>
      </c>
      <c r="B14" s="26"/>
      <c r="C14" s="14" t="s">
        <v>116</v>
      </c>
      <c r="D14" s="7">
        <v>-109398</v>
      </c>
      <c r="E14" s="7">
        <v>-351033</v>
      </c>
    </row>
    <row r="15" spans="1:5" ht="15.75" thickBot="1" x14ac:dyDescent="0.3">
      <c r="A15" s="104" t="s">
        <v>117</v>
      </c>
      <c r="B15" s="28"/>
      <c r="C15" s="14" t="s">
        <v>21</v>
      </c>
      <c r="D15" s="7"/>
      <c r="E15" s="7"/>
    </row>
    <row r="16" spans="1:5" ht="15.75" thickBot="1" x14ac:dyDescent="0.3">
      <c r="A16" s="105"/>
      <c r="B16" s="26"/>
      <c r="C16" s="14"/>
      <c r="D16" s="7"/>
      <c r="E16" s="7"/>
    </row>
    <row r="17" spans="1:5" s="58" customFormat="1" ht="39" thickBot="1" x14ac:dyDescent="0.25">
      <c r="A17" s="8" t="s">
        <v>118</v>
      </c>
      <c r="B17" s="27"/>
      <c r="C17" s="15" t="s">
        <v>119</v>
      </c>
      <c r="D17" s="9">
        <f>SUM(D8:D14)</f>
        <v>1642557</v>
      </c>
      <c r="E17" s="9">
        <f>SUM(E8:E14)</f>
        <v>434953</v>
      </c>
    </row>
    <row r="18" spans="1:5" ht="15.75" thickBot="1" x14ac:dyDescent="0.3">
      <c r="A18" s="6" t="s">
        <v>120</v>
      </c>
      <c r="B18" s="26"/>
      <c r="C18" s="14" t="s">
        <v>121</v>
      </c>
      <c r="D18" s="7"/>
      <c r="E18" s="7"/>
    </row>
    <row r="19" spans="1:5" ht="26.25" thickBot="1" x14ac:dyDescent="0.3">
      <c r="A19" s="8" t="s">
        <v>122</v>
      </c>
      <c r="B19" s="27"/>
      <c r="C19" s="15" t="s">
        <v>124</v>
      </c>
      <c r="D19" s="9">
        <f>D17-D18</f>
        <v>1642557</v>
      </c>
      <c r="E19" s="9">
        <f>E17-E18</f>
        <v>434953</v>
      </c>
    </row>
    <row r="20" spans="1:5" ht="15.75" thickBot="1" x14ac:dyDescent="0.3">
      <c r="A20" s="6" t="s">
        <v>108</v>
      </c>
      <c r="B20" s="26">
        <v>24</v>
      </c>
      <c r="C20" s="14" t="s">
        <v>125</v>
      </c>
      <c r="D20" s="7">
        <v>1162599</v>
      </c>
      <c r="E20" s="7">
        <v>153107</v>
      </c>
    </row>
    <row r="21" spans="1:5" ht="26.25" thickBot="1" x14ac:dyDescent="0.3">
      <c r="A21" s="8" t="s">
        <v>123</v>
      </c>
      <c r="B21" s="27"/>
      <c r="C21" s="15" t="s">
        <v>126</v>
      </c>
      <c r="D21" s="9">
        <f>D19-D20</f>
        <v>479958</v>
      </c>
      <c r="E21" s="9">
        <f>E19-E20</f>
        <v>281846</v>
      </c>
    </row>
    <row r="22" spans="1:5" ht="26.25" thickBot="1" x14ac:dyDescent="0.3">
      <c r="A22" s="6" t="s">
        <v>109</v>
      </c>
      <c r="B22" s="26"/>
      <c r="C22" s="14" t="s">
        <v>127</v>
      </c>
      <c r="D22" s="7"/>
      <c r="E22" s="7"/>
    </row>
    <row r="23" spans="1:5" ht="26.25" thickBot="1" x14ac:dyDescent="0.3">
      <c r="A23" s="8" t="s">
        <v>129</v>
      </c>
      <c r="B23" s="27"/>
      <c r="C23" s="15" t="s">
        <v>128</v>
      </c>
      <c r="D23" s="9">
        <f>D21+D22</f>
        <v>479958</v>
      </c>
      <c r="E23" s="9">
        <f>E21+E22</f>
        <v>281846</v>
      </c>
    </row>
    <row r="24" spans="1:5" ht="26.25" thickBot="1" x14ac:dyDescent="0.3">
      <c r="A24" s="6" t="s">
        <v>130</v>
      </c>
      <c r="B24" s="26">
        <v>25</v>
      </c>
      <c r="C24" s="14" t="s">
        <v>131</v>
      </c>
      <c r="D24" s="93">
        <f>D23/11861*1000</f>
        <v>40465.22215664784</v>
      </c>
      <c r="E24" s="94">
        <f>E23/11861*1000</f>
        <v>23762.41463620268</v>
      </c>
    </row>
    <row r="25" spans="1:5" x14ac:dyDescent="0.25">
      <c r="A25" s="10"/>
      <c r="B25" s="10"/>
      <c r="C25" s="11"/>
      <c r="D25" s="11"/>
      <c r="E25" s="11"/>
    </row>
    <row r="26" spans="1:5" x14ac:dyDescent="0.25">
      <c r="A26" s="11"/>
      <c r="B26" s="11"/>
      <c r="C26" s="11"/>
      <c r="D26" s="11"/>
      <c r="E26" s="11"/>
    </row>
    <row r="27" spans="1:5" s="58" customFormat="1" ht="14.25" x14ac:dyDescent="0.2">
      <c r="A27" s="12" t="s">
        <v>220</v>
      </c>
      <c r="B27" s="12"/>
      <c r="C27" s="17"/>
      <c r="D27" s="17" t="str">
        <f>Баланс!D58</f>
        <v>Потлов Д.В.</v>
      </c>
      <c r="E27" s="17"/>
    </row>
    <row r="28" spans="1:5" s="58" customFormat="1" ht="14.25" x14ac:dyDescent="0.2">
      <c r="A28" s="16" t="s">
        <v>132</v>
      </c>
      <c r="B28" s="16"/>
      <c r="C28" s="17"/>
      <c r="D28" s="17"/>
      <c r="E28" s="17"/>
    </row>
    <row r="29" spans="1:5" s="58" customFormat="1" ht="14.25" x14ac:dyDescent="0.2">
      <c r="A29" s="12" t="s">
        <v>215</v>
      </c>
      <c r="B29" s="12"/>
      <c r="C29" s="17"/>
      <c r="D29" s="17" t="s">
        <v>221</v>
      </c>
      <c r="E29" s="17"/>
    </row>
    <row r="30" spans="1:5" x14ac:dyDescent="0.25">
      <c r="A30" s="16" t="s">
        <v>132</v>
      </c>
      <c r="B30" s="16"/>
      <c r="C30" s="11"/>
      <c r="D30" s="11"/>
      <c r="E30" s="11"/>
    </row>
    <row r="31" spans="1:5" x14ac:dyDescent="0.25">
      <c r="A31" s="10"/>
      <c r="B31" s="10"/>
      <c r="C31" s="11"/>
      <c r="D31" s="11"/>
      <c r="E31" s="11"/>
    </row>
    <row r="32" spans="1:5" x14ac:dyDescent="0.25">
      <c r="A32" s="10"/>
      <c r="B32" s="10"/>
      <c r="C32" s="11"/>
      <c r="D32" s="11"/>
      <c r="E32" s="11"/>
    </row>
    <row r="33" spans="1:5" x14ac:dyDescent="0.25">
      <c r="A33" s="10"/>
      <c r="B33" s="10"/>
      <c r="C33" s="11"/>
      <c r="D33" s="13"/>
      <c r="E33" s="13"/>
    </row>
  </sheetData>
  <mergeCells count="3">
    <mergeCell ref="A15:A16"/>
    <mergeCell ref="A1:E1"/>
    <mergeCell ref="A2:E2"/>
  </mergeCells>
  <pageMargins left="0.55118110236220474" right="0.31496062992125984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E67"/>
  <sheetViews>
    <sheetView view="pageBreakPreview" zoomScaleSheetLayoutView="100" workbookViewId="0">
      <selection activeCell="C57" sqref="C57"/>
    </sheetView>
  </sheetViews>
  <sheetFormatPr defaultColWidth="9.140625" defaultRowHeight="15" x14ac:dyDescent="0.25"/>
  <cols>
    <col min="1" max="1" width="58.7109375" style="57" customWidth="1"/>
    <col min="2" max="2" width="9.140625" style="61"/>
    <col min="3" max="3" width="17.5703125" style="57" customWidth="1"/>
    <col min="4" max="4" width="19.140625" style="57" customWidth="1"/>
    <col min="5" max="5" width="13" style="57" customWidth="1"/>
    <col min="6" max="16384" width="9.140625" style="57"/>
  </cols>
  <sheetData>
    <row r="3" spans="1:4" x14ac:dyDescent="0.25">
      <c r="A3" s="114" t="s">
        <v>233</v>
      </c>
      <c r="B3" s="115"/>
      <c r="C3" s="115"/>
      <c r="D3" s="115"/>
    </row>
    <row r="4" spans="1:4" x14ac:dyDescent="0.25">
      <c r="A4" s="116" t="s">
        <v>237</v>
      </c>
      <c r="B4" s="117"/>
      <c r="C4" s="117"/>
      <c r="D4" s="117"/>
    </row>
    <row r="5" spans="1:4" x14ac:dyDescent="0.25">
      <c r="D5" s="62" t="s">
        <v>0</v>
      </c>
    </row>
    <row r="6" spans="1:4" s="58" customFormat="1" ht="30" customHeight="1" x14ac:dyDescent="0.2">
      <c r="A6" s="63" t="s">
        <v>133</v>
      </c>
      <c r="B6" s="64" t="s">
        <v>2</v>
      </c>
      <c r="C6" s="65" t="s">
        <v>100</v>
      </c>
      <c r="D6" s="95" t="s">
        <v>101</v>
      </c>
    </row>
    <row r="7" spans="1:4" s="58" customFormat="1" ht="14.25" x14ac:dyDescent="0.2">
      <c r="A7" s="108" t="s">
        <v>134</v>
      </c>
      <c r="B7" s="109"/>
      <c r="C7" s="109"/>
      <c r="D7" s="110"/>
    </row>
    <row r="8" spans="1:4" s="58" customFormat="1" ht="14.25" x14ac:dyDescent="0.2">
      <c r="A8" s="66" t="s">
        <v>135</v>
      </c>
      <c r="B8" s="67" t="s">
        <v>7</v>
      </c>
      <c r="C8" s="68">
        <f>SUM(C10:C14)</f>
        <v>8449013</v>
      </c>
      <c r="D8" s="68">
        <f>SUM(D10:D14)</f>
        <v>7332235</v>
      </c>
    </row>
    <row r="9" spans="1:4" x14ac:dyDescent="0.25">
      <c r="A9" s="69" t="s">
        <v>136</v>
      </c>
      <c r="B9" s="70"/>
      <c r="C9" s="71"/>
      <c r="D9" s="71"/>
    </row>
    <row r="10" spans="1:4" x14ac:dyDescent="0.25">
      <c r="A10" s="69" t="s">
        <v>137</v>
      </c>
      <c r="B10" s="70" t="s">
        <v>9</v>
      </c>
      <c r="C10" s="42"/>
      <c r="D10" s="71"/>
    </row>
    <row r="11" spans="1:4" x14ac:dyDescent="0.25">
      <c r="A11" s="69" t="s">
        <v>138</v>
      </c>
      <c r="B11" s="70" t="s">
        <v>11</v>
      </c>
      <c r="C11" s="42">
        <v>2545171</v>
      </c>
      <c r="D11" s="71">
        <v>7250388</v>
      </c>
    </row>
    <row r="12" spans="1:4" x14ac:dyDescent="0.25">
      <c r="A12" s="69" t="s">
        <v>139</v>
      </c>
      <c r="B12" s="70" t="s">
        <v>13</v>
      </c>
      <c r="C12" s="42">
        <v>5768330</v>
      </c>
      <c r="D12" s="71"/>
    </row>
    <row r="13" spans="1:4" x14ac:dyDescent="0.25">
      <c r="A13" s="69" t="s">
        <v>140</v>
      </c>
      <c r="B13" s="70" t="s">
        <v>15</v>
      </c>
      <c r="C13" s="42"/>
      <c r="D13" s="71"/>
    </row>
    <row r="14" spans="1:4" x14ac:dyDescent="0.25">
      <c r="A14" s="69" t="s">
        <v>141</v>
      </c>
      <c r="B14" s="70" t="s">
        <v>17</v>
      </c>
      <c r="C14" s="42">
        <f>22120+113392</f>
        <v>135512</v>
      </c>
      <c r="D14" s="71">
        <f>17065+64782</f>
        <v>81847</v>
      </c>
    </row>
    <row r="15" spans="1:4" s="58" customFormat="1" ht="14.25" x14ac:dyDescent="0.2">
      <c r="A15" s="66" t="s">
        <v>142</v>
      </c>
      <c r="B15" s="67" t="s">
        <v>24</v>
      </c>
      <c r="C15" s="44">
        <f>SUM(C16:C23)</f>
        <v>4271335</v>
      </c>
      <c r="D15" s="44">
        <f>SUM(D17:D23)</f>
        <v>3483104</v>
      </c>
    </row>
    <row r="16" spans="1:4" s="58" customFormat="1" ht="14.25" x14ac:dyDescent="0.2">
      <c r="A16" s="66" t="s">
        <v>136</v>
      </c>
      <c r="B16" s="67"/>
      <c r="C16" s="44"/>
      <c r="D16" s="68"/>
    </row>
    <row r="17" spans="1:5" x14ac:dyDescent="0.25">
      <c r="A17" s="69" t="s">
        <v>143</v>
      </c>
      <c r="B17" s="70" t="s">
        <v>26</v>
      </c>
      <c r="C17" s="42">
        <v>1727056</v>
      </c>
      <c r="D17" s="71">
        <v>1016205</v>
      </c>
    </row>
    <row r="18" spans="1:5" x14ac:dyDescent="0.25">
      <c r="A18" s="69" t="s">
        <v>144</v>
      </c>
      <c r="B18" s="70" t="s">
        <v>28</v>
      </c>
      <c r="C18" s="42">
        <v>645314</v>
      </c>
      <c r="D18" s="71">
        <v>486965</v>
      </c>
    </row>
    <row r="19" spans="1:5" x14ac:dyDescent="0.25">
      <c r="A19" s="69" t="s">
        <v>145</v>
      </c>
      <c r="B19" s="70" t="s">
        <v>30</v>
      </c>
      <c r="C19" s="42">
        <v>291405</v>
      </c>
      <c r="D19" s="71">
        <v>608502</v>
      </c>
    </row>
    <row r="20" spans="1:5" x14ac:dyDescent="0.25">
      <c r="A20" s="69" t="s">
        <v>146</v>
      </c>
      <c r="B20" s="70" t="s">
        <v>32</v>
      </c>
      <c r="C20" s="42">
        <v>48100</v>
      </c>
      <c r="D20" s="71">
        <v>51915</v>
      </c>
    </row>
    <row r="21" spans="1:5" x14ac:dyDescent="0.25">
      <c r="A21" s="69" t="s">
        <v>147</v>
      </c>
      <c r="B21" s="70" t="s">
        <v>34</v>
      </c>
      <c r="C21" s="42">
        <v>644033</v>
      </c>
      <c r="D21" s="71">
        <v>248031</v>
      </c>
    </row>
    <row r="22" spans="1:5" x14ac:dyDescent="0.25">
      <c r="A22" s="69" t="s">
        <v>148</v>
      </c>
      <c r="B22" s="70" t="s">
        <v>36</v>
      </c>
      <c r="C22" s="42">
        <f>1473347-C21</f>
        <v>829314</v>
      </c>
      <c r="D22" s="71">
        <f>1178027-D21</f>
        <v>929996</v>
      </c>
    </row>
    <row r="23" spans="1:5" x14ac:dyDescent="0.25">
      <c r="A23" s="69" t="s">
        <v>149</v>
      </c>
      <c r="B23" s="70" t="s">
        <v>38</v>
      </c>
      <c r="C23" s="42">
        <v>86113</v>
      </c>
      <c r="D23" s="71">
        <v>141490</v>
      </c>
    </row>
    <row r="24" spans="1:5" s="58" customFormat="1" ht="25.5" x14ac:dyDescent="0.2">
      <c r="A24" s="72" t="s">
        <v>150</v>
      </c>
      <c r="B24" s="67" t="s">
        <v>48</v>
      </c>
      <c r="C24" s="44">
        <f>C8-C15</f>
        <v>4177678</v>
      </c>
      <c r="D24" s="68">
        <f>D8-D15</f>
        <v>3849131</v>
      </c>
      <c r="E24" s="80"/>
    </row>
    <row r="25" spans="1:5" x14ac:dyDescent="0.25">
      <c r="A25" s="108" t="s">
        <v>151</v>
      </c>
      <c r="B25" s="109"/>
      <c r="C25" s="109"/>
      <c r="D25" s="110"/>
    </row>
    <row r="26" spans="1:5" s="58" customFormat="1" ht="14.25" x14ac:dyDescent="0.2">
      <c r="A26" s="66" t="s">
        <v>135</v>
      </c>
      <c r="B26" s="67" t="s">
        <v>64</v>
      </c>
      <c r="C26" s="68">
        <f>SUM(C28:C34)</f>
        <v>38390</v>
      </c>
      <c r="D26" s="68">
        <f>SUM(D28:D34)</f>
        <v>42597</v>
      </c>
    </row>
    <row r="27" spans="1:5" x14ac:dyDescent="0.25">
      <c r="A27" s="69" t="s">
        <v>136</v>
      </c>
      <c r="B27" s="70"/>
      <c r="C27" s="71"/>
      <c r="D27" s="71"/>
    </row>
    <row r="28" spans="1:5" x14ac:dyDescent="0.25">
      <c r="A28" s="69" t="s">
        <v>152</v>
      </c>
      <c r="B28" s="70" t="s">
        <v>153</v>
      </c>
      <c r="C28" s="71">
        <v>38390</v>
      </c>
      <c r="D28" s="71">
        <v>42597</v>
      </c>
    </row>
    <row r="29" spans="1:5" x14ac:dyDescent="0.25">
      <c r="A29" s="69" t="s">
        <v>154</v>
      </c>
      <c r="B29" s="70" t="s">
        <v>67</v>
      </c>
      <c r="C29" s="71"/>
      <c r="D29" s="71"/>
    </row>
    <row r="30" spans="1:5" x14ac:dyDescent="0.25">
      <c r="A30" s="69" t="s">
        <v>155</v>
      </c>
      <c r="B30" s="70" t="s">
        <v>69</v>
      </c>
      <c r="C30" s="71"/>
      <c r="D30" s="71"/>
    </row>
    <row r="31" spans="1:5" x14ac:dyDescent="0.25">
      <c r="A31" s="69" t="s">
        <v>156</v>
      </c>
      <c r="B31" s="70" t="s">
        <v>71</v>
      </c>
      <c r="C31" s="71"/>
      <c r="D31" s="71"/>
    </row>
    <row r="32" spans="1:5" x14ac:dyDescent="0.25">
      <c r="A32" s="73" t="s">
        <v>157</v>
      </c>
      <c r="B32" s="70" t="s">
        <v>73</v>
      </c>
      <c r="C32" s="71"/>
      <c r="D32" s="71"/>
    </row>
    <row r="33" spans="1:4" x14ac:dyDescent="0.25">
      <c r="A33" s="74" t="s">
        <v>158</v>
      </c>
      <c r="B33" s="70" t="s">
        <v>75</v>
      </c>
      <c r="C33" s="71"/>
      <c r="D33" s="71"/>
    </row>
    <row r="34" spans="1:4" x14ac:dyDescent="0.25">
      <c r="A34" s="69" t="s">
        <v>141</v>
      </c>
      <c r="B34" s="70" t="s">
        <v>159</v>
      </c>
      <c r="C34" s="71"/>
      <c r="D34" s="71"/>
    </row>
    <row r="35" spans="1:4" s="58" customFormat="1" ht="14.25" x14ac:dyDescent="0.2">
      <c r="A35" s="66" t="s">
        <v>142</v>
      </c>
      <c r="B35" s="67" t="s">
        <v>80</v>
      </c>
      <c r="C35" s="68">
        <f>SUM(C37:C43)</f>
        <v>121135</v>
      </c>
      <c r="D35" s="68">
        <f>SUM(D37:D43)</f>
        <v>102017</v>
      </c>
    </row>
    <row r="36" spans="1:4" x14ac:dyDescent="0.25">
      <c r="A36" s="69" t="s">
        <v>160</v>
      </c>
      <c r="B36" s="70"/>
      <c r="C36" s="71"/>
      <c r="D36" s="71"/>
    </row>
    <row r="37" spans="1:4" x14ac:dyDescent="0.25">
      <c r="A37" s="69" t="s">
        <v>161</v>
      </c>
      <c r="B37" s="70" t="s">
        <v>82</v>
      </c>
      <c r="C37" s="71">
        <v>18599</v>
      </c>
      <c r="D37" s="71">
        <v>14724</v>
      </c>
    </row>
    <row r="38" spans="1:4" x14ac:dyDescent="0.25">
      <c r="A38" s="69" t="s">
        <v>162</v>
      </c>
      <c r="B38" s="70" t="s">
        <v>84</v>
      </c>
      <c r="C38" s="71"/>
      <c r="D38" s="71"/>
    </row>
    <row r="39" spans="1:4" x14ac:dyDescent="0.25">
      <c r="A39" s="69" t="s">
        <v>163</v>
      </c>
      <c r="B39" s="70" t="s">
        <v>86</v>
      </c>
      <c r="C39" s="71"/>
      <c r="D39" s="71"/>
    </row>
    <row r="40" spans="1:4" x14ac:dyDescent="0.25">
      <c r="A40" s="69" t="s">
        <v>164</v>
      </c>
      <c r="B40" s="70" t="s">
        <v>88</v>
      </c>
      <c r="C40" s="71"/>
      <c r="D40" s="71"/>
    </row>
    <row r="41" spans="1:4" x14ac:dyDescent="0.25">
      <c r="A41" s="69" t="s">
        <v>165</v>
      </c>
      <c r="B41" s="70" t="s">
        <v>90</v>
      </c>
      <c r="C41" s="71"/>
      <c r="D41" s="71"/>
    </row>
    <row r="42" spans="1:4" x14ac:dyDescent="0.25">
      <c r="A42" s="69" t="s">
        <v>158</v>
      </c>
      <c r="B42" s="70" t="s">
        <v>166</v>
      </c>
      <c r="C42" s="71"/>
      <c r="D42" s="71"/>
    </row>
    <row r="43" spans="1:4" x14ac:dyDescent="0.25">
      <c r="A43" s="69" t="s">
        <v>222</v>
      </c>
      <c r="B43" s="70" t="s">
        <v>167</v>
      </c>
      <c r="C43" s="71">
        <v>102536</v>
      </c>
      <c r="D43" s="71">
        <v>87293</v>
      </c>
    </row>
    <row r="44" spans="1:4" s="58" customFormat="1" ht="25.5" x14ac:dyDescent="0.2">
      <c r="A44" s="72" t="s">
        <v>168</v>
      </c>
      <c r="B44" s="67" t="s">
        <v>112</v>
      </c>
      <c r="C44" s="68">
        <f>C26-C35</f>
        <v>-82745</v>
      </c>
      <c r="D44" s="68">
        <f>D26-D35</f>
        <v>-59420</v>
      </c>
    </row>
    <row r="45" spans="1:4" s="58" customFormat="1" ht="14.25" x14ac:dyDescent="0.2">
      <c r="A45" s="111" t="s">
        <v>169</v>
      </c>
      <c r="B45" s="112"/>
      <c r="C45" s="112"/>
      <c r="D45" s="113"/>
    </row>
    <row r="46" spans="1:4" s="58" customFormat="1" ht="14.25" x14ac:dyDescent="0.2">
      <c r="A46" s="66" t="s">
        <v>135</v>
      </c>
      <c r="B46" s="67" t="s">
        <v>113</v>
      </c>
      <c r="C46" s="68">
        <f>SUM(C48:C51)</f>
        <v>0</v>
      </c>
      <c r="D46" s="68">
        <f>SUM(D48:D51)</f>
        <v>0</v>
      </c>
    </row>
    <row r="47" spans="1:4" x14ac:dyDescent="0.25">
      <c r="A47" s="69" t="s">
        <v>136</v>
      </c>
      <c r="B47" s="70"/>
      <c r="C47" s="71"/>
      <c r="D47" s="71"/>
    </row>
    <row r="48" spans="1:4" x14ac:dyDescent="0.25">
      <c r="A48" s="69" t="s">
        <v>170</v>
      </c>
      <c r="B48" s="70" t="s">
        <v>171</v>
      </c>
      <c r="C48" s="71"/>
      <c r="D48" s="71"/>
    </row>
    <row r="49" spans="1:4" x14ac:dyDescent="0.25">
      <c r="A49" s="69" t="s">
        <v>172</v>
      </c>
      <c r="B49" s="70" t="s">
        <v>173</v>
      </c>
      <c r="C49" s="71"/>
      <c r="D49" s="71"/>
    </row>
    <row r="50" spans="1:4" x14ac:dyDescent="0.25">
      <c r="A50" s="69" t="s">
        <v>174</v>
      </c>
      <c r="B50" s="70" t="s">
        <v>175</v>
      </c>
      <c r="C50" s="71"/>
      <c r="D50" s="71"/>
    </row>
    <row r="51" spans="1:4" x14ac:dyDescent="0.25">
      <c r="A51" s="69" t="s">
        <v>141</v>
      </c>
      <c r="B51" s="70" t="s">
        <v>176</v>
      </c>
      <c r="C51" s="71"/>
      <c r="D51" s="71"/>
    </row>
    <row r="52" spans="1:4" s="58" customFormat="1" ht="14.25" x14ac:dyDescent="0.2">
      <c r="A52" s="66" t="s">
        <v>177</v>
      </c>
      <c r="B52" s="67" t="s">
        <v>115</v>
      </c>
      <c r="C52" s="68">
        <f>SUM(C54:C57)</f>
        <v>3149032</v>
      </c>
      <c r="D52" s="68">
        <f>SUM(D54:D57)</f>
        <v>3764551</v>
      </c>
    </row>
    <row r="53" spans="1:4" s="58" customFormat="1" ht="14.25" x14ac:dyDescent="0.2">
      <c r="A53" s="69" t="s">
        <v>136</v>
      </c>
      <c r="B53" s="67"/>
      <c r="C53" s="68"/>
      <c r="D53" s="68"/>
    </row>
    <row r="54" spans="1:4" x14ac:dyDescent="0.25">
      <c r="A54" s="69" t="s">
        <v>178</v>
      </c>
      <c r="B54" s="70" t="s">
        <v>179</v>
      </c>
      <c r="C54" s="71">
        <v>891333</v>
      </c>
      <c r="D54" s="71">
        <v>891333</v>
      </c>
    </row>
    <row r="55" spans="1:4" x14ac:dyDescent="0.25">
      <c r="A55" s="69" t="s">
        <v>180</v>
      </c>
      <c r="B55" s="70" t="s">
        <v>181</v>
      </c>
      <c r="C55" s="71"/>
      <c r="D55" s="71"/>
    </row>
    <row r="56" spans="1:4" x14ac:dyDescent="0.25">
      <c r="A56" s="69" t="s">
        <v>229</v>
      </c>
      <c r="B56" s="70" t="s">
        <v>182</v>
      </c>
      <c r="C56" s="71">
        <v>1000000</v>
      </c>
      <c r="D56" s="71"/>
    </row>
    <row r="57" spans="1:4" x14ac:dyDescent="0.25">
      <c r="A57" s="69" t="s">
        <v>149</v>
      </c>
      <c r="B57" s="70" t="s">
        <v>183</v>
      </c>
      <c r="C57" s="71">
        <f>1257699</f>
        <v>1257699</v>
      </c>
      <c r="D57" s="71">
        <v>2873218</v>
      </c>
    </row>
    <row r="58" spans="1:4" s="58" customFormat="1" ht="25.5" x14ac:dyDescent="0.2">
      <c r="A58" s="72" t="s">
        <v>184</v>
      </c>
      <c r="B58" s="67" t="s">
        <v>116</v>
      </c>
      <c r="C58" s="68">
        <f>C46-C52</f>
        <v>-3149032</v>
      </c>
      <c r="D58" s="68">
        <f>D46-D52</f>
        <v>-3764551</v>
      </c>
    </row>
    <row r="59" spans="1:4" s="58" customFormat="1" ht="14.25" x14ac:dyDescent="0.2">
      <c r="A59" s="72" t="s">
        <v>230</v>
      </c>
      <c r="B59" s="67"/>
      <c r="C59" s="68">
        <v>-198</v>
      </c>
      <c r="D59" s="68"/>
    </row>
    <row r="60" spans="1:4" s="58" customFormat="1" ht="26.25" thickBot="1" x14ac:dyDescent="0.25">
      <c r="A60" s="18" t="s">
        <v>185</v>
      </c>
      <c r="B60" s="75"/>
      <c r="C60" s="68">
        <f>C24+C44+C58+C59</f>
        <v>945703</v>
      </c>
      <c r="D60" s="68">
        <f>D24+D44+D58</f>
        <v>25160</v>
      </c>
    </row>
    <row r="61" spans="1:4" s="58" customFormat="1" thickBot="1" x14ac:dyDescent="0.25">
      <c r="A61" s="19" t="s">
        <v>186</v>
      </c>
      <c r="B61" s="76"/>
      <c r="C61" s="9">
        <v>1028115</v>
      </c>
      <c r="D61" s="9">
        <v>1002955</v>
      </c>
    </row>
    <row r="62" spans="1:4" ht="15.75" thickBot="1" x14ac:dyDescent="0.3">
      <c r="A62" s="8" t="s">
        <v>187</v>
      </c>
      <c r="B62" s="77"/>
      <c r="C62" s="9">
        <f>C60+C61</f>
        <v>1973818</v>
      </c>
      <c r="D62" s="9">
        <f>D60+D61</f>
        <v>1028115</v>
      </c>
    </row>
    <row r="63" spans="1:4" x14ac:dyDescent="0.25">
      <c r="A63" s="78"/>
      <c r="B63" s="79"/>
      <c r="C63" s="78"/>
      <c r="D63" s="78"/>
    </row>
    <row r="64" spans="1:4" s="58" customFormat="1" ht="16.5" customHeight="1" x14ac:dyDescent="0.2">
      <c r="A64" s="54" t="s">
        <v>218</v>
      </c>
      <c r="B64" s="59"/>
      <c r="C64" s="58" t="str">
        <f>ОСД!D27</f>
        <v>Потлов Д.В.</v>
      </c>
    </row>
    <row r="65" spans="1:3" s="58" customFormat="1" ht="14.25" x14ac:dyDescent="0.2">
      <c r="A65" s="60" t="s">
        <v>96</v>
      </c>
      <c r="B65" s="59"/>
    </row>
    <row r="66" spans="1:3" s="58" customFormat="1" ht="14.25" x14ac:dyDescent="0.2">
      <c r="A66" s="58" t="s">
        <v>214</v>
      </c>
      <c r="B66" s="59"/>
      <c r="C66" s="58" t="s">
        <v>221</v>
      </c>
    </row>
    <row r="67" spans="1:3" x14ac:dyDescent="0.25">
      <c r="A67" s="54" t="s">
        <v>96</v>
      </c>
    </row>
  </sheetData>
  <mergeCells count="5">
    <mergeCell ref="A7:D7"/>
    <mergeCell ref="A25:D25"/>
    <mergeCell ref="A45:D45"/>
    <mergeCell ref="A3:D3"/>
    <mergeCell ref="A4:D4"/>
  </mergeCells>
  <pageMargins left="0.70866141732283472" right="0.70866141732283472" top="0.15748031496062992" bottom="0.15748031496062992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0"/>
  <sheetViews>
    <sheetView showZeros="0" tabSelected="1" zoomScale="120" zoomScaleNormal="120" zoomScaleSheetLayoutView="110" workbookViewId="0">
      <selection activeCell="A13" sqref="A13"/>
    </sheetView>
  </sheetViews>
  <sheetFormatPr defaultColWidth="9.140625" defaultRowHeight="15" x14ac:dyDescent="0.25"/>
  <cols>
    <col min="1" max="1" width="32.5703125" style="57" customWidth="1"/>
    <col min="2" max="2" width="9.140625" style="57"/>
    <col min="3" max="3" width="11.140625" style="57" customWidth="1"/>
    <col min="4" max="4" width="9.140625" style="57"/>
    <col min="5" max="5" width="15.7109375" style="57" customWidth="1"/>
    <col min="6" max="6" width="9.140625" style="57"/>
    <col min="7" max="7" width="15.42578125" style="57" customWidth="1"/>
    <col min="8" max="8" width="9.140625" style="57"/>
    <col min="9" max="9" width="12.28515625" style="57" bestFit="1" customWidth="1"/>
    <col min="10" max="16384" width="9.140625" style="57"/>
  </cols>
  <sheetData>
    <row r="1" spans="1:9" s="11" customFormat="1" ht="12.75" x14ac:dyDescent="0.2">
      <c r="A1" s="106" t="s">
        <v>234</v>
      </c>
      <c r="B1" s="107"/>
      <c r="C1" s="107"/>
      <c r="D1" s="107"/>
      <c r="E1" s="107"/>
      <c r="F1" s="107"/>
      <c r="G1" s="107"/>
      <c r="H1" s="107"/>
      <c r="I1" s="107"/>
    </row>
    <row r="2" spans="1:9" s="11" customFormat="1" ht="12.75" x14ac:dyDescent="0.2">
      <c r="A2" s="106" t="s">
        <v>238</v>
      </c>
      <c r="B2" s="107"/>
      <c r="C2" s="107"/>
      <c r="D2" s="107"/>
      <c r="E2" s="107"/>
      <c r="F2" s="107"/>
      <c r="G2" s="107"/>
      <c r="H2" s="107"/>
      <c r="I2" s="107"/>
    </row>
    <row r="3" spans="1:9" s="11" customFormat="1" ht="13.5" thickBot="1" x14ac:dyDescent="0.25">
      <c r="A3" s="1"/>
      <c r="B3" s="2"/>
      <c r="C3" s="2"/>
      <c r="H3" s="11" t="s">
        <v>97</v>
      </c>
    </row>
    <row r="4" spans="1:9" s="11" customFormat="1" ht="13.5" thickBot="1" x14ac:dyDescent="0.25">
      <c r="A4" s="118" t="s">
        <v>188</v>
      </c>
      <c r="B4" s="120" t="s">
        <v>99</v>
      </c>
      <c r="C4" s="122" t="s">
        <v>189</v>
      </c>
      <c r="D4" s="123"/>
      <c r="E4" s="123"/>
      <c r="F4" s="123"/>
      <c r="G4" s="124"/>
      <c r="H4" s="120" t="s">
        <v>194</v>
      </c>
      <c r="I4" s="120" t="s">
        <v>91</v>
      </c>
    </row>
    <row r="5" spans="1:9" s="11" customFormat="1" ht="26.25" thickBot="1" x14ac:dyDescent="0.25">
      <c r="A5" s="119"/>
      <c r="B5" s="121"/>
      <c r="C5" s="20" t="s">
        <v>79</v>
      </c>
      <c r="D5" s="20" t="s">
        <v>192</v>
      </c>
      <c r="E5" s="20" t="s">
        <v>190</v>
      </c>
      <c r="F5" s="20" t="s">
        <v>89</v>
      </c>
      <c r="G5" s="20" t="s">
        <v>193</v>
      </c>
      <c r="H5" s="121"/>
      <c r="I5" s="121"/>
    </row>
    <row r="6" spans="1:9" s="17" customFormat="1" ht="13.5" thickBot="1" x14ac:dyDescent="0.25">
      <c r="A6" s="86" t="s">
        <v>226</v>
      </c>
      <c r="B6" s="87" t="s">
        <v>7</v>
      </c>
      <c r="C6" s="81">
        <v>11861000</v>
      </c>
      <c r="D6" s="81">
        <v>0</v>
      </c>
      <c r="E6" s="81">
        <v>-33446485</v>
      </c>
      <c r="F6" s="81">
        <v>7086480</v>
      </c>
      <c r="G6" s="81">
        <f>SUM(C6:F6)</f>
        <v>-14499005</v>
      </c>
      <c r="H6" s="81"/>
      <c r="I6" s="81">
        <f>SUM(G6:H6)</f>
        <v>-14499005</v>
      </c>
    </row>
    <row r="7" spans="1:9" s="11" customFormat="1" ht="13.5" thickBot="1" x14ac:dyDescent="0.25">
      <c r="A7" s="88" t="s">
        <v>191</v>
      </c>
      <c r="B7" s="89" t="s">
        <v>24</v>
      </c>
      <c r="C7" s="90"/>
      <c r="D7" s="90"/>
      <c r="E7" s="90"/>
      <c r="F7" s="90"/>
      <c r="G7" s="81">
        <f t="shared" ref="G7:G19" si="0">SUM(C7:F7)</f>
        <v>0</v>
      </c>
      <c r="H7" s="90"/>
      <c r="I7" s="81">
        <f t="shared" ref="I7" si="1">SUM(G7:H7)</f>
        <v>0</v>
      </c>
    </row>
    <row r="8" spans="1:9" s="11" customFormat="1" ht="26.25" thickBot="1" x14ac:dyDescent="0.25">
      <c r="A8" s="88" t="s">
        <v>195</v>
      </c>
      <c r="B8" s="89" t="s">
        <v>48</v>
      </c>
      <c r="C8" s="90">
        <f>C6+C7</f>
        <v>11861000</v>
      </c>
      <c r="D8" s="90">
        <f t="shared" ref="D8:I8" si="2">D6+D7</f>
        <v>0</v>
      </c>
      <c r="E8" s="90">
        <f t="shared" si="2"/>
        <v>-33446485</v>
      </c>
      <c r="F8" s="90">
        <f t="shared" si="2"/>
        <v>7086480</v>
      </c>
      <c r="G8" s="81">
        <f t="shared" si="0"/>
        <v>-14499005</v>
      </c>
      <c r="H8" s="90">
        <f t="shared" si="2"/>
        <v>0</v>
      </c>
      <c r="I8" s="90">
        <f t="shared" si="2"/>
        <v>-14499005</v>
      </c>
    </row>
    <row r="9" spans="1:9" s="11" customFormat="1" ht="13.5" hidden="1" thickBot="1" x14ac:dyDescent="0.25">
      <c r="A9" s="88" t="s">
        <v>196</v>
      </c>
      <c r="B9" s="89" t="s">
        <v>50</v>
      </c>
      <c r="C9" s="90"/>
      <c r="D9" s="90"/>
      <c r="E9" s="90"/>
      <c r="F9" s="90"/>
      <c r="G9" s="81">
        <f t="shared" si="0"/>
        <v>0</v>
      </c>
      <c r="H9" s="90"/>
      <c r="I9" s="81">
        <f t="shared" ref="I9:I31" si="3">G9+H9</f>
        <v>0</v>
      </c>
    </row>
    <row r="10" spans="1:9" s="11" customFormat="1" ht="13.5" hidden="1" thickBot="1" x14ac:dyDescent="0.25">
      <c r="A10" s="88" t="s">
        <v>197</v>
      </c>
      <c r="B10" s="89" t="s">
        <v>52</v>
      </c>
      <c r="C10" s="90"/>
      <c r="D10" s="90"/>
      <c r="E10" s="90"/>
      <c r="F10" s="90"/>
      <c r="G10" s="81">
        <f t="shared" si="0"/>
        <v>0</v>
      </c>
      <c r="H10" s="90"/>
      <c r="I10" s="81">
        <f t="shared" si="3"/>
        <v>0</v>
      </c>
    </row>
    <row r="11" spans="1:9" s="11" customFormat="1" ht="26.25" hidden="1" thickBot="1" x14ac:dyDescent="0.25">
      <c r="A11" s="88" t="s">
        <v>198</v>
      </c>
      <c r="B11" s="89" t="s">
        <v>54</v>
      </c>
      <c r="C11" s="90"/>
      <c r="D11" s="90"/>
      <c r="E11" s="90"/>
      <c r="F11" s="90"/>
      <c r="G11" s="81">
        <f t="shared" si="0"/>
        <v>0</v>
      </c>
      <c r="H11" s="90"/>
      <c r="I11" s="81">
        <f t="shared" si="3"/>
        <v>0</v>
      </c>
    </row>
    <row r="12" spans="1:9" s="11" customFormat="1" ht="39" thickBot="1" x14ac:dyDescent="0.25">
      <c r="A12" s="88" t="s">
        <v>199</v>
      </c>
      <c r="B12" s="89" t="s">
        <v>64</v>
      </c>
      <c r="C12" s="90"/>
      <c r="D12" s="90"/>
      <c r="E12" s="90"/>
      <c r="F12" s="90"/>
      <c r="G12" s="81">
        <f t="shared" si="0"/>
        <v>0</v>
      </c>
      <c r="H12" s="90"/>
      <c r="I12" s="81">
        <f t="shared" si="3"/>
        <v>0</v>
      </c>
    </row>
    <row r="13" spans="1:9" s="11" customFormat="1" ht="26.25" thickBot="1" x14ac:dyDescent="0.25">
      <c r="A13" s="88" t="s">
        <v>239</v>
      </c>
      <c r="B13" s="89" t="s">
        <v>80</v>
      </c>
      <c r="C13" s="90"/>
      <c r="D13" s="90"/>
      <c r="E13" s="90">
        <f>ОСД!D23</f>
        <v>479958</v>
      </c>
      <c r="F13" s="90"/>
      <c r="G13" s="81">
        <f t="shared" si="0"/>
        <v>479958</v>
      </c>
      <c r="H13" s="90"/>
      <c r="I13" s="81">
        <f t="shared" si="3"/>
        <v>479958</v>
      </c>
    </row>
    <row r="14" spans="1:9" s="17" customFormat="1" ht="26.25" customHeight="1" thickBot="1" x14ac:dyDescent="0.25">
      <c r="A14" s="86" t="s">
        <v>200</v>
      </c>
      <c r="B14" s="87" t="s">
        <v>112</v>
      </c>
      <c r="C14" s="81">
        <f>C12+C13</f>
        <v>0</v>
      </c>
      <c r="D14" s="81">
        <f t="shared" ref="D14:H14" si="4">D12+D13</f>
        <v>0</v>
      </c>
      <c r="E14" s="81">
        <f t="shared" si="4"/>
        <v>479958</v>
      </c>
      <c r="F14" s="81">
        <f t="shared" si="4"/>
        <v>0</v>
      </c>
      <c r="G14" s="81">
        <f t="shared" si="0"/>
        <v>479958</v>
      </c>
      <c r="H14" s="81">
        <f t="shared" si="4"/>
        <v>0</v>
      </c>
      <c r="I14" s="81">
        <f t="shared" si="3"/>
        <v>479958</v>
      </c>
    </row>
    <row r="15" spans="1:9" s="11" customFormat="1" ht="13.5" hidden="1" thickBot="1" x14ac:dyDescent="0.25">
      <c r="A15" s="88" t="s">
        <v>201</v>
      </c>
      <c r="B15" s="89" t="s">
        <v>113</v>
      </c>
      <c r="C15" s="90"/>
      <c r="D15" s="90"/>
      <c r="E15" s="90"/>
      <c r="F15" s="90"/>
      <c r="G15" s="81">
        <f t="shared" si="0"/>
        <v>0</v>
      </c>
      <c r="H15" s="90"/>
      <c r="I15" s="81">
        <f t="shared" si="3"/>
        <v>0</v>
      </c>
    </row>
    <row r="16" spans="1:9" s="11" customFormat="1" ht="26.25" hidden="1" thickBot="1" x14ac:dyDescent="0.25">
      <c r="A16" s="88" t="s">
        <v>211</v>
      </c>
      <c r="B16" s="89"/>
      <c r="C16" s="90"/>
      <c r="D16" s="90"/>
      <c r="E16" s="90"/>
      <c r="F16" s="90"/>
      <c r="G16" s="81">
        <f t="shared" si="0"/>
        <v>0</v>
      </c>
      <c r="H16" s="90"/>
      <c r="I16" s="81">
        <f t="shared" si="3"/>
        <v>0</v>
      </c>
    </row>
    <row r="17" spans="1:9" s="11" customFormat="1" ht="13.5" hidden="1" thickBot="1" x14ac:dyDescent="0.25">
      <c r="A17" s="88" t="s">
        <v>212</v>
      </c>
      <c r="B17" s="89" t="s">
        <v>115</v>
      </c>
      <c r="C17" s="90"/>
      <c r="D17" s="90"/>
      <c r="E17" s="90"/>
      <c r="F17" s="90"/>
      <c r="G17" s="81">
        <f t="shared" si="0"/>
        <v>0</v>
      </c>
      <c r="H17" s="90"/>
      <c r="I17" s="81">
        <f t="shared" si="3"/>
        <v>0</v>
      </c>
    </row>
    <row r="18" spans="1:9" s="11" customFormat="1" ht="26.25" hidden="1" thickBot="1" x14ac:dyDescent="0.25">
      <c r="A18" s="88" t="s">
        <v>83</v>
      </c>
      <c r="B18" s="89" t="s">
        <v>116</v>
      </c>
      <c r="C18" s="90"/>
      <c r="D18" s="90"/>
      <c r="E18" s="90"/>
      <c r="F18" s="90"/>
      <c r="G18" s="81">
        <f t="shared" si="0"/>
        <v>0</v>
      </c>
      <c r="H18" s="90"/>
      <c r="I18" s="81">
        <f t="shared" si="3"/>
        <v>0</v>
      </c>
    </row>
    <row r="19" spans="1:9" s="11" customFormat="1" ht="26.25" thickBot="1" x14ac:dyDescent="0.25">
      <c r="A19" s="86" t="s">
        <v>240</v>
      </c>
      <c r="B19" s="87" t="s">
        <v>21</v>
      </c>
      <c r="C19" s="81">
        <f>C14-C15+C17-C18+C8</f>
        <v>11861000</v>
      </c>
      <c r="D19" s="81">
        <f t="shared" ref="D19:H19" si="5">D14-D15+D17-D18+D8</f>
        <v>0</v>
      </c>
      <c r="E19" s="81">
        <f t="shared" si="5"/>
        <v>-32966527</v>
      </c>
      <c r="F19" s="81">
        <f>F14-F15+F17-F18+F8+F16</f>
        <v>7086480</v>
      </c>
      <c r="G19" s="81">
        <f t="shared" si="0"/>
        <v>-14019047</v>
      </c>
      <c r="H19" s="81">
        <f t="shared" si="5"/>
        <v>0</v>
      </c>
      <c r="I19" s="81">
        <f t="shared" si="3"/>
        <v>-14019047</v>
      </c>
    </row>
    <row r="20" spans="1:9" s="17" customFormat="1" ht="13.5" thickBot="1" x14ac:dyDescent="0.25">
      <c r="A20" s="86" t="s">
        <v>227</v>
      </c>
      <c r="B20" s="87" t="s">
        <v>119</v>
      </c>
      <c r="C20" s="81">
        <v>11861000</v>
      </c>
      <c r="D20" s="81"/>
      <c r="E20" s="81">
        <v>-33728331</v>
      </c>
      <c r="F20" s="81">
        <v>7086480</v>
      </c>
      <c r="G20" s="81">
        <f>SUM(C20:F20)</f>
        <v>-14780851</v>
      </c>
      <c r="H20" s="81"/>
      <c r="I20" s="81">
        <f t="shared" si="3"/>
        <v>-14780851</v>
      </c>
    </row>
    <row r="21" spans="1:9" s="11" customFormat="1" ht="13.5" thickBot="1" x14ac:dyDescent="0.25">
      <c r="A21" s="88" t="s">
        <v>202</v>
      </c>
      <c r="B21" s="89" t="s">
        <v>121</v>
      </c>
      <c r="C21" s="90"/>
      <c r="D21" s="90"/>
      <c r="E21" s="90"/>
      <c r="F21" s="90"/>
      <c r="G21" s="81">
        <f t="shared" ref="G21:G31" si="6">SUM(C21:F21)</f>
        <v>0</v>
      </c>
      <c r="H21" s="90"/>
      <c r="I21" s="81">
        <f t="shared" si="3"/>
        <v>0</v>
      </c>
    </row>
    <row r="22" spans="1:9" s="11" customFormat="1" ht="26.25" thickBot="1" x14ac:dyDescent="0.25">
      <c r="A22" s="88" t="s">
        <v>203</v>
      </c>
      <c r="B22" s="89" t="s">
        <v>124</v>
      </c>
      <c r="C22" s="90">
        <f>C20+C21</f>
        <v>11861000</v>
      </c>
      <c r="D22" s="90">
        <f t="shared" ref="D22:I22" si="7">D20+D21</f>
        <v>0</v>
      </c>
      <c r="E22" s="90">
        <f>E20+E21</f>
        <v>-33728331</v>
      </c>
      <c r="F22" s="90">
        <f t="shared" si="7"/>
        <v>7086480</v>
      </c>
      <c r="G22" s="90">
        <f t="shared" si="7"/>
        <v>-14780851</v>
      </c>
      <c r="H22" s="90">
        <f t="shared" si="7"/>
        <v>0</v>
      </c>
      <c r="I22" s="90">
        <f t="shared" si="7"/>
        <v>-14780851</v>
      </c>
    </row>
    <row r="23" spans="1:9" s="11" customFormat="1" ht="26.25" thickBot="1" x14ac:dyDescent="0.25">
      <c r="A23" s="88" t="s">
        <v>204</v>
      </c>
      <c r="B23" s="89" t="s">
        <v>205</v>
      </c>
      <c r="C23" s="90"/>
      <c r="D23" s="90"/>
      <c r="E23" s="90"/>
      <c r="F23" s="90"/>
      <c r="G23" s="81">
        <f t="shared" si="6"/>
        <v>0</v>
      </c>
      <c r="H23" s="90"/>
      <c r="I23" s="81">
        <f t="shared" si="3"/>
        <v>0</v>
      </c>
    </row>
    <row r="24" spans="1:9" s="11" customFormat="1" ht="13.5" hidden="1" thickBot="1" x14ac:dyDescent="0.25">
      <c r="A24" s="88" t="s">
        <v>197</v>
      </c>
      <c r="B24" s="89" t="s">
        <v>206</v>
      </c>
      <c r="C24" s="90"/>
      <c r="D24" s="90"/>
      <c r="E24" s="90"/>
      <c r="F24" s="90"/>
      <c r="G24" s="81">
        <f t="shared" si="6"/>
        <v>0</v>
      </c>
      <c r="H24" s="90"/>
      <c r="I24" s="81">
        <f t="shared" si="3"/>
        <v>0</v>
      </c>
    </row>
    <row r="25" spans="1:9" s="11" customFormat="1" ht="26.25" hidden="1" thickBot="1" x14ac:dyDescent="0.25">
      <c r="A25" s="88" t="s">
        <v>207</v>
      </c>
      <c r="B25" s="89" t="s">
        <v>208</v>
      </c>
      <c r="C25" s="90"/>
      <c r="D25" s="90"/>
      <c r="E25" s="90"/>
      <c r="F25" s="90"/>
      <c r="G25" s="81">
        <f t="shared" si="6"/>
        <v>0</v>
      </c>
      <c r="H25" s="90"/>
      <c r="I25" s="81">
        <f t="shared" si="3"/>
        <v>0</v>
      </c>
    </row>
    <row r="26" spans="1:9" s="11" customFormat="1" ht="39" hidden="1" thickBot="1" x14ac:dyDescent="0.25">
      <c r="A26" s="88" t="s">
        <v>209</v>
      </c>
      <c r="B26" s="89" t="s">
        <v>125</v>
      </c>
      <c r="C26" s="90"/>
      <c r="D26" s="90"/>
      <c r="E26" s="90"/>
      <c r="F26" s="90"/>
      <c r="G26" s="81">
        <f t="shared" si="6"/>
        <v>0</v>
      </c>
      <c r="H26" s="90"/>
      <c r="I26" s="81">
        <f t="shared" si="3"/>
        <v>0</v>
      </c>
    </row>
    <row r="27" spans="1:9" s="11" customFormat="1" ht="13.5" thickBot="1" x14ac:dyDescent="0.25">
      <c r="A27" s="88" t="s">
        <v>225</v>
      </c>
      <c r="B27" s="89" t="s">
        <v>126</v>
      </c>
      <c r="C27" s="90">
        <f>C26</f>
        <v>0</v>
      </c>
      <c r="D27" s="90">
        <f t="shared" ref="D27:H27" si="8">D26</f>
        <v>0</v>
      </c>
      <c r="E27" s="90">
        <v>281846</v>
      </c>
      <c r="F27" s="90">
        <f t="shared" si="8"/>
        <v>0</v>
      </c>
      <c r="G27" s="90">
        <f>E27</f>
        <v>281846</v>
      </c>
      <c r="H27" s="90">
        <f t="shared" si="8"/>
        <v>0</v>
      </c>
      <c r="I27" s="90">
        <f t="shared" si="3"/>
        <v>281846</v>
      </c>
    </row>
    <row r="28" spans="1:9" s="11" customFormat="1" ht="26.25" thickBot="1" x14ac:dyDescent="0.25">
      <c r="A28" s="88" t="s">
        <v>210</v>
      </c>
      <c r="B28" s="89" t="s">
        <v>127</v>
      </c>
      <c r="C28" s="90">
        <f>C22+C27</f>
        <v>11861000</v>
      </c>
      <c r="D28" s="90">
        <f t="shared" ref="D28:H28" si="9">D22+D27</f>
        <v>0</v>
      </c>
      <c r="E28" s="90">
        <f>E22+E27</f>
        <v>-33446485</v>
      </c>
      <c r="F28" s="90">
        <f t="shared" si="9"/>
        <v>7086480</v>
      </c>
      <c r="G28" s="90">
        <f>SUM(C28:F28)</f>
        <v>-14499005</v>
      </c>
      <c r="H28" s="90">
        <f t="shared" si="9"/>
        <v>0</v>
      </c>
      <c r="I28" s="90">
        <f t="shared" si="3"/>
        <v>-14499005</v>
      </c>
    </row>
    <row r="29" spans="1:9" s="11" customFormat="1" ht="26.25" hidden="1" thickBot="1" x14ac:dyDescent="0.25">
      <c r="A29" s="88" t="s">
        <v>211</v>
      </c>
      <c r="B29" s="89" t="s">
        <v>128</v>
      </c>
      <c r="C29" s="90"/>
      <c r="D29" s="90"/>
      <c r="E29" s="90"/>
      <c r="F29" s="90"/>
      <c r="G29" s="81">
        <f t="shared" si="6"/>
        <v>0</v>
      </c>
      <c r="H29" s="90"/>
      <c r="I29" s="81">
        <f t="shared" si="3"/>
        <v>0</v>
      </c>
    </row>
    <row r="30" spans="1:9" s="11" customFormat="1" ht="13.5" hidden="1" thickBot="1" x14ac:dyDescent="0.25">
      <c r="A30" s="88" t="s">
        <v>212</v>
      </c>
      <c r="B30" s="89" t="s">
        <v>131</v>
      </c>
      <c r="C30" s="90"/>
      <c r="D30" s="90"/>
      <c r="E30" s="90"/>
      <c r="F30" s="90"/>
      <c r="G30" s="81">
        <f t="shared" si="6"/>
        <v>0</v>
      </c>
      <c r="H30" s="90"/>
      <c r="I30" s="81">
        <f t="shared" si="3"/>
        <v>0</v>
      </c>
    </row>
    <row r="31" spans="1:9" s="11" customFormat="1" ht="26.25" hidden="1" thickBot="1" x14ac:dyDescent="0.25">
      <c r="A31" s="88" t="s">
        <v>83</v>
      </c>
      <c r="B31" s="89" t="s">
        <v>213</v>
      </c>
      <c r="C31" s="90"/>
      <c r="D31" s="90"/>
      <c r="E31" s="90"/>
      <c r="F31" s="90"/>
      <c r="G31" s="81">
        <f t="shared" si="6"/>
        <v>0</v>
      </c>
      <c r="H31" s="90"/>
      <c r="I31" s="81">
        <f t="shared" si="3"/>
        <v>0</v>
      </c>
    </row>
    <row r="32" spans="1:9" s="11" customFormat="1" ht="26.25" thickBot="1" x14ac:dyDescent="0.25">
      <c r="A32" s="86" t="s">
        <v>228</v>
      </c>
      <c r="B32" s="87" t="s">
        <v>44</v>
      </c>
      <c r="C32" s="81">
        <f>C28-C29+C30-C31</f>
        <v>11861000</v>
      </c>
      <c r="D32" s="81">
        <f t="shared" ref="D32:I32" si="10">D28-D29+D30-D31</f>
        <v>0</v>
      </c>
      <c r="E32" s="81">
        <f t="shared" si="10"/>
        <v>-33446485</v>
      </c>
      <c r="F32" s="81">
        <f t="shared" si="10"/>
        <v>7086480</v>
      </c>
      <c r="G32" s="81">
        <f t="shared" si="10"/>
        <v>-14499005</v>
      </c>
      <c r="H32" s="81">
        <f t="shared" si="10"/>
        <v>0</v>
      </c>
      <c r="I32" s="81">
        <f t="shared" si="10"/>
        <v>-14499005</v>
      </c>
    </row>
    <row r="33" spans="1:9" s="11" customFormat="1" ht="12.75" x14ac:dyDescent="0.2">
      <c r="A33" s="97"/>
      <c r="B33" s="98"/>
      <c r="C33" s="99"/>
      <c r="D33" s="99"/>
      <c r="E33" s="99"/>
      <c r="F33" s="99"/>
      <c r="G33" s="99"/>
      <c r="H33" s="99"/>
      <c r="I33" s="99"/>
    </row>
    <row r="34" spans="1:9" s="11" customFormat="1" ht="12.75" x14ac:dyDescent="0.2">
      <c r="A34" s="21"/>
      <c r="I34" s="22"/>
    </row>
    <row r="35" spans="1:9" s="11" customFormat="1" ht="14.25" x14ac:dyDescent="0.2">
      <c r="A35" s="54" t="s">
        <v>218</v>
      </c>
      <c r="B35" s="59"/>
      <c r="C35" s="58" t="str">
        <f>ДДС!C64</f>
        <v>Потлов Д.В.</v>
      </c>
      <c r="D35" s="23"/>
      <c r="E35" s="23"/>
      <c r="F35" s="23"/>
      <c r="G35" s="23"/>
      <c r="H35" s="23"/>
      <c r="I35" s="23"/>
    </row>
    <row r="36" spans="1:9" s="11" customFormat="1" ht="14.25" x14ac:dyDescent="0.2">
      <c r="A36" s="60" t="s">
        <v>217</v>
      </c>
      <c r="B36" s="59"/>
      <c r="C36" s="17"/>
      <c r="D36" s="23"/>
      <c r="E36" s="23"/>
      <c r="F36" s="23"/>
      <c r="G36" s="23"/>
      <c r="H36" s="23"/>
      <c r="I36" s="23"/>
    </row>
    <row r="37" spans="1:9" s="11" customFormat="1" ht="14.25" x14ac:dyDescent="0.2">
      <c r="A37" s="54" t="s">
        <v>214</v>
      </c>
      <c r="B37" s="59"/>
      <c r="C37" s="58" t="s">
        <v>221</v>
      </c>
      <c r="D37" s="23"/>
      <c r="E37" s="23"/>
      <c r="F37" s="23"/>
      <c r="G37" s="23"/>
      <c r="H37" s="23"/>
      <c r="I37" s="23"/>
    </row>
    <row r="38" spans="1:9" s="11" customFormat="1" x14ac:dyDescent="0.25">
      <c r="A38" s="54" t="s">
        <v>217</v>
      </c>
      <c r="B38" s="61"/>
      <c r="C38" s="57"/>
      <c r="D38" s="23"/>
      <c r="E38" s="23"/>
      <c r="F38" s="23"/>
      <c r="G38" s="23"/>
      <c r="H38" s="23"/>
      <c r="I38" s="23"/>
    </row>
    <row r="39" spans="1:9" s="11" customFormat="1" x14ac:dyDescent="0.25">
      <c r="A39" s="57"/>
      <c r="B39" s="61"/>
      <c r="C39" s="57"/>
      <c r="D39" s="23"/>
      <c r="E39" s="23"/>
      <c r="F39" s="23"/>
      <c r="G39" s="23"/>
      <c r="H39" s="23"/>
      <c r="I39" s="23"/>
    </row>
    <row r="40" spans="1:9" s="11" customFormat="1" ht="12.75" x14ac:dyDescent="0.2">
      <c r="D40" s="23"/>
      <c r="E40" s="23"/>
      <c r="F40" s="23"/>
      <c r="G40" s="23"/>
      <c r="H40" s="23"/>
      <c r="I40" s="23"/>
    </row>
  </sheetData>
  <mergeCells count="7">
    <mergeCell ref="A1:I1"/>
    <mergeCell ref="A2:I2"/>
    <mergeCell ref="A4:A5"/>
    <mergeCell ref="B4:B5"/>
    <mergeCell ref="C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ОСД</vt:lpstr>
      <vt:lpstr>ДДС</vt:lpstr>
      <vt:lpstr>Капитал</vt:lpstr>
      <vt:lpstr>Баланс!Область_печати</vt:lpstr>
    </vt:vector>
  </TitlesOfParts>
  <Company>dtzh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User 1</cp:lastModifiedBy>
  <cp:lastPrinted>2020-05-21T07:56:34Z</cp:lastPrinted>
  <dcterms:created xsi:type="dcterms:W3CDTF">2012-05-11T11:57:39Z</dcterms:created>
  <dcterms:modified xsi:type="dcterms:W3CDTF">2020-05-21T09:48:30Z</dcterms:modified>
</cp:coreProperties>
</file>