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285" activeTab="1"/>
  </bookViews>
  <sheets>
    <sheet name="ф10 41" sheetId="4" r:id="rId1"/>
    <sheet name="ф11 41" sheetId="7" r:id="rId2"/>
  </sheets>
  <definedNames>
    <definedName name="o">#REF!</definedName>
    <definedName name="q">#REF!</definedName>
    <definedName name="вп">#REF!</definedName>
    <definedName name="_xlnm.Print_Titles" localSheetId="1">'ф11 41'!$6:$7</definedName>
    <definedName name="_xlnm.Print_Area" localSheetId="0">'ф10 41'!$A$1:$D$132</definedName>
    <definedName name="_xlnm.Print_Area" localSheetId="1">'ф11 41'!$A$1:$F$126</definedName>
    <definedName name="ф77">#REF!</definedName>
  </definedNames>
  <calcPr calcId="144525"/>
</workbook>
</file>

<file path=xl/calcChain.xml><?xml version="1.0" encoding="utf-8"?>
<calcChain xmlns="http://schemas.openxmlformats.org/spreadsheetml/2006/main">
  <c r="F102" i="7" l="1"/>
  <c r="F101" i="7"/>
  <c r="F98" i="7"/>
  <c r="F97" i="7"/>
  <c r="F96" i="7"/>
  <c r="F94" i="7"/>
  <c r="F92" i="7"/>
  <c r="F91" i="7"/>
  <c r="F83" i="7"/>
  <c r="F81" i="7"/>
  <c r="F80" i="7"/>
  <c r="F79" i="7"/>
  <c r="F78" i="7"/>
  <c r="F68" i="7"/>
  <c r="F66" i="7"/>
  <c r="F63" i="7"/>
  <c r="F57" i="7"/>
  <c r="F56" i="7"/>
  <c r="F55" i="7"/>
  <c r="F54" i="7"/>
  <c r="F44" i="7"/>
  <c r="F43" i="7"/>
  <c r="F42" i="7"/>
  <c r="F41" i="7"/>
  <c r="F37" i="7"/>
  <c r="F36" i="7"/>
  <c r="F27" i="7"/>
  <c r="F21" i="7"/>
  <c r="F8" i="7"/>
  <c r="C102" i="7"/>
  <c r="D102" i="7"/>
  <c r="D101" i="7"/>
  <c r="D100" i="7"/>
  <c r="D99" i="7"/>
  <c r="D98" i="7"/>
  <c r="D97" i="7"/>
  <c r="D96" i="7"/>
  <c r="D94" i="7"/>
  <c r="D92" i="7"/>
  <c r="D91" i="7"/>
  <c r="D81" i="7"/>
  <c r="D80" i="7"/>
  <c r="D79" i="7"/>
  <c r="D78" i="7"/>
  <c r="D68" i="7"/>
  <c r="D67" i="7"/>
  <c r="D66" i="7"/>
  <c r="D63" i="7"/>
  <c r="D62" i="7"/>
  <c r="D57" i="7"/>
  <c r="D56" i="7"/>
  <c r="D55" i="7"/>
  <c r="D54" i="7"/>
  <c r="D44" i="7"/>
  <c r="D43" i="7"/>
  <c r="D42" i="7"/>
  <c r="D41" i="7"/>
  <c r="D37" i="7"/>
  <c r="D36" i="7"/>
  <c r="D27" i="7"/>
  <c r="D25" i="7"/>
  <c r="D21" i="7"/>
  <c r="D18" i="7"/>
  <c r="D12" i="7"/>
  <c r="D8" i="7"/>
  <c r="E106" i="7" l="1"/>
  <c r="E104" i="7"/>
  <c r="E102" i="7"/>
  <c r="E101" i="7"/>
  <c r="E98" i="7"/>
  <c r="E97" i="7"/>
  <c r="E96" i="7"/>
  <c r="E94" i="7"/>
  <c r="E92" i="7"/>
  <c r="E83" i="7"/>
  <c r="E91" i="7"/>
  <c r="E81" i="7"/>
  <c r="E80" i="7"/>
  <c r="E79" i="7"/>
  <c r="E78" i="7"/>
  <c r="E70" i="7"/>
  <c r="E68" i="7"/>
  <c r="E66" i="7"/>
  <c r="E63" i="7"/>
  <c r="E62" i="7"/>
  <c r="E57" i="7"/>
  <c r="E56" i="7"/>
  <c r="E55" i="7"/>
  <c r="E54" i="7"/>
  <c r="E44" i="7"/>
  <c r="E43" i="7"/>
  <c r="E42" i="7"/>
  <c r="E41" i="7"/>
  <c r="E37" i="7"/>
  <c r="E36" i="7"/>
  <c r="E35" i="7"/>
  <c r="E27" i="7"/>
  <c r="E21" i="7"/>
  <c r="E18" i="7"/>
  <c r="E12" i="7"/>
  <c r="E8" i="7"/>
  <c r="C106" i="7"/>
  <c r="C104" i="7"/>
  <c r="C101" i="7"/>
  <c r="C99" i="7"/>
  <c r="C98" i="7"/>
  <c r="C97" i="7"/>
  <c r="C96" i="7"/>
  <c r="C94" i="7"/>
  <c r="C92" i="7"/>
  <c r="C91" i="7"/>
  <c r="C81" i="7"/>
  <c r="C80" i="7"/>
  <c r="C79" i="7"/>
  <c r="C78" i="7"/>
  <c r="C68" i="7"/>
  <c r="C66" i="7"/>
  <c r="C63" i="7"/>
  <c r="C62" i="7"/>
  <c r="C57" i="7"/>
  <c r="C56" i="7"/>
  <c r="C55" i="7"/>
  <c r="C54" i="7"/>
  <c r="C44" i="7"/>
  <c r="C43" i="7"/>
  <c r="C42" i="7"/>
  <c r="C41" i="7"/>
  <c r="C37" i="7"/>
  <c r="C36" i="7"/>
  <c r="C35" i="7"/>
  <c r="C27" i="7"/>
  <c r="C21" i="7"/>
  <c r="C18" i="7"/>
  <c r="C12" i="7"/>
  <c r="C8" i="7"/>
  <c r="D113" i="4" l="1"/>
  <c r="C113" i="4" l="1"/>
</calcChain>
</file>

<file path=xl/sharedStrings.xml><?xml version="1.0" encoding="utf-8"?>
<sst xmlns="http://schemas.openxmlformats.org/spreadsheetml/2006/main" count="550" uniqueCount="351">
  <si>
    <t>Бухгалтерский баланс</t>
  </si>
  <si>
    <t>(в тысячах тенге)</t>
  </si>
  <si>
    <t xml:space="preserve">Наименование статьи </t>
  </si>
  <si>
    <t>Код строки</t>
  </si>
  <si>
    <t>На конец отчетного периода</t>
  </si>
  <si>
    <t>На начало отчетного периода</t>
  </si>
  <si>
    <t xml:space="preserve"> 1 </t>
  </si>
  <si>
    <t>2</t>
  </si>
  <si>
    <t>3</t>
  </si>
  <si>
    <t>4</t>
  </si>
  <si>
    <t xml:space="preserve"> Активы</t>
  </si>
  <si>
    <t/>
  </si>
  <si>
    <t>Денежные средства и эквиваленты денежных средств</t>
  </si>
  <si>
    <t>1</t>
  </si>
  <si>
    <t>в том числе:</t>
  </si>
  <si>
    <t xml:space="preserve">     наличные деньги в кассе</t>
  </si>
  <si>
    <t>1.1</t>
  </si>
  <si>
    <t xml:space="preserve">     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</si>
  <si>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</si>
  <si>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</si>
  <si>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</si>
  <si>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 xml:space="preserve">     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</si>
  <si>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</si>
  <si>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</si>
  <si>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</si>
  <si>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</si>
  <si>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</si>
  <si>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</si>
  <si>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учитываемые по справедливой стоимости через прочий совокупный доход</t>
  </si>
  <si>
    <t>6</t>
  </si>
  <si>
    <t xml:space="preserve">    начисленные, но не полученные доходы в виде вознаграждения</t>
  </si>
  <si>
    <t>6.1</t>
  </si>
  <si>
    <t>Ценные бумаги, учитываемые по амортизированной стоимости (за вычетом резервов на обесценение)</t>
  </si>
  <si>
    <t>7</t>
  </si>
  <si>
    <t xml:space="preserve">  начисленные, но не полученные доходы в виде вознаграждения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</si>
  <si>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</si>
  <si>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</si>
  <si>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</si>
  <si>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</si>
  <si>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</si>
  <si>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</si>
  <si>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</si>
  <si>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</si>
  <si>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</si>
  <si>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Основные средства (за вычетом амортизации и убытков от обесценения)</t>
  </si>
  <si>
    <t>12</t>
  </si>
  <si>
    <t>Нематериальные активы (за вычетом амортизации и убытков от обесценения)</t>
  </si>
  <si>
    <t>13</t>
  </si>
  <si>
    <t xml:space="preserve">Активы в форме права пользования (за вычетом амортизации и убытков от обесценения)  </t>
  </si>
  <si>
    <t>14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</si>
  <si>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</si>
  <si>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</si>
  <si>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</si>
  <si>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</si>
  <si>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 xml:space="preserve">    от консалтинговых услуг, в том числе:</t>
  </si>
  <si>
    <t>16.1</t>
  </si>
  <si>
    <t xml:space="preserve">      аффилированным лицам</t>
  </si>
  <si>
    <t>16.1.1</t>
  </si>
  <si>
    <t xml:space="preserve">      прочим клиентам</t>
  </si>
  <si>
    <t>16.1.2</t>
  </si>
  <si>
    <t xml:space="preserve">    от услуг представителя держателей облигаций</t>
  </si>
  <si>
    <t>16.2</t>
  </si>
  <si>
    <t xml:space="preserve">    от услуг андеррайтера</t>
  </si>
  <si>
    <t>16.3</t>
  </si>
  <si>
    <t xml:space="preserve">    от брокерских услуг</t>
  </si>
  <si>
    <t>16.4</t>
  </si>
  <si>
    <t xml:space="preserve">    от управления активами</t>
  </si>
  <si>
    <t>16.5</t>
  </si>
  <si>
    <t xml:space="preserve">    от услуг маркет-мейкера</t>
  </si>
  <si>
    <t>16.6</t>
  </si>
  <si>
    <t xml:space="preserve">    от пенсионных активов</t>
  </si>
  <si>
    <t>16.7</t>
  </si>
  <si>
    <t xml:space="preserve">   от инвестиционного дохода (убытка) по пенсионным активам</t>
  </si>
  <si>
    <t>16.8</t>
  </si>
  <si>
    <t xml:space="preserve">   прочие</t>
  </si>
  <si>
    <t>16.9</t>
  </si>
  <si>
    <t>Производные финансовые инструменты</t>
  </si>
  <si>
    <t>17</t>
  </si>
  <si>
    <t xml:space="preserve">   требования по сделке фьючерсы</t>
  </si>
  <si>
    <t>17.1</t>
  </si>
  <si>
    <t xml:space="preserve">   требования по сделке форварды</t>
  </si>
  <si>
    <t>17.2</t>
  </si>
  <si>
    <t xml:space="preserve">   требования по сделке опционы</t>
  </si>
  <si>
    <t>17.3</t>
  </si>
  <si>
    <t xml:space="preserve">   требования по сделке свопы</t>
  </si>
  <si>
    <t>17.4</t>
  </si>
  <si>
    <t>Текущий налоговый актив</t>
  </si>
  <si>
    <t>18</t>
  </si>
  <si>
    <t>Отложенный налоговый актив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</si>
  <si>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</si>
  <si>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</si>
  <si>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</si>
  <si>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</si>
  <si>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</si>
  <si>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</si>
  <si>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</si>
  <si>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</si>
  <si>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«РЕПО»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</si>
  <si>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</si>
  <si>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</si>
  <si>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</si>
  <si>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</si>
  <si>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</si>
  <si>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</si>
  <si>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</si>
  <si>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</si>
  <si>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</si>
  <si>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</si>
  <si>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</si>
  <si>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</si>
  <si>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</si>
  <si>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</si>
  <si>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</si>
  <si>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 xml:space="preserve">   по переводным операциям</t>
  </si>
  <si>
    <t>30.1</t>
  </si>
  <si>
    <t xml:space="preserve">  по клиринговым операциям</t>
  </si>
  <si>
    <t>30.2</t>
  </si>
  <si>
    <t xml:space="preserve">  по кассовым операциям</t>
  </si>
  <si>
    <t>30.3</t>
  </si>
  <si>
    <t xml:space="preserve">  по сейфовым операциям</t>
  </si>
  <si>
    <t>30.4</t>
  </si>
  <si>
    <t xml:space="preserve">  по инкассации банкнот, монет и ценностей</t>
  </si>
  <si>
    <t>30.5</t>
  </si>
  <si>
    <t xml:space="preserve">  по доверительным операциям</t>
  </si>
  <si>
    <t>30.6</t>
  </si>
  <si>
    <t xml:space="preserve">  по услугам фондовой биржи</t>
  </si>
  <si>
    <t>30.7</t>
  </si>
  <si>
    <t xml:space="preserve">  по кастодиальному обслуживанию</t>
  </si>
  <si>
    <t>30.8</t>
  </si>
  <si>
    <t xml:space="preserve">  по брокерским услугам</t>
  </si>
  <si>
    <t>30.9</t>
  </si>
  <si>
    <t xml:space="preserve">  по услугам центрального депозитария</t>
  </si>
  <si>
    <t>30.10</t>
  </si>
  <si>
    <t xml:space="preserve">  по услугам иных профессиональных участников рынка ценных бумаг</t>
  </si>
  <si>
    <t>30.11</t>
  </si>
  <si>
    <t>31</t>
  </si>
  <si>
    <t xml:space="preserve">    обязательства по сделке фьючерсы</t>
  </si>
  <si>
    <t>31.1</t>
  </si>
  <si>
    <t xml:space="preserve">    обязательства по сделке форварды</t>
  </si>
  <si>
    <t>31.2</t>
  </si>
  <si>
    <t xml:space="preserve">    обязательства по сделке опционы</t>
  </si>
  <si>
    <t>31.3</t>
  </si>
  <si>
    <t xml:space="preserve">    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</si>
  <si>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</si>
  <si>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</si>
  <si>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</si>
  <si>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</si>
  <si>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</si>
  <si>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</si>
  <si>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</si>
  <si>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</si>
  <si>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</si>
  <si>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</si>
  <si>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</si>
  <si>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</si>
  <si>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</si>
  <si>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</si>
  <si>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</si>
  <si>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</si>
  <si>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</si>
  <si>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</si>
  <si>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 xml:space="preserve">     простые акции</t>
  </si>
  <si>
    <t>39.1</t>
  </si>
  <si>
    <t xml:space="preserve">     привилегированные акции</t>
  </si>
  <si>
    <t>39.2</t>
  </si>
  <si>
    <t>Премии (дополнительный оплаченный капитал)</t>
  </si>
  <si>
    <t>40</t>
  </si>
  <si>
    <t>Изъятый капитал</t>
  </si>
  <si>
    <t>41</t>
  </si>
  <si>
    <t>Резервный капитал</t>
  </si>
  <si>
    <t>42</t>
  </si>
  <si>
    <t>Резерв переоценки ценных бумаг, учитываемых по справедливой стоимости через прочий совокупный доход</t>
  </si>
  <si>
    <t>43</t>
  </si>
  <si>
    <t xml:space="preserve">Резерв обесценения ценных бумаг, учитываемых по справедливой стоимости через прочий совокупный доход </t>
  </si>
  <si>
    <t>44</t>
  </si>
  <si>
    <t>Резерв на переоценку основных средств</t>
  </si>
  <si>
    <t>45</t>
  </si>
  <si>
    <t>Прочие резервы</t>
  </si>
  <si>
    <t>46</t>
  </si>
  <si>
    <t>Нераспределенная прибыль (непокрытый убыток)</t>
  </si>
  <si>
    <t>47</t>
  </si>
  <si>
    <t xml:space="preserve">     предыдущих лет</t>
  </si>
  <si>
    <t>47.1</t>
  </si>
  <si>
    <t xml:space="preserve">     отчетного периода</t>
  </si>
  <si>
    <t>47.2</t>
  </si>
  <si>
    <t>Итого капитал</t>
  </si>
  <si>
    <t>48</t>
  </si>
  <si>
    <t>Итого капитал и обязательства (стр. 36+стр.43)</t>
  </si>
  <si>
    <t>49</t>
  </si>
  <si>
    <t>Примечание:</t>
  </si>
  <si>
    <t>Скакова Ж.А.</t>
  </si>
  <si>
    <t>Кеулимжаева А.К.</t>
  </si>
  <si>
    <t>Исполнитель</t>
  </si>
  <si>
    <t>г. Алматы пр.Аль - Фараби 110Е</t>
  </si>
  <si>
    <t>zhanna.skakova@resmi.kz</t>
  </si>
  <si>
    <t>Адрес:</t>
  </si>
  <si>
    <t>Телефон:</t>
  </si>
  <si>
    <t>Адрес электронной почты:</t>
  </si>
  <si>
    <t>266 70 77 (312)</t>
  </si>
  <si>
    <t>За период с начала текущего года (с нарастающим итогом)</t>
  </si>
  <si>
    <t xml:space="preserve">  по корреспондентским и текущим счетам</t>
  </si>
  <si>
    <t xml:space="preserve">  по операциям «обратное РЕПО»</t>
  </si>
  <si>
    <t xml:space="preserve"> Комиссионные вознаграждения</t>
  </si>
  <si>
    <t xml:space="preserve">  от консалтинговых услуг</t>
  </si>
  <si>
    <t xml:space="preserve">  по сделкам форвард</t>
  </si>
  <si>
    <t xml:space="preserve"> Прочие доходы</t>
  </si>
  <si>
    <t xml:space="preserve">   по выпущенным ценным бумагам</t>
  </si>
  <si>
    <t xml:space="preserve">   по операциям «РЕПО»</t>
  </si>
  <si>
    <t xml:space="preserve">   расходы на оплату труда и командировочные</t>
  </si>
  <si>
    <t xml:space="preserve">   неустойка (штраф, пеня)</t>
  </si>
  <si>
    <t>Корпоративный подоходный налог</t>
  </si>
  <si>
    <t>Прибыль (убыток) от прекращенной деятельности</t>
  </si>
  <si>
    <t>Наименование статей</t>
  </si>
  <si>
    <t>За отчетный период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</si>
  <si>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</si>
  <si>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</si>
  <si>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</si>
  <si>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</si>
  <si>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 по размещенным вкладам</t>
  </si>
  <si>
    <t xml:space="preserve">   по приобретенным ценным бумагам</t>
  </si>
  <si>
    <t>1.3</t>
  </si>
  <si>
    <t xml:space="preserve">   по ценным бумагам, учитываемым по справедливой стоимости через прочий совокупный доход</t>
  </si>
  <si>
    <t>1.3.1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</si>
  <si>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</si>
  <si>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1.3.1.1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</si>
  <si>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</si>
  <si>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</si>
  <si>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</si>
  <si>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</si>
  <si>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</si>
  <si>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</si>
  <si>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</si>
  <si>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</si>
  <si>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 xml:space="preserve">  по ценным бумагам, учитываемым по амортизированной стоимости  (за вычетом резервов на обесценение)</t>
  </si>
  <si>
    <t>1.3.3</t>
  </si>
  <si>
    <t xml:space="preserve">  доходы, связанные с амортизацией дисконта по ценным бумагам, учитываемым по амортизированной стоимости </t>
  </si>
  <si>
    <t>1.3.3.1</t>
  </si>
  <si>
    <t>1.4</t>
  </si>
  <si>
    <t xml:space="preserve">  прочие доходы, связанные с получением вознаграждения</t>
  </si>
  <si>
    <t>1.5</t>
  </si>
  <si>
    <t>2.1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</si>
  <si>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</si>
  <si>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</si>
  <si>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</si>
  <si>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</si>
  <si>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</si>
  <si>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</si>
  <si>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</si>
  <si>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</si>
  <si>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</si>
  <si>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</si>
  <si>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</si>
  <si>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</si>
  <si>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</si>
  <si>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</si>
  <si>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</si>
  <si>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</si>
  <si>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 xml:space="preserve">   от пенсионных активов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</si>
  <si>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</si>
  <si>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</si>
  <si>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</si>
  <si>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</si>
  <si>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</si>
  <si>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</si>
  <si>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</si>
  <si>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</si>
  <si>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</si>
  <si>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</si>
  <si>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</si>
  <si>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</si>
  <si>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</si>
  <si>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</si>
  <si>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</si>
  <si>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</si>
  <si>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</si>
  <si>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</si>
  <si>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Итого доходов</t>
  </si>
  <si>
    <t xml:space="preserve"> Расходы, связанные с выплатой вознаграждения</t>
  </si>
  <si>
    <t xml:space="preserve">  по полученным займам</t>
  </si>
  <si>
    <t>14.1</t>
  </si>
  <si>
    <t>14.2</t>
  </si>
  <si>
    <t>14.3</t>
  </si>
  <si>
    <t xml:space="preserve">  прочие расходы, связанные с выплатой вознаграждения</t>
  </si>
  <si>
    <t>14.4</t>
  </si>
  <si>
    <t xml:space="preserve"> Комиссионные расходы</t>
  </si>
  <si>
    <t xml:space="preserve">   управляющему агенту</t>
  </si>
  <si>
    <t>15.1</t>
  </si>
  <si>
    <t xml:space="preserve">   за кастодиальное обслуживание</t>
  </si>
  <si>
    <t>15.2</t>
  </si>
  <si>
    <t xml:space="preserve">   за услуги фондовой биржи</t>
  </si>
  <si>
    <t>15.3</t>
  </si>
  <si>
    <t xml:space="preserve">   за услуги центрального депозитария</t>
  </si>
  <si>
    <t>15.4</t>
  </si>
  <si>
    <t xml:space="preserve">  за брокерские услуги</t>
  </si>
  <si>
    <t>15.5</t>
  </si>
  <si>
    <t xml:space="preserve">  за прочие услуги</t>
  </si>
  <si>
    <t>15.6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</si>
  <si>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</si>
  <si>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</si>
  <si>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</si>
  <si>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</si>
  <si>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</si>
  <si>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</si>
  <si>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</si>
  <si>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</si>
  <si>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</si>
  <si>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</si>
  <si>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</si>
  <si>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</si>
  <si>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</si>
  <si>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</si>
  <si>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</si>
  <si>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</si>
  <si>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</si>
  <si>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</si>
  <si>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</si>
  <si>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</si>
  <si>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</si>
  <si>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</si>
  <si>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</si>
  <si>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</si>
  <si>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26.1</t>
  </si>
  <si>
    <t xml:space="preserve">   транспортные расходы</t>
  </si>
  <si>
    <t>26.2</t>
  </si>
  <si>
    <t xml:space="preserve">   общехозяйственные и административные расходы</t>
  </si>
  <si>
    <t>26.3</t>
  </si>
  <si>
    <t xml:space="preserve">   амортизационные отчисления и износ</t>
  </si>
  <si>
    <t>26.4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</si>
  <si>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</si>
  <si>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26.5</t>
  </si>
  <si>
    <t>26.6</t>
  </si>
  <si>
    <t>Прочие расходы</t>
  </si>
  <si>
    <t xml:space="preserve">Итого расходов </t>
  </si>
  <si>
    <t xml:space="preserve">Чистая прибыль (убыток) до уплаты корпоративного подоходного налога </t>
  </si>
  <si>
    <t xml:space="preserve">Чистая прибыль (убыток) после уплаты корпоративного подоходного налога </t>
  </si>
  <si>
    <t xml:space="preserve">Итого чистая прибыль (убыток) за период </t>
  </si>
  <si>
    <t xml:space="preserve">Отчет о прибылях и убытках </t>
  </si>
  <si>
    <t>Примечание</t>
  </si>
  <si>
    <t xml:space="preserve">Наименование </t>
  </si>
  <si>
    <t>АО "ИФД "RESMI"</t>
  </si>
  <si>
    <t>Адрес</t>
  </si>
  <si>
    <t>Телефон</t>
  </si>
  <si>
    <t>Адрес электронной почты</t>
  </si>
  <si>
    <t>Главный бухгалтер</t>
  </si>
  <si>
    <t xml:space="preserve">Руководитель или лицо, исполняющее его обязанности </t>
  </si>
  <si>
    <t>Дата</t>
  </si>
  <si>
    <t>Наименование:</t>
  </si>
  <si>
    <t>Исполнитель:</t>
  </si>
  <si>
    <t>-</t>
  </si>
  <si>
    <t>1 января 2021 года</t>
  </si>
  <si>
    <t>1января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</si>
</sst>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-* #,##0_-;\-* #,##0_-;_-* &quot;-&quot;??_-;_-@_-"/>
    <numFmt numFmtId="166" formatCode="#,##0_ ;[Red]\-#,##0\ "/>
    <numFmt numFmtId="167" formatCode="_([$€]* #,##0.00_);_([$€]* \(#,##0.00\);_([$€]* &quot;-&quot;??_);_(@_)"/>
    <numFmt numFmtId="168" formatCode="_-* #,##0.00_K_Z_T_-;\-* #,##0.00_K_Z_T_-;_-* &quot;-&quot;??_K_Z_T_-;_-@_-"/>
    <numFmt numFmtId="169" formatCode="_(* #,##0.00_);_(* \(#,##0.00\);_(* &quot;-&quot;??_);_(@_)"/>
    <numFmt numFmtId="170" formatCode="_-* #,##0.00_р_._-;\-* #,##0.00_р_._-;_-* &quot;-&quot;??_р_._-;_-@_-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8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b/>
      <i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8"/>
      <color rgb="FF000000"/>
      <name val="Arial Narrow"/>
      <family val="2"/>
      <charset val="204"/>
    </font>
    <font>
      <sz val="10"/>
      <color theme="0"/>
      <name val="Times New Roman"/>
      <family val="1"/>
      <charset val="204"/>
    </font>
    <font>
      <sz val="1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name val="Arial Cyr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name val="Helv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Times New Roman"/>
      <family val="1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2" fillId="0" borderId="0">
      <alignment horizontal="center" vertical="top"/>
    </xf>
    <xf numFmtId="0" fontId="5" fillId="0" borderId="0">
      <alignment horizontal="left" vertical="top"/>
    </xf>
    <xf numFmtId="0" fontId="5" fillId="0" borderId="0">
      <alignment horizontal="left" vertical="top"/>
    </xf>
    <xf numFmtId="0" fontId="7" fillId="0" borderId="0">
      <alignment horizontal="center" vertical="top"/>
    </xf>
    <xf numFmtId="0" fontId="9" fillId="0" borderId="0">
      <alignment horizontal="left" vertical="top"/>
    </xf>
    <xf numFmtId="0" fontId="7" fillId="0" borderId="0">
      <alignment horizontal="left" vertical="top"/>
    </xf>
    <xf numFmtId="164" fontId="1" fillId="0" borderId="0" applyFont="0" applyFill="0" applyBorder="0" applyAlignment="0" applyProtection="0"/>
    <xf numFmtId="0" fontId="5" fillId="0" borderId="0">
      <alignment horizontal="right" vertical="top"/>
    </xf>
    <xf numFmtId="0" fontId="13" fillId="0" borderId="0">
      <alignment horizontal="left" vertical="top"/>
    </xf>
    <xf numFmtId="167" fontId="15" fillId="0" borderId="0" applyFont="0" applyFill="0" applyBorder="0" applyAlignment="0" applyProtection="0"/>
    <xf numFmtId="0" fontId="5" fillId="0" borderId="0">
      <alignment horizontal="right" vertical="top"/>
    </xf>
    <xf numFmtId="0" fontId="5" fillId="0" borderId="0">
      <alignment horizontal="left" vertical="top"/>
    </xf>
    <xf numFmtId="0" fontId="5" fillId="0" borderId="0">
      <alignment horizontal="center" vertical="top"/>
    </xf>
    <xf numFmtId="0" fontId="5" fillId="0" borderId="0">
      <alignment horizontal="right" vertical="top"/>
    </xf>
    <xf numFmtId="0" fontId="9" fillId="0" borderId="0">
      <alignment horizontal="left" vertical="top"/>
    </xf>
    <xf numFmtId="0" fontId="16" fillId="0" borderId="0">
      <alignment horizontal="left" vertical="top"/>
    </xf>
    <xf numFmtId="0" fontId="2" fillId="0" borderId="0">
      <alignment horizontal="center" vertical="top"/>
    </xf>
    <xf numFmtId="0" fontId="7" fillId="0" borderId="0">
      <alignment horizontal="center" vertical="top"/>
    </xf>
    <xf numFmtId="0" fontId="5" fillId="0" borderId="0">
      <alignment horizontal="center" vertical="top"/>
    </xf>
    <xf numFmtId="0" fontId="7" fillId="0" borderId="0">
      <alignment horizontal="left" vertical="top"/>
    </xf>
    <xf numFmtId="0" fontId="5" fillId="0" borderId="0">
      <alignment horizontal="left" vertical="top"/>
    </xf>
    <xf numFmtId="0" fontId="5" fillId="0" borderId="0">
      <alignment horizontal="left" vertical="top"/>
    </xf>
    <xf numFmtId="0" fontId="2" fillId="0" borderId="0">
      <alignment horizontal="center"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9" applyNumberFormat="0" applyAlignment="0" applyProtection="0"/>
    <xf numFmtId="0" fontId="19" fillId="9" borderId="20" applyNumberFormat="0" applyAlignment="0" applyProtection="0"/>
    <xf numFmtId="0" fontId="20" fillId="9" borderId="19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21" applyNumberFormat="0" applyFill="0" applyAlignment="0" applyProtection="0"/>
    <xf numFmtId="0" fontId="23" fillId="0" borderId="22" applyNumberFormat="0" applyFill="0" applyAlignment="0" applyProtection="0"/>
    <xf numFmtId="0" fontId="24" fillId="0" borderId="2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24" applyNumberFormat="0" applyFill="0" applyAlignment="0" applyProtection="0"/>
    <xf numFmtId="0" fontId="26" fillId="10" borderId="25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5" fillId="0" borderId="0"/>
    <xf numFmtId="0" fontId="15" fillId="0" borderId="0"/>
    <xf numFmtId="0" fontId="29" fillId="0" borderId="0"/>
    <xf numFmtId="0" fontId="29" fillId="0" borderId="0"/>
    <xf numFmtId="0" fontId="15" fillId="0" borderId="0"/>
    <xf numFmtId="0" fontId="30" fillId="0" borderId="0"/>
    <xf numFmtId="0" fontId="15" fillId="0" borderId="0"/>
    <xf numFmtId="0" fontId="31" fillId="0" borderId="0"/>
    <xf numFmtId="0" fontId="29" fillId="0" borderId="0"/>
    <xf numFmtId="0" fontId="1" fillId="0" borderId="0"/>
    <xf numFmtId="0" fontId="15" fillId="0" borderId="0"/>
    <xf numFmtId="0" fontId="32" fillId="12" borderId="0" applyNumberFormat="0" applyBorder="0" applyAlignment="0" applyProtection="0"/>
    <xf numFmtId="0" fontId="33" fillId="0" borderId="0" applyNumberFormat="0" applyFill="0" applyBorder="0" applyAlignment="0" applyProtection="0"/>
    <xf numFmtId="0" fontId="15" fillId="13" borderId="26" applyNumberFormat="0" applyFont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4" fillId="0" borderId="27" applyNumberFormat="0" applyFill="0" applyAlignment="0" applyProtection="0"/>
    <xf numFmtId="0" fontId="35" fillId="0" borderId="0"/>
    <xf numFmtId="0" fontId="36" fillId="0" borderId="0" applyNumberFormat="0" applyFill="0" applyBorder="0" applyAlignment="0" applyProtection="0"/>
    <xf numFmtId="168" fontId="2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37" fillId="14" borderId="0" applyNumberFormat="0" applyBorder="0" applyAlignment="0" applyProtection="0"/>
    <xf numFmtId="0" fontId="39" fillId="0" borderId="0" applyNumberFormat="0" applyFill="0" applyBorder="0" applyAlignment="0" applyProtection="0"/>
  </cellStyleXfs>
  <cellXfs count="113">
    <xf numFmtId="0" fontId="0" fillId="0" borderId="0" xfId="0"/>
    <xf numFmtId="0" fontId="4" fillId="0" borderId="0" xfId="0" applyFont="1" applyFill="1"/>
    <xf numFmtId="0" fontId="6" fillId="0" borderId="0" xfId="3" quotePrefix="1" applyFont="1" applyFill="1" applyAlignment="1">
      <alignment horizontal="left" vertical="top" wrapText="1"/>
    </xf>
    <xf numFmtId="0" fontId="3" fillId="0" borderId="2" xfId="4" quotePrefix="1" applyFont="1" applyFill="1" applyBorder="1" applyAlignment="1">
      <alignment horizontal="center" vertical="top" wrapText="1"/>
    </xf>
    <xf numFmtId="0" fontId="3" fillId="0" borderId="1" xfId="4" quotePrefix="1" applyFont="1" applyFill="1" applyBorder="1" applyAlignment="1">
      <alignment horizontal="center" vertical="top" wrapText="1"/>
    </xf>
    <xf numFmtId="0" fontId="3" fillId="0" borderId="3" xfId="4" quotePrefix="1" applyFont="1" applyFill="1" applyBorder="1" applyAlignment="1">
      <alignment horizontal="center" vertical="top" wrapText="1"/>
    </xf>
    <xf numFmtId="0" fontId="8" fillId="0" borderId="2" xfId="4" quotePrefix="1" applyFont="1" applyFill="1" applyBorder="1" applyAlignment="1">
      <alignment horizontal="center" vertical="top" wrapText="1"/>
    </xf>
    <xf numFmtId="0" fontId="8" fillId="0" borderId="1" xfId="4" quotePrefix="1" applyFont="1" applyFill="1" applyBorder="1" applyAlignment="1">
      <alignment horizontal="center" vertical="top" wrapText="1"/>
    </xf>
    <xf numFmtId="0" fontId="8" fillId="0" borderId="3" xfId="4" quotePrefix="1" applyFont="1" applyFill="1" applyBorder="1" applyAlignment="1">
      <alignment horizontal="center" vertical="top" wrapText="1"/>
    </xf>
    <xf numFmtId="0" fontId="10" fillId="0" borderId="2" xfId="5" quotePrefix="1" applyFont="1" applyFill="1" applyBorder="1" applyAlignment="1">
      <alignment horizontal="left" vertical="top" wrapText="1"/>
    </xf>
    <xf numFmtId="0" fontId="3" fillId="0" borderId="2" xfId="6" quotePrefix="1" applyFont="1" applyFill="1" applyBorder="1" applyAlignment="1">
      <alignment horizontal="left" vertical="top" wrapText="1"/>
    </xf>
    <xf numFmtId="0" fontId="3" fillId="0" borderId="3" xfId="6" quotePrefix="1" applyFont="1" applyFill="1" applyBorder="1" applyAlignment="1">
      <alignment horizontal="left" vertical="top" wrapText="1"/>
    </xf>
    <xf numFmtId="0" fontId="6" fillId="0" borderId="2" xfId="2" quotePrefix="1" applyFont="1" applyFill="1" applyBorder="1" applyAlignment="1">
      <alignment horizontal="left" vertical="top" wrapText="1"/>
    </xf>
    <xf numFmtId="165" fontId="6" fillId="0" borderId="2" xfId="7" applyNumberFormat="1" applyFont="1" applyFill="1" applyBorder="1" applyAlignment="1">
      <alignment horizontal="right" vertical="top" wrapText="1"/>
    </xf>
    <xf numFmtId="165" fontId="3" fillId="0" borderId="2" xfId="7" quotePrefix="1" applyNumberFormat="1" applyFont="1" applyFill="1" applyBorder="1" applyAlignment="1">
      <alignment horizontal="left" vertical="top" wrapText="1"/>
    </xf>
    <xf numFmtId="165" fontId="3" fillId="0" borderId="3" xfId="7" quotePrefix="1" applyNumberFormat="1" applyFont="1" applyFill="1" applyBorder="1" applyAlignment="1">
      <alignment horizontal="left" vertical="top" wrapText="1"/>
    </xf>
    <xf numFmtId="165" fontId="6" fillId="0" borderId="3" xfId="7" applyNumberFormat="1" applyFont="1" applyFill="1" applyBorder="1" applyAlignment="1">
      <alignment horizontal="right" vertical="top" wrapText="1"/>
    </xf>
    <xf numFmtId="4" fontId="4" fillId="0" borderId="0" xfId="0" applyNumberFormat="1" applyFont="1" applyFill="1"/>
    <xf numFmtId="166" fontId="6" fillId="0" borderId="2" xfId="8" applyNumberFormat="1" applyFont="1" applyFill="1" applyBorder="1" applyAlignment="1">
      <alignment horizontal="right" vertical="top" wrapText="1"/>
    </xf>
    <xf numFmtId="3" fontId="6" fillId="0" borderId="2" xfId="8" applyNumberFormat="1" applyFont="1" applyFill="1" applyBorder="1" applyAlignment="1">
      <alignment horizontal="right" vertical="top" wrapText="1"/>
    </xf>
    <xf numFmtId="38" fontId="6" fillId="0" borderId="2" xfId="8" applyNumberFormat="1" applyFont="1" applyFill="1" applyBorder="1" applyAlignment="1">
      <alignment horizontal="right" vertical="top" wrapText="1"/>
    </xf>
    <xf numFmtId="3" fontId="4" fillId="0" borderId="0" xfId="0" applyNumberFormat="1" applyFont="1" applyFill="1"/>
    <xf numFmtId="0" fontId="6" fillId="0" borderId="4" xfId="2" quotePrefix="1" applyFont="1" applyFill="1" applyBorder="1" applyAlignment="1">
      <alignment horizontal="left" vertical="top" wrapText="1"/>
    </xf>
    <xf numFmtId="0" fontId="8" fillId="0" borderId="5" xfId="4" quotePrefix="1" applyFont="1" applyFill="1" applyBorder="1" applyAlignment="1">
      <alignment horizontal="center" vertical="top" wrapText="1"/>
    </xf>
    <xf numFmtId="0" fontId="3" fillId="0" borderId="6" xfId="6" quotePrefix="1" applyFont="1" applyFill="1" applyBorder="1" applyAlignment="1">
      <alignment horizontal="left" vertical="top" wrapText="1"/>
    </xf>
    <xf numFmtId="0" fontId="3" fillId="0" borderId="7" xfId="6" quotePrefix="1" applyFont="1" applyFill="1" applyBorder="1" applyAlignment="1">
      <alignment horizontal="left" vertical="top" wrapText="1"/>
    </xf>
    <xf numFmtId="0" fontId="6" fillId="0" borderId="6" xfId="2" quotePrefix="1" applyFont="1" applyFill="1" applyBorder="1" applyAlignment="1">
      <alignment horizontal="left" vertical="top" wrapText="1"/>
    </xf>
    <xf numFmtId="0" fontId="8" fillId="0" borderId="8" xfId="4" quotePrefix="1" applyFont="1" applyFill="1" applyBorder="1" applyAlignment="1">
      <alignment horizontal="center" vertical="top" wrapText="1"/>
    </xf>
    <xf numFmtId="0" fontId="8" fillId="0" borderId="9" xfId="4" quotePrefix="1" applyFont="1" applyFill="1" applyBorder="1" applyAlignment="1">
      <alignment horizontal="center" vertical="top" wrapText="1"/>
    </xf>
    <xf numFmtId="3" fontId="6" fillId="0" borderId="6" xfId="8" applyNumberFormat="1" applyFont="1" applyFill="1" applyBorder="1" applyAlignment="1">
      <alignment horizontal="right" vertical="top" wrapText="1"/>
    </xf>
    <xf numFmtId="3" fontId="12" fillId="0" borderId="0" xfId="0" applyNumberFormat="1" applyFont="1" applyFill="1"/>
    <xf numFmtId="0" fontId="10" fillId="0" borderId="6" xfId="5" quotePrefix="1" applyFont="1" applyFill="1" applyBorder="1" applyAlignment="1">
      <alignment horizontal="left" vertical="top" wrapText="1"/>
    </xf>
    <xf numFmtId="165" fontId="4" fillId="0" borderId="0" xfId="0" applyNumberFormat="1" applyFont="1" applyFill="1"/>
    <xf numFmtId="0" fontId="6" fillId="0" borderId="10" xfId="2" quotePrefix="1" applyFont="1" applyFill="1" applyBorder="1" applyAlignment="1">
      <alignment horizontal="left" vertical="top" wrapText="1"/>
    </xf>
    <xf numFmtId="0" fontId="3" fillId="0" borderId="10" xfId="6" quotePrefix="1" applyFont="1" applyFill="1" applyBorder="1" applyAlignment="1">
      <alignment horizontal="left" vertical="top" wrapText="1"/>
    </xf>
    <xf numFmtId="0" fontId="3" fillId="0" borderId="11" xfId="6" quotePrefix="1" applyFont="1" applyFill="1" applyBorder="1" applyAlignment="1">
      <alignment horizontal="left" vertical="top" wrapText="1"/>
    </xf>
    <xf numFmtId="0" fontId="8" fillId="0" borderId="12" xfId="4" quotePrefix="1" applyFont="1" applyFill="1" applyBorder="1" applyAlignment="1">
      <alignment horizontal="center" vertical="top" wrapText="1"/>
    </xf>
    <xf numFmtId="3" fontId="6" fillId="0" borderId="10" xfId="8" applyNumberFormat="1" applyFont="1" applyFill="1" applyBorder="1" applyAlignment="1">
      <alignment horizontal="right" vertical="top" wrapText="1"/>
    </xf>
    <xf numFmtId="4" fontId="11" fillId="0" borderId="0" xfId="0" applyNumberFormat="1" applyFont="1" applyFill="1"/>
    <xf numFmtId="0" fontId="10" fillId="0" borderId="10" xfId="5" quotePrefix="1" applyFont="1" applyFill="1" applyBorder="1" applyAlignment="1">
      <alignment horizontal="left" vertical="top" wrapText="1"/>
    </xf>
    <xf numFmtId="0" fontId="10" fillId="0" borderId="10" xfId="9" quotePrefix="1" applyFont="1" applyFill="1" applyBorder="1" applyAlignment="1">
      <alignment horizontal="left" vertical="top" wrapText="1"/>
    </xf>
    <xf numFmtId="0" fontId="6" fillId="0" borderId="13" xfId="2" quotePrefix="1" applyFont="1" applyFill="1" applyBorder="1" applyAlignment="1">
      <alignment horizontal="left" vertical="top" wrapText="1"/>
    </xf>
    <xf numFmtId="0" fontId="8" fillId="0" borderId="14" xfId="4" quotePrefix="1" applyFont="1" applyFill="1" applyBorder="1" applyAlignment="1">
      <alignment horizontal="center" vertical="top" wrapText="1"/>
    </xf>
    <xf numFmtId="0" fontId="6" fillId="0" borderId="15" xfId="2" quotePrefix="1" applyFont="1" applyFill="1" applyBorder="1" applyAlignment="1">
      <alignment horizontal="left" vertical="top" wrapText="1"/>
    </xf>
    <xf numFmtId="0" fontId="8" fillId="0" borderId="16" xfId="4" quotePrefix="1" applyFont="1" applyFill="1" applyBorder="1" applyAlignment="1">
      <alignment horizontal="center" vertical="top" wrapText="1"/>
    </xf>
    <xf numFmtId="0" fontId="8" fillId="0" borderId="15" xfId="4" quotePrefix="1" applyFont="1" applyFill="1" applyBorder="1" applyAlignment="1">
      <alignment horizontal="center" vertical="top" wrapText="1"/>
    </xf>
    <xf numFmtId="0" fontId="3" fillId="0" borderId="15" xfId="6" quotePrefix="1" applyFont="1" applyFill="1" applyBorder="1" applyAlignment="1">
      <alignment horizontal="left" vertical="top" wrapText="1"/>
    </xf>
    <xf numFmtId="0" fontId="10" fillId="0" borderId="15" xfId="5" quotePrefix="1" applyFont="1" applyFill="1" applyBorder="1" applyAlignment="1">
      <alignment horizontal="left" vertical="top" wrapText="1"/>
    </xf>
    <xf numFmtId="165" fontId="14" fillId="0" borderId="0" xfId="0" applyNumberFormat="1" applyFont="1" applyFill="1"/>
    <xf numFmtId="0" fontId="3" fillId="0" borderId="29" xfId="6" quotePrefix="1" applyFont="1" applyFill="1" applyBorder="1" applyAlignment="1">
      <alignment horizontal="left" vertical="top" wrapText="1"/>
    </xf>
    <xf numFmtId="165" fontId="6" fillId="0" borderId="28" xfId="7" applyNumberFormat="1" applyFont="1" applyFill="1" applyBorder="1" applyAlignment="1">
      <alignment horizontal="right" vertical="top" wrapText="1"/>
    </xf>
    <xf numFmtId="3" fontId="6" fillId="0" borderId="28" xfId="8" applyNumberFormat="1" applyFont="1" applyFill="1" applyBorder="1" applyAlignment="1">
      <alignment horizontal="right" vertical="top" wrapText="1"/>
    </xf>
    <xf numFmtId="3" fontId="11" fillId="0" borderId="28" xfId="8" applyNumberFormat="1" applyFont="1" applyFill="1" applyBorder="1" applyAlignment="1">
      <alignment horizontal="right" vertical="top" wrapText="1"/>
    </xf>
    <xf numFmtId="0" fontId="3" fillId="0" borderId="28" xfId="6" quotePrefix="1" applyFont="1" applyFill="1" applyBorder="1" applyAlignment="1">
      <alignment horizontal="left" vertical="top" wrapText="1"/>
    </xf>
    <xf numFmtId="3" fontId="6" fillId="0" borderId="29" xfId="8" applyNumberFormat="1" applyFont="1" applyFill="1" applyBorder="1" applyAlignment="1">
      <alignment horizontal="right" vertical="top" wrapText="1"/>
    </xf>
    <xf numFmtId="165" fontId="6" fillId="0" borderId="30" xfId="7" applyNumberFormat="1" applyFont="1" applyFill="1" applyBorder="1" applyAlignment="1">
      <alignment horizontal="right" vertical="top" wrapText="1"/>
    </xf>
    <xf numFmtId="3" fontId="6" fillId="0" borderId="31" xfId="8" applyNumberFormat="1" applyFont="1" applyFill="1" applyBorder="1" applyAlignment="1">
      <alignment horizontal="right" vertical="top" wrapText="1"/>
    </xf>
    <xf numFmtId="0" fontId="38" fillId="0" borderId="0" xfId="42" applyFont="1"/>
    <xf numFmtId="0" fontId="11" fillId="0" borderId="0" xfId="43" applyFont="1" applyFill="1" applyBorder="1" applyAlignment="1" applyProtection="1">
      <alignment horizontal="left" vertical="center" wrapText="1"/>
    </xf>
    <xf numFmtId="0" fontId="15" fillId="0" borderId="0" xfId="42" applyFont="1" applyFill="1" applyBorder="1" applyAlignment="1" applyProtection="1">
      <alignment horizontal="left"/>
      <protection locked="0"/>
    </xf>
    <xf numFmtId="14" fontId="38" fillId="0" borderId="0" xfId="42" applyNumberFormat="1" applyFont="1"/>
    <xf numFmtId="0" fontId="38" fillId="0" borderId="0" xfId="43" applyFont="1" applyFill="1" applyBorder="1" applyAlignment="1" applyProtection="1">
      <alignment vertical="center" wrapText="1"/>
    </xf>
    <xf numFmtId="3" fontId="41" fillId="0" borderId="28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5" fillId="0" borderId="0" xfId="3" quotePrefix="1" applyAlignment="1">
      <alignment horizontal="left" vertical="top" wrapText="1"/>
    </xf>
    <xf numFmtId="3" fontId="0" fillId="0" borderId="0" xfId="0" applyNumberFormat="1" applyAlignment="1">
      <alignment wrapText="1"/>
    </xf>
    <xf numFmtId="0" fontId="11" fillId="0" borderId="0" xfId="43" applyFont="1" applyFill="1" applyBorder="1" applyAlignment="1" applyProtection="1">
      <alignment vertical="center" wrapText="1"/>
    </xf>
    <xf numFmtId="0" fontId="4" fillId="0" borderId="0" xfId="0" applyFont="1" applyFill="1" applyBorder="1"/>
    <xf numFmtId="0" fontId="5" fillId="0" borderId="0" xfId="12" quotePrefix="1" applyBorder="1" applyAlignment="1">
      <alignment vertical="top" wrapText="1"/>
    </xf>
    <xf numFmtId="0" fontId="0" fillId="0" borderId="0" xfId="0" applyBorder="1" applyAlignment="1">
      <alignment wrapText="1"/>
    </xf>
    <xf numFmtId="1" fontId="0" fillId="0" borderId="0" xfId="0" applyNumberFormat="1" applyAlignment="1">
      <alignment wrapText="1"/>
    </xf>
    <xf numFmtId="3" fontId="40" fillId="0" borderId="0" xfId="0" applyNumberFormat="1" applyFont="1" applyAlignment="1">
      <alignment wrapText="1"/>
    </xf>
    <xf numFmtId="0" fontId="5" fillId="0" borderId="28" xfId="13" quotePrefix="1" applyBorder="1" applyAlignment="1">
      <alignment horizontal="center" vertical="top" wrapText="1"/>
    </xf>
    <xf numFmtId="0" fontId="5" fillId="0" borderId="28" xfId="12" quotePrefix="1" applyBorder="1" applyAlignment="1">
      <alignment horizontal="left" vertical="top" wrapText="1"/>
    </xf>
    <xf numFmtId="0" fontId="7" fillId="0" borderId="28" xfId="18" quotePrefix="1" applyBorder="1" applyAlignment="1">
      <alignment horizontal="center" vertical="top" wrapText="1"/>
    </xf>
    <xf numFmtId="3" fontId="5" fillId="0" borderId="28" xfId="11" applyNumberFormat="1" applyBorder="1" applyAlignment="1">
      <alignment horizontal="right" vertical="top" wrapText="1"/>
    </xf>
    <xf numFmtId="0" fontId="16" fillId="0" borderId="28" xfId="16" quotePrefix="1" applyBorder="1" applyAlignment="1">
      <alignment horizontal="left" vertical="top" wrapText="1"/>
    </xf>
    <xf numFmtId="3" fontId="7" fillId="0" borderId="28" xfId="20" quotePrefix="1" applyNumberFormat="1" applyBorder="1" applyAlignment="1">
      <alignment horizontal="left" vertical="top" wrapText="1"/>
    </xf>
    <xf numFmtId="0" fontId="7" fillId="0" borderId="28" xfId="20" quotePrefix="1" applyBorder="1" applyAlignment="1">
      <alignment horizontal="left" vertical="top" wrapText="1"/>
    </xf>
    <xf numFmtId="3" fontId="7" fillId="0" borderId="28" xfId="11" applyNumberFormat="1" applyFont="1" applyBorder="1" applyAlignment="1">
      <alignment horizontal="right" vertical="top" wrapText="1"/>
    </xf>
    <xf numFmtId="165" fontId="3" fillId="0" borderId="6" xfId="7" applyNumberFormat="1" applyFont="1" applyFill="1" applyBorder="1" applyAlignment="1">
      <alignment horizontal="right" vertical="top" wrapText="1"/>
    </xf>
    <xf numFmtId="165" fontId="3" fillId="0" borderId="3" xfId="7" applyNumberFormat="1" applyFont="1" applyFill="1" applyBorder="1" applyAlignment="1">
      <alignment horizontal="right" vertical="top" wrapText="1"/>
    </xf>
    <xf numFmtId="3" fontId="3" fillId="0" borderId="10" xfId="8" applyNumberFormat="1" applyFont="1" applyFill="1" applyBorder="1" applyAlignment="1">
      <alignment horizontal="right" vertical="top" wrapText="1"/>
    </xf>
    <xf numFmtId="0" fontId="5" fillId="0" borderId="0" xfId="3" quotePrefix="1" applyAlignment="1">
      <alignment horizontal="left" vertical="top" wrapText="1"/>
    </xf>
    <xf numFmtId="0" fontId="0" fillId="0" borderId="0" xfId="0" applyAlignment="1">
      <alignment vertical="top" wrapText="1"/>
    </xf>
    <xf numFmtId="0" fontId="5" fillId="0" borderId="33" xfId="12" quotePrefix="1" applyBorder="1" applyAlignment="1">
      <alignment horizontal="left" vertical="top" wrapText="1"/>
    </xf>
    <xf numFmtId="0" fontId="5" fillId="0" borderId="34" xfId="12" quotePrefix="1" applyBorder="1" applyAlignment="1">
      <alignment horizontal="left" vertical="top" wrapText="1"/>
    </xf>
    <xf numFmtId="0" fontId="0" fillId="0" borderId="32" xfId="0" applyBorder="1" applyAlignment="1">
      <alignment vertical="top" wrapText="1"/>
    </xf>
    <xf numFmtId="0" fontId="39" fillId="0" borderId="9" xfId="72" quotePrefix="1" applyBorder="1" applyAlignment="1">
      <alignment horizontal="left" vertical="top" wrapText="1"/>
    </xf>
    <xf numFmtId="0" fontId="0" fillId="0" borderId="18" xfId="0" applyBorder="1" applyAlignment="1">
      <alignment vertical="top" wrapText="1"/>
    </xf>
    <xf numFmtId="0" fontId="3" fillId="0" borderId="0" xfId="1" quotePrefix="1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6" fillId="0" borderId="0" xfId="3" quotePrefix="1" applyFont="1" applyFill="1" applyAlignment="1">
      <alignment horizontal="left" vertical="top" wrapText="1"/>
    </xf>
    <xf numFmtId="0" fontId="6" fillId="0" borderId="17" xfId="2" quotePrefix="1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vertical="top" wrapText="1"/>
    </xf>
    <xf numFmtId="0" fontId="5" fillId="0" borderId="9" xfId="12" quotePrefix="1" applyBorder="1" applyAlignment="1">
      <alignment horizontal="left" vertical="top" wrapText="1"/>
    </xf>
    <xf numFmtId="0" fontId="0" fillId="0" borderId="14" xfId="0" applyBorder="1" applyAlignment="1">
      <alignment vertical="top" wrapText="1"/>
    </xf>
    <xf numFmtId="0" fontId="2" fillId="0" borderId="0" xfId="23" quotePrefix="1" applyAlignment="1">
      <alignment horizontal="center" vertical="top" wrapText="1"/>
    </xf>
    <xf numFmtId="0" fontId="0" fillId="15" borderId="0" xfId="0" applyFill="1" applyAlignment="1">
      <alignment wrapText="1"/>
    </xf>
    <xf numFmtId="0" fontId="5" fillId="15" borderId="28" xfId="13" quotePrefix="1" applyFill="1" applyBorder="1" applyAlignment="1">
      <alignment horizontal="center" vertical="top" wrapText="1"/>
    </xf>
    <xf numFmtId="3" fontId="5" fillId="15" borderId="28" xfId="11" applyNumberFormat="1" applyFill="1" applyBorder="1" applyAlignment="1">
      <alignment horizontal="right" vertical="top" wrapText="1"/>
    </xf>
    <xf numFmtId="3" fontId="7" fillId="15" borderId="28" xfId="20" quotePrefix="1" applyNumberFormat="1" applyFill="1" applyBorder="1" applyAlignment="1">
      <alignment horizontal="left" vertical="top" wrapText="1"/>
    </xf>
    <xf numFmtId="165" fontId="6" fillId="15" borderId="3" xfId="7" applyNumberFormat="1" applyFont="1" applyFill="1" applyBorder="1" applyAlignment="1">
      <alignment horizontal="right" vertical="top" wrapText="1"/>
    </xf>
    <xf numFmtId="3" fontId="41" fillId="15" borderId="28" xfId="0" applyNumberFormat="1" applyFont="1" applyFill="1" applyBorder="1" applyAlignment="1">
      <alignment horizontal="right"/>
    </xf>
    <xf numFmtId="3" fontId="7" fillId="15" borderId="28" xfId="11" applyNumberFormat="1" applyFont="1" applyFill="1" applyBorder="1" applyAlignment="1">
      <alignment horizontal="right" vertical="top" wrapText="1"/>
    </xf>
    <xf numFmtId="3" fontId="0" fillId="15" borderId="0" xfId="0" applyNumberFormat="1" applyFill="1" applyAlignment="1">
      <alignment wrapText="1"/>
    </xf>
    <xf numFmtId="0" fontId="5" fillId="15" borderId="9" xfId="12" quotePrefix="1" applyFill="1" applyBorder="1" applyAlignment="1">
      <alignment horizontal="left" vertical="top" wrapText="1"/>
    </xf>
    <xf numFmtId="0" fontId="0" fillId="15" borderId="14" xfId="0" applyFill="1" applyBorder="1" applyAlignment="1">
      <alignment vertical="top" wrapText="1"/>
    </xf>
    <xf numFmtId="0" fontId="0" fillId="15" borderId="18" xfId="0" applyFill="1" applyBorder="1" applyAlignment="1">
      <alignment vertical="top" wrapText="1"/>
    </xf>
    <xf numFmtId="0" fontId="5" fillId="15" borderId="0" xfId="3" quotePrefix="1" applyFill="1" applyAlignment="1">
      <alignment horizontal="left" vertical="top" wrapText="1"/>
    </xf>
    <xf numFmtId="0" fontId="0" fillId="15" borderId="0" xfId="0" applyFill="1" applyAlignment="1">
      <alignment vertical="top" wrapText="1"/>
    </xf>
    <xf numFmtId="0" fontId="39" fillId="15" borderId="9" xfId="72" quotePrefix="1" applyFill="1" applyBorder="1" applyAlignment="1">
      <alignment horizontal="left" vertical="top" wrapText="1"/>
    </xf>
    <xf numFmtId="0" fontId="5" fillId="15" borderId="0" xfId="3" quotePrefix="1" applyFill="1" applyAlignment="1">
      <alignment horizontal="left" vertical="top" wrapText="1"/>
    </xf>
  </cellXfs>
  <cellStyles count="73">
    <cellStyle name="Euro" xfId="10"/>
    <cellStyle name="S0" xfId="2"/>
    <cellStyle name="S0 2" xfId="11"/>
    <cellStyle name="S1" xfId="3"/>
    <cellStyle name="S2" xfId="8"/>
    <cellStyle name="S2 2" xfId="12"/>
    <cellStyle name="S3" xfId="1"/>
    <cellStyle name="S3 2" xfId="13"/>
    <cellStyle name="S3 3" xfId="14"/>
    <cellStyle name="S4" xfId="4"/>
    <cellStyle name="S4 2" xfId="15"/>
    <cellStyle name="S5" xfId="5"/>
    <cellStyle name="S5 2" xfId="16"/>
    <cellStyle name="S5 3" xfId="17"/>
    <cellStyle name="S6" xfId="6"/>
    <cellStyle name="S6 2" xfId="18"/>
    <cellStyle name="S6 3" xfId="19"/>
    <cellStyle name="S7" xfId="9"/>
    <cellStyle name="S7 2" xfId="20"/>
    <cellStyle name="S7 3" xfId="21"/>
    <cellStyle name="S8" xfId="22"/>
    <cellStyle name="S8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Гиперссылка" xfId="72" builtinId="8"/>
    <cellStyle name="Гиперссылка 2" xfId="33"/>
    <cellStyle name="Заголовок 1 2" xfId="34"/>
    <cellStyle name="Заголовок 2 2" xfId="35"/>
    <cellStyle name="Заголовок 3 2" xfId="36"/>
    <cellStyle name="Заголовок 4 2" xfId="37"/>
    <cellStyle name="Итог 2" xfId="38"/>
    <cellStyle name="Контрольная ячейка 2" xfId="39"/>
    <cellStyle name="Название 2" xfId="40"/>
    <cellStyle name="Нейтральный 2" xfId="41"/>
    <cellStyle name="Обычный" xfId="0" builtinId="0"/>
    <cellStyle name="Обычный 2" xfId="42"/>
    <cellStyle name="Обычный 2 2" xfId="43"/>
    <cellStyle name="Обычный 2 3" xfId="44"/>
    <cellStyle name="Обычный 2 4" xfId="45"/>
    <cellStyle name="Обычный 2 5" xfId="46"/>
    <cellStyle name="Обычный 2 6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Плохой 2" xfId="53"/>
    <cellStyle name="Пояснение 2" xfId="54"/>
    <cellStyle name="Примечание 2" xfId="55"/>
    <cellStyle name="Процентный 2" xfId="56"/>
    <cellStyle name="Процентный 3" xfId="57"/>
    <cellStyle name="Связанная ячейка 2" xfId="58"/>
    <cellStyle name="Стиль 1" xfId="59"/>
    <cellStyle name="Текст предупреждения 2" xfId="60"/>
    <cellStyle name="Финансовый 2" xfId="7"/>
    <cellStyle name="Финансовый 2 2" xfId="61"/>
    <cellStyle name="Финансовый 3" xfId="62"/>
    <cellStyle name="Финансовый 3 2" xfId="63"/>
    <cellStyle name="Финансовый 4" xfId="64"/>
    <cellStyle name="Финансовый 5" xfId="65"/>
    <cellStyle name="Финансовый 6" xfId="66"/>
    <cellStyle name="Финансовый 7" xfId="67"/>
    <cellStyle name="Финансовый 8" xfId="68"/>
    <cellStyle name="Финансовый 8 2" xfId="69"/>
    <cellStyle name="Финансовый 9" xfId="70"/>
    <cellStyle name="Хороший 2" xfId="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hanna.skakova@resmi.k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hanna.skakova@resmi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J135"/>
  <sheetViews>
    <sheetView view="pageBreakPreview" topLeftCell="A112" zoomScaleNormal="100" zoomScaleSheetLayoutView="100" workbookViewId="0">
      <selection activeCell="C130" sqref="C130:D130"/>
    </sheetView>
  </sheetViews>
  <sheetFormatPr defaultRowHeight="12.75" x14ac:dyDescent="0.2"/>
  <cols>
    <col min="1" max="1" width="68.140625" style="1" customWidth="1"/>
    <col min="2" max="2" width="9.140625" style="1"/>
    <col min="3" max="4" width="17.7109375" style="1" customWidth="1"/>
    <col min="5" max="5" width="9.140625" style="1"/>
    <col min="6" max="6" width="10.28515625" style="1" bestFit="1" customWidth="1"/>
    <col min="7" max="7" width="9.140625" style="1"/>
    <col min="8" max="8" width="10.28515625" style="1" bestFit="1" customWidth="1"/>
    <col min="9" max="16384" width="9.140625" style="1"/>
  </cols>
  <sheetData>
    <row r="1" spans="1:10" ht="21.75" customHeight="1" x14ac:dyDescent="0.2">
      <c r="A1" s="90" t="s">
        <v>0</v>
      </c>
      <c r="B1" s="91"/>
      <c r="C1" s="91"/>
      <c r="D1" s="91"/>
    </row>
    <row r="4" spans="1:10" x14ac:dyDescent="0.2">
      <c r="A4" s="92" t="s">
        <v>349</v>
      </c>
      <c r="B4" s="92"/>
      <c r="C4" s="92"/>
      <c r="D4" s="92"/>
    </row>
    <row r="5" spans="1:10" x14ac:dyDescent="0.2">
      <c r="D5" s="2" t="s">
        <v>1</v>
      </c>
    </row>
    <row r="6" spans="1:10" ht="25.5" x14ac:dyDescent="0.2">
      <c r="A6" s="3" t="s">
        <v>2</v>
      </c>
      <c r="B6" s="4" t="s">
        <v>3</v>
      </c>
      <c r="C6" s="3" t="s">
        <v>4</v>
      </c>
      <c r="D6" s="5" t="s">
        <v>5</v>
      </c>
    </row>
    <row r="7" spans="1:10" x14ac:dyDescent="0.2">
      <c r="A7" s="6" t="s">
        <v>6</v>
      </c>
      <c r="B7" s="7" t="s">
        <v>7</v>
      </c>
      <c r="C7" s="6" t="s">
        <v>8</v>
      </c>
      <c r="D7" s="8" t="s">
        <v>9</v>
      </c>
    </row>
    <row r="8" spans="1:10" ht="18.75" customHeight="1" x14ac:dyDescent="0.2">
      <c r="A8" s="9" t="s">
        <v>10</v>
      </c>
      <c r="B8" s="7" t="s">
        <v>11</v>
      </c>
      <c r="C8" s="10" t="s">
        <v>11</v>
      </c>
      <c r="D8" s="11" t="s">
        <v>11</v>
      </c>
    </row>
    <row r="9" spans="1:10" ht="18.75" customHeight="1" x14ac:dyDescent="0.2">
      <c r="A9" s="12" t="s">
        <v>12</v>
      </c>
      <c r="B9" s="7" t="s">
        <v>13</v>
      </c>
      <c r="C9" s="13">
        <v>359978</v>
      </c>
      <c r="D9" s="13">
        <v>9746</v>
      </c>
      <c r="F9" s="17"/>
      <c r="H9" s="17"/>
      <c r="I9" s="17"/>
      <c r="J9" s="17"/>
    </row>
    <row r="10" spans="1:10" ht="18.75" customHeight="1" x14ac:dyDescent="0.2">
      <c r="A10" s="12" t="s">
        <v>14</v>
      </c>
      <c r="B10" s="7" t="s">
        <v>11</v>
      </c>
      <c r="C10" s="14" t="s">
        <v>11</v>
      </c>
      <c r="D10" s="15" t="s">
        <v>11</v>
      </c>
      <c r="I10" s="17"/>
      <c r="J10" s="17"/>
    </row>
    <row r="11" spans="1:10" ht="18.75" customHeight="1" x14ac:dyDescent="0.2">
      <c r="A11" s="12" t="s">
        <v>15</v>
      </c>
      <c r="B11" s="7" t="s">
        <v>16</v>
      </c>
      <c r="C11" s="13">
        <v>148</v>
      </c>
      <c r="D11" s="16">
        <v>161</v>
      </c>
      <c r="F11" s="17"/>
      <c r="H11" s="17"/>
      <c r="I11" s="17"/>
      <c r="J11" s="17"/>
    </row>
    <row r="12" spans="1:10" ht="29.25" customHeight="1" x14ac:dyDescent="0.2">
      <c r="A12" s="12" t="s">
        <v>17</v>
      </c>
      <c r="B12" s="7" t="s">
        <v>18</v>
      </c>
      <c r="C12" s="13">
        <v>359830</v>
      </c>
      <c r="D12" s="16">
        <v>9585</v>
      </c>
      <c r="F12" s="17"/>
      <c r="H12" s="17"/>
      <c r="I12" s="17"/>
      <c r="J12" s="17"/>
    </row>
    <row r="13" spans="1:10" ht="18.75" customHeight="1" x14ac:dyDescent="0.2">
      <c r="A13" s="12" t="s">
        <v>19</v>
      </c>
      <c r="B13" s="7" t="s">
        <v>7</v>
      </c>
      <c r="C13" s="50">
        <v>0</v>
      </c>
      <c r="D13" s="50">
        <v>0</v>
      </c>
      <c r="I13" s="17"/>
      <c r="J13" s="17"/>
    </row>
    <row r="14" spans="1:10" ht="18.75" customHeight="1" x14ac:dyDescent="0.2">
      <c r="A14" s="12" t="s">
        <v>20</v>
      </c>
      <c r="B14" s="7" t="s">
        <v>8</v>
      </c>
      <c r="C14" s="50">
        <v>0</v>
      </c>
      <c r="D14" s="50">
        <v>0</v>
      </c>
      <c r="I14" s="17"/>
      <c r="J14" s="17"/>
    </row>
    <row r="15" spans="1:10" ht="18.75" customHeight="1" x14ac:dyDescent="0.2">
      <c r="A15" s="12" t="s">
        <v>14</v>
      </c>
      <c r="B15" s="7" t="s">
        <v>11</v>
      </c>
      <c r="C15" s="50" t="s">
        <v>11</v>
      </c>
      <c r="D15" s="50" t="s">
        <v>11</v>
      </c>
      <c r="I15" s="17"/>
      <c r="J15" s="17"/>
    </row>
    <row r="16" spans="1:10" ht="18.75" customHeight="1" x14ac:dyDescent="0.2">
      <c r="A16" s="12" t="s">
        <v>21</v>
      </c>
      <c r="B16" s="7" t="s">
        <v>22</v>
      </c>
      <c r="C16" s="50">
        <v>0</v>
      </c>
      <c r="D16" s="50">
        <v>0</v>
      </c>
      <c r="I16" s="17"/>
      <c r="J16" s="17"/>
    </row>
    <row r="17" spans="1:10" ht="18.75" customHeight="1" x14ac:dyDescent="0.2">
      <c r="A17" s="12" t="s">
        <v>23</v>
      </c>
      <c r="B17" s="7" t="s">
        <v>9</v>
      </c>
      <c r="C17" s="50">
        <v>0</v>
      </c>
      <c r="D17" s="50">
        <v>0</v>
      </c>
      <c r="I17" s="17"/>
      <c r="J17" s="17"/>
    </row>
    <row r="18" spans="1:10" ht="18.75" customHeight="1" x14ac:dyDescent="0.2">
      <c r="A18" s="12" t="s">
        <v>14</v>
      </c>
      <c r="B18" s="7" t="s">
        <v>11</v>
      </c>
      <c r="C18" s="50" t="s">
        <v>11</v>
      </c>
      <c r="D18" s="50" t="s">
        <v>11</v>
      </c>
      <c r="I18" s="17"/>
      <c r="J18" s="17"/>
    </row>
    <row r="19" spans="1:10" ht="18.75" customHeight="1" x14ac:dyDescent="0.2">
      <c r="A19" s="12" t="s">
        <v>21</v>
      </c>
      <c r="B19" s="7" t="s">
        <v>24</v>
      </c>
      <c r="C19" s="50">
        <v>0</v>
      </c>
      <c r="D19" s="50">
        <v>0</v>
      </c>
      <c r="I19" s="17"/>
      <c r="J19" s="17"/>
    </row>
    <row r="20" spans="1:10" ht="26.25" customHeight="1" x14ac:dyDescent="0.2">
      <c r="A20" s="12" t="s">
        <v>25</v>
      </c>
      <c r="B20" s="7" t="s">
        <v>26</v>
      </c>
      <c r="C20" s="18">
        <v>85864</v>
      </c>
      <c r="D20" s="16">
        <v>466774</v>
      </c>
      <c r="F20" s="17"/>
      <c r="H20" s="17"/>
      <c r="I20" s="17"/>
      <c r="J20" s="17"/>
    </row>
    <row r="21" spans="1:10" ht="18.75" customHeight="1" x14ac:dyDescent="0.2">
      <c r="A21" s="12" t="s">
        <v>14</v>
      </c>
      <c r="B21" s="7" t="s">
        <v>11</v>
      </c>
      <c r="C21" s="10" t="s">
        <v>11</v>
      </c>
      <c r="D21" s="11" t="s">
        <v>11</v>
      </c>
      <c r="I21" s="17"/>
      <c r="J21" s="17"/>
    </row>
    <row r="22" spans="1:10" ht="18.75" customHeight="1" x14ac:dyDescent="0.2">
      <c r="A22" s="12" t="s">
        <v>21</v>
      </c>
      <c r="B22" s="7" t="s">
        <v>27</v>
      </c>
      <c r="C22" s="13">
        <v>1451</v>
      </c>
      <c r="D22" s="16">
        <v>1292</v>
      </c>
      <c r="F22" s="17"/>
      <c r="H22" s="17"/>
      <c r="I22" s="17"/>
      <c r="J22" s="17"/>
    </row>
    <row r="23" spans="1:10" ht="24" customHeight="1" x14ac:dyDescent="0.2">
      <c r="A23" s="12" t="s">
        <v>28</v>
      </c>
      <c r="B23" s="7" t="s">
        <v>29</v>
      </c>
      <c r="C23" s="50">
        <v>0</v>
      </c>
      <c r="D23" s="50">
        <v>0</v>
      </c>
      <c r="I23" s="17"/>
      <c r="J23" s="17"/>
    </row>
    <row r="24" spans="1:10" ht="18.75" customHeight="1" x14ac:dyDescent="0.2">
      <c r="A24" s="12" t="s">
        <v>14</v>
      </c>
      <c r="B24" s="7" t="s">
        <v>11</v>
      </c>
      <c r="C24" s="50" t="s">
        <v>11</v>
      </c>
      <c r="D24" s="50" t="s">
        <v>11</v>
      </c>
      <c r="I24" s="17"/>
      <c r="J24" s="17"/>
    </row>
    <row r="25" spans="1:10" ht="18.75" customHeight="1" x14ac:dyDescent="0.2">
      <c r="A25" s="12" t="s">
        <v>30</v>
      </c>
      <c r="B25" s="7" t="s">
        <v>31</v>
      </c>
      <c r="C25" s="50">
        <v>0</v>
      </c>
      <c r="D25" s="50">
        <v>0</v>
      </c>
      <c r="I25" s="17"/>
      <c r="J25" s="17"/>
    </row>
    <row r="26" spans="1:10" ht="24.75" customHeight="1" x14ac:dyDescent="0.2">
      <c r="A26" s="12" t="s">
        <v>32</v>
      </c>
      <c r="B26" s="7" t="s">
        <v>33</v>
      </c>
      <c r="C26" s="50">
        <v>0</v>
      </c>
      <c r="D26" s="50">
        <v>0</v>
      </c>
      <c r="I26" s="17"/>
      <c r="J26" s="17"/>
    </row>
    <row r="27" spans="1:10" ht="18.75" customHeight="1" x14ac:dyDescent="0.2">
      <c r="A27" s="12" t="s">
        <v>14</v>
      </c>
      <c r="B27" s="7" t="s">
        <v>11</v>
      </c>
      <c r="C27" s="10" t="s">
        <v>11</v>
      </c>
      <c r="D27" s="11" t="s">
        <v>11</v>
      </c>
      <c r="I27" s="17"/>
      <c r="J27" s="17"/>
    </row>
    <row r="28" spans="1:10" ht="18.75" customHeight="1" x14ac:dyDescent="0.2">
      <c r="A28" s="12" t="s">
        <v>34</v>
      </c>
      <c r="B28" s="7" t="s">
        <v>35</v>
      </c>
      <c r="C28" s="50">
        <v>0</v>
      </c>
      <c r="D28" s="50">
        <v>0</v>
      </c>
      <c r="I28" s="17"/>
      <c r="J28" s="17"/>
    </row>
    <row r="29" spans="1:10" ht="18.75" customHeight="1" x14ac:dyDescent="0.2">
      <c r="A29" s="12" t="s">
        <v>36</v>
      </c>
      <c r="B29" s="7" t="s">
        <v>37</v>
      </c>
      <c r="C29" s="50">
        <v>0</v>
      </c>
      <c r="D29" s="50">
        <v>0</v>
      </c>
      <c r="I29" s="17"/>
      <c r="J29" s="17"/>
    </row>
    <row r="30" spans="1:10" ht="18.75" customHeight="1" x14ac:dyDescent="0.2">
      <c r="A30" s="12" t="s">
        <v>38</v>
      </c>
      <c r="B30" s="7" t="s">
        <v>39</v>
      </c>
      <c r="C30" s="50">
        <v>0</v>
      </c>
      <c r="D30" s="50">
        <v>0</v>
      </c>
      <c r="I30" s="17"/>
      <c r="J30" s="17"/>
    </row>
    <row r="31" spans="1:10" ht="18.75" customHeight="1" x14ac:dyDescent="0.2">
      <c r="A31" s="12" t="s">
        <v>40</v>
      </c>
      <c r="B31" s="7" t="s">
        <v>41</v>
      </c>
      <c r="C31" s="56">
        <v>3</v>
      </c>
      <c r="D31" s="56">
        <v>916</v>
      </c>
      <c r="F31" s="17"/>
      <c r="H31" s="17"/>
      <c r="I31" s="17"/>
      <c r="J31" s="17"/>
    </row>
    <row r="32" spans="1:10" ht="18.75" customHeight="1" x14ac:dyDescent="0.2">
      <c r="A32" s="12" t="s">
        <v>42</v>
      </c>
      <c r="B32" s="7" t="s">
        <v>43</v>
      </c>
      <c r="C32" s="50">
        <v>0</v>
      </c>
      <c r="D32" s="50">
        <v>0</v>
      </c>
      <c r="I32" s="17"/>
      <c r="J32" s="17"/>
    </row>
    <row r="33" spans="1:10" ht="18.75" customHeight="1" x14ac:dyDescent="0.2">
      <c r="A33" s="12" t="s">
        <v>44</v>
      </c>
      <c r="B33" s="7" t="s">
        <v>45</v>
      </c>
      <c r="C33" s="20">
        <v>1055</v>
      </c>
      <c r="D33" s="16">
        <v>1242</v>
      </c>
      <c r="F33" s="17"/>
      <c r="H33" s="17"/>
      <c r="I33" s="17"/>
      <c r="J33" s="17"/>
    </row>
    <row r="34" spans="1:10" ht="28.5" customHeight="1" x14ac:dyDescent="0.2">
      <c r="A34" s="12" t="s">
        <v>46</v>
      </c>
      <c r="B34" s="7" t="s">
        <v>47</v>
      </c>
      <c r="C34" s="20">
        <v>736</v>
      </c>
      <c r="D34" s="16">
        <v>946</v>
      </c>
      <c r="F34" s="17"/>
      <c r="H34" s="17"/>
      <c r="I34" s="17"/>
      <c r="J34" s="17"/>
    </row>
    <row r="35" spans="1:10" ht="24.75" customHeight="1" x14ac:dyDescent="0.2">
      <c r="A35" s="12" t="s">
        <v>48</v>
      </c>
      <c r="B35" s="7" t="s">
        <v>49</v>
      </c>
      <c r="C35" s="20"/>
      <c r="D35" s="16"/>
      <c r="I35" s="17"/>
      <c r="J35" s="17"/>
    </row>
    <row r="36" spans="1:10" ht="18.75" customHeight="1" x14ac:dyDescent="0.2">
      <c r="A36" s="12" t="s">
        <v>50</v>
      </c>
      <c r="B36" s="7" t="s">
        <v>51</v>
      </c>
      <c r="C36" s="19">
        <v>2186</v>
      </c>
      <c r="D36" s="16">
        <v>5381</v>
      </c>
      <c r="F36" s="17"/>
      <c r="H36" s="17"/>
      <c r="I36" s="17"/>
      <c r="J36" s="17"/>
    </row>
    <row r="37" spans="1:10" ht="18.75" customHeight="1" x14ac:dyDescent="0.2">
      <c r="A37" s="12" t="s">
        <v>52</v>
      </c>
      <c r="B37" s="7" t="s">
        <v>53</v>
      </c>
      <c r="C37" s="19">
        <v>1765</v>
      </c>
      <c r="D37" s="16">
        <v>1566</v>
      </c>
      <c r="F37" s="17"/>
      <c r="H37" s="17"/>
      <c r="I37" s="17"/>
      <c r="J37" s="17"/>
    </row>
    <row r="38" spans="1:10" ht="18.75" customHeight="1" x14ac:dyDescent="0.2">
      <c r="A38" s="22" t="s">
        <v>14</v>
      </c>
      <c r="B38" s="23" t="s">
        <v>11</v>
      </c>
      <c r="C38" s="24" t="s">
        <v>11</v>
      </c>
      <c r="D38" s="25" t="s">
        <v>11</v>
      </c>
      <c r="I38" s="17"/>
      <c r="J38" s="17"/>
    </row>
    <row r="39" spans="1:10" ht="18.75" customHeight="1" x14ac:dyDescent="0.2">
      <c r="A39" s="26" t="s">
        <v>54</v>
      </c>
      <c r="B39" s="27" t="s">
        <v>55</v>
      </c>
      <c r="C39" s="50">
        <v>0</v>
      </c>
      <c r="D39" s="50">
        <v>0</v>
      </c>
      <c r="I39" s="17"/>
      <c r="J39" s="17"/>
    </row>
    <row r="40" spans="1:10" ht="18.75" customHeight="1" x14ac:dyDescent="0.2">
      <c r="A40" s="26" t="s">
        <v>56</v>
      </c>
      <c r="B40" s="28" t="s">
        <v>57</v>
      </c>
      <c r="C40" s="50">
        <v>0</v>
      </c>
      <c r="D40" s="50">
        <v>0</v>
      </c>
      <c r="I40" s="17"/>
      <c r="J40" s="17"/>
    </row>
    <row r="41" spans="1:10" ht="18.75" customHeight="1" x14ac:dyDescent="0.2">
      <c r="A41" s="26" t="s">
        <v>58</v>
      </c>
      <c r="B41" s="28" t="s">
        <v>59</v>
      </c>
      <c r="C41" s="50">
        <v>0</v>
      </c>
      <c r="D41" s="50">
        <v>0</v>
      </c>
      <c r="I41" s="17"/>
      <c r="J41" s="17"/>
    </row>
    <row r="42" spans="1:10" ht="18.75" customHeight="1" x14ac:dyDescent="0.2">
      <c r="A42" s="26" t="s">
        <v>60</v>
      </c>
      <c r="B42" s="28" t="s">
        <v>61</v>
      </c>
      <c r="C42" s="50">
        <v>0</v>
      </c>
      <c r="D42" s="50">
        <v>0</v>
      </c>
      <c r="I42" s="17"/>
      <c r="J42" s="17"/>
    </row>
    <row r="43" spans="1:10" ht="18.75" customHeight="1" x14ac:dyDescent="0.2">
      <c r="A43" s="26" t="s">
        <v>62</v>
      </c>
      <c r="B43" s="28" t="s">
        <v>63</v>
      </c>
      <c r="C43" s="50">
        <v>0</v>
      </c>
      <c r="D43" s="50">
        <v>0</v>
      </c>
      <c r="I43" s="17"/>
      <c r="J43" s="17"/>
    </row>
    <row r="44" spans="1:10" ht="18.75" customHeight="1" x14ac:dyDescent="0.2">
      <c r="A44" s="26" t="s">
        <v>64</v>
      </c>
      <c r="B44" s="28" t="s">
        <v>65</v>
      </c>
      <c r="C44" s="29">
        <v>910</v>
      </c>
      <c r="D44" s="16">
        <v>686</v>
      </c>
      <c r="F44" s="17"/>
      <c r="H44" s="17"/>
      <c r="I44" s="17"/>
      <c r="J44" s="17"/>
    </row>
    <row r="45" spans="1:10" ht="18.75" customHeight="1" x14ac:dyDescent="0.2">
      <c r="A45" s="26" t="s">
        <v>66</v>
      </c>
      <c r="B45" s="28" t="s">
        <v>67</v>
      </c>
      <c r="C45" s="29">
        <v>675</v>
      </c>
      <c r="D45" s="16">
        <v>675</v>
      </c>
      <c r="F45" s="17"/>
      <c r="H45" s="17"/>
      <c r="I45" s="17"/>
      <c r="J45" s="17"/>
    </row>
    <row r="46" spans="1:10" ht="18.75" customHeight="1" x14ac:dyDescent="0.2">
      <c r="A46" s="26" t="s">
        <v>68</v>
      </c>
      <c r="B46" s="28" t="s">
        <v>69</v>
      </c>
      <c r="C46" s="54">
        <v>180</v>
      </c>
      <c r="D46" s="55">
        <v>205</v>
      </c>
      <c r="F46" s="17"/>
      <c r="H46" s="17"/>
      <c r="I46" s="17"/>
      <c r="J46" s="17"/>
    </row>
    <row r="47" spans="1:10" ht="18.75" customHeight="1" x14ac:dyDescent="0.2">
      <c r="A47" s="26" t="s">
        <v>70</v>
      </c>
      <c r="B47" s="28" t="s">
        <v>71</v>
      </c>
      <c r="C47" s="50">
        <v>0</v>
      </c>
      <c r="D47" s="50">
        <v>0</v>
      </c>
      <c r="I47" s="17"/>
      <c r="J47" s="17"/>
    </row>
    <row r="48" spans="1:10" ht="18.75" customHeight="1" x14ac:dyDescent="0.2">
      <c r="A48" s="26" t="s">
        <v>72</v>
      </c>
      <c r="B48" s="28" t="s">
        <v>73</v>
      </c>
      <c r="C48" s="50">
        <v>0</v>
      </c>
      <c r="D48" s="50">
        <v>0</v>
      </c>
      <c r="I48" s="17"/>
      <c r="J48" s="17"/>
    </row>
    <row r="49" spans="1:10" ht="18.75" customHeight="1" x14ac:dyDescent="0.2">
      <c r="A49" s="26" t="s">
        <v>74</v>
      </c>
      <c r="B49" s="28" t="s">
        <v>75</v>
      </c>
      <c r="C49" s="50">
        <v>0</v>
      </c>
      <c r="D49" s="50">
        <v>0</v>
      </c>
      <c r="I49" s="17"/>
      <c r="J49" s="17"/>
    </row>
    <row r="50" spans="1:10" ht="18.75" customHeight="1" x14ac:dyDescent="0.2">
      <c r="A50" s="26" t="s">
        <v>76</v>
      </c>
      <c r="B50" s="28" t="s">
        <v>77</v>
      </c>
      <c r="C50" s="50">
        <v>0</v>
      </c>
      <c r="D50" s="50">
        <v>0</v>
      </c>
      <c r="I50" s="17"/>
      <c r="J50" s="17"/>
    </row>
    <row r="51" spans="1:10" ht="18.75" customHeight="1" x14ac:dyDescent="0.2">
      <c r="A51" s="26" t="s">
        <v>14</v>
      </c>
      <c r="B51" s="28" t="s">
        <v>11</v>
      </c>
      <c r="C51" s="50" t="s">
        <v>11</v>
      </c>
      <c r="D51" s="50" t="s">
        <v>11</v>
      </c>
      <c r="I51" s="17"/>
      <c r="J51" s="17"/>
    </row>
    <row r="52" spans="1:10" ht="18.75" customHeight="1" x14ac:dyDescent="0.2">
      <c r="A52" s="26" t="s">
        <v>78</v>
      </c>
      <c r="B52" s="28" t="s">
        <v>79</v>
      </c>
      <c r="C52" s="50">
        <v>0</v>
      </c>
      <c r="D52" s="50">
        <v>0</v>
      </c>
      <c r="I52" s="17"/>
      <c r="J52" s="17"/>
    </row>
    <row r="53" spans="1:10" ht="18.75" customHeight="1" x14ac:dyDescent="0.2">
      <c r="A53" s="26" t="s">
        <v>80</v>
      </c>
      <c r="B53" s="28" t="s">
        <v>81</v>
      </c>
      <c r="C53" s="50">
        <v>0</v>
      </c>
      <c r="D53" s="50">
        <v>0</v>
      </c>
      <c r="I53" s="17"/>
      <c r="J53" s="17"/>
    </row>
    <row r="54" spans="1:10" ht="18.75" customHeight="1" x14ac:dyDescent="0.2">
      <c r="A54" s="26" t="s">
        <v>82</v>
      </c>
      <c r="B54" s="28" t="s">
        <v>83</v>
      </c>
      <c r="C54" s="50">
        <v>0</v>
      </c>
      <c r="D54" s="50">
        <v>0</v>
      </c>
      <c r="I54" s="17"/>
      <c r="J54" s="17"/>
    </row>
    <row r="55" spans="1:10" ht="18.75" customHeight="1" x14ac:dyDescent="0.2">
      <c r="A55" s="26" t="s">
        <v>84</v>
      </c>
      <c r="B55" s="28" t="s">
        <v>85</v>
      </c>
      <c r="C55" s="50">
        <v>0</v>
      </c>
      <c r="D55" s="50">
        <v>0</v>
      </c>
      <c r="I55" s="17"/>
      <c r="J55" s="17"/>
    </row>
    <row r="56" spans="1:10" ht="18.75" customHeight="1" x14ac:dyDescent="0.2">
      <c r="A56" s="26" t="s">
        <v>86</v>
      </c>
      <c r="B56" s="28" t="s">
        <v>87</v>
      </c>
      <c r="C56" s="50">
        <v>218</v>
      </c>
      <c r="D56" s="50">
        <v>217</v>
      </c>
      <c r="F56" s="17"/>
      <c r="H56" s="17"/>
      <c r="I56" s="17"/>
      <c r="J56" s="17"/>
    </row>
    <row r="57" spans="1:10" ht="18.75" customHeight="1" x14ac:dyDescent="0.2">
      <c r="A57" s="26" t="s">
        <v>88</v>
      </c>
      <c r="B57" s="28" t="s">
        <v>89</v>
      </c>
      <c r="C57" s="50">
        <v>0</v>
      </c>
      <c r="D57" s="50">
        <v>0</v>
      </c>
      <c r="I57" s="17"/>
      <c r="J57" s="17"/>
    </row>
    <row r="58" spans="1:10" ht="18.75" customHeight="1" x14ac:dyDescent="0.2">
      <c r="A58" s="26" t="s">
        <v>90</v>
      </c>
      <c r="B58" s="28" t="s">
        <v>91</v>
      </c>
      <c r="C58" s="50">
        <v>22300</v>
      </c>
      <c r="D58" s="50">
        <v>593</v>
      </c>
      <c r="F58" s="17"/>
      <c r="H58" s="17"/>
      <c r="I58" s="17"/>
      <c r="J58" s="17"/>
    </row>
    <row r="59" spans="1:10" ht="18.75" customHeight="1" x14ac:dyDescent="0.2">
      <c r="A59" s="26" t="s">
        <v>92</v>
      </c>
      <c r="B59" s="28" t="s">
        <v>93</v>
      </c>
      <c r="C59" s="50">
        <v>0</v>
      </c>
      <c r="D59" s="50">
        <v>0</v>
      </c>
      <c r="I59" s="17"/>
      <c r="J59" s="17"/>
    </row>
    <row r="60" spans="1:10" ht="18.75" customHeight="1" x14ac:dyDescent="0.2">
      <c r="A60" s="24" t="s">
        <v>94</v>
      </c>
      <c r="B60" s="28" t="s">
        <v>95</v>
      </c>
      <c r="C60" s="80">
        <v>474105</v>
      </c>
      <c r="D60" s="81">
        <v>487381</v>
      </c>
      <c r="F60" s="30"/>
      <c r="G60" s="30"/>
      <c r="H60" s="30"/>
      <c r="I60" s="17"/>
      <c r="J60" s="17"/>
    </row>
    <row r="61" spans="1:10" ht="18.75" customHeight="1" x14ac:dyDescent="0.2">
      <c r="A61" s="31" t="s">
        <v>96</v>
      </c>
      <c r="B61" s="28" t="s">
        <v>11</v>
      </c>
      <c r="C61" s="49" t="s">
        <v>11</v>
      </c>
      <c r="D61" s="35" t="s">
        <v>11</v>
      </c>
      <c r="F61" s="32"/>
      <c r="I61" s="17"/>
      <c r="J61" s="17"/>
    </row>
    <row r="62" spans="1:10" ht="18.75" customHeight="1" x14ac:dyDescent="0.2">
      <c r="A62" s="26" t="s">
        <v>97</v>
      </c>
      <c r="B62" s="28" t="s">
        <v>98</v>
      </c>
      <c r="C62" s="50">
        <v>0</v>
      </c>
      <c r="D62" s="50">
        <v>0</v>
      </c>
      <c r="I62" s="17"/>
      <c r="J62" s="17"/>
    </row>
    <row r="63" spans="1:10" ht="18.75" customHeight="1" x14ac:dyDescent="0.2">
      <c r="A63" s="26" t="s">
        <v>99</v>
      </c>
      <c r="B63" s="28" t="s">
        <v>100</v>
      </c>
      <c r="C63" s="50">
        <v>0</v>
      </c>
      <c r="D63" s="50">
        <v>0</v>
      </c>
      <c r="I63" s="17"/>
      <c r="J63" s="17"/>
    </row>
    <row r="64" spans="1:10" ht="18.75" customHeight="1" x14ac:dyDescent="0.2">
      <c r="A64" s="26" t="s">
        <v>101</v>
      </c>
      <c r="B64" s="28" t="s">
        <v>102</v>
      </c>
      <c r="C64" s="50">
        <v>0</v>
      </c>
      <c r="D64" s="50">
        <v>0</v>
      </c>
      <c r="I64" s="17"/>
      <c r="J64" s="17"/>
    </row>
    <row r="65" spans="1:10" ht="18.75" customHeight="1" x14ac:dyDescent="0.2">
      <c r="A65" s="26" t="s">
        <v>103</v>
      </c>
      <c r="B65" s="28" t="s">
        <v>104</v>
      </c>
      <c r="C65" s="50">
        <v>0</v>
      </c>
      <c r="D65" s="50">
        <v>0</v>
      </c>
      <c r="I65" s="17"/>
      <c r="J65" s="17"/>
    </row>
    <row r="66" spans="1:10" ht="18.75" customHeight="1" x14ac:dyDescent="0.2">
      <c r="A66" s="26" t="s">
        <v>105</v>
      </c>
      <c r="B66" s="28" t="s">
        <v>106</v>
      </c>
      <c r="C66" s="50">
        <v>791</v>
      </c>
      <c r="D66" s="50">
        <v>1771</v>
      </c>
      <c r="F66" s="17"/>
      <c r="H66" s="17"/>
      <c r="I66" s="17"/>
      <c r="J66" s="17"/>
    </row>
    <row r="67" spans="1:10" ht="18.75" customHeight="1" x14ac:dyDescent="0.2">
      <c r="A67" s="26" t="s">
        <v>107</v>
      </c>
      <c r="B67" s="28" t="s">
        <v>108</v>
      </c>
      <c r="C67" s="50">
        <v>0</v>
      </c>
      <c r="D67" s="50">
        <v>0</v>
      </c>
      <c r="I67" s="17"/>
      <c r="J67" s="17"/>
    </row>
    <row r="68" spans="1:10" ht="18.75" customHeight="1" x14ac:dyDescent="0.2">
      <c r="A68" s="26" t="s">
        <v>109</v>
      </c>
      <c r="B68" s="28" t="s">
        <v>110</v>
      </c>
      <c r="C68" s="29">
        <v>1436</v>
      </c>
      <c r="D68" s="16">
        <v>1108</v>
      </c>
      <c r="F68" s="17"/>
      <c r="H68" s="17"/>
      <c r="I68" s="17"/>
      <c r="J68" s="17"/>
    </row>
    <row r="69" spans="1:10" ht="18.75" customHeight="1" x14ac:dyDescent="0.2">
      <c r="A69" s="26" t="s">
        <v>111</v>
      </c>
      <c r="B69" s="28" t="s">
        <v>112</v>
      </c>
      <c r="C69" s="29">
        <v>1790</v>
      </c>
      <c r="D69" s="16">
        <v>997</v>
      </c>
      <c r="F69" s="21"/>
      <c r="G69" s="21"/>
      <c r="H69" s="21"/>
      <c r="I69" s="17"/>
      <c r="J69" s="17"/>
    </row>
    <row r="70" spans="1:10" ht="18.75" customHeight="1" x14ac:dyDescent="0.2">
      <c r="A70" s="33" t="s">
        <v>14</v>
      </c>
      <c r="B70" s="28" t="s">
        <v>11</v>
      </c>
      <c r="C70" s="49" t="s">
        <v>11</v>
      </c>
      <c r="D70" s="35" t="s">
        <v>11</v>
      </c>
      <c r="I70" s="17"/>
      <c r="J70" s="17"/>
    </row>
    <row r="71" spans="1:10" ht="18.75" customHeight="1" x14ac:dyDescent="0.2">
      <c r="A71" s="33" t="s">
        <v>113</v>
      </c>
      <c r="B71" s="36" t="s">
        <v>114</v>
      </c>
      <c r="C71" s="50">
        <v>0</v>
      </c>
      <c r="D71" s="50">
        <v>0</v>
      </c>
      <c r="I71" s="17"/>
      <c r="J71" s="17"/>
    </row>
    <row r="72" spans="1:10" ht="18.75" customHeight="1" x14ac:dyDescent="0.2">
      <c r="A72" s="33" t="s">
        <v>115</v>
      </c>
      <c r="B72" s="28" t="s">
        <v>116</v>
      </c>
      <c r="C72" s="50">
        <v>0</v>
      </c>
      <c r="D72" s="50">
        <v>0</v>
      </c>
      <c r="I72" s="17"/>
      <c r="J72" s="17"/>
    </row>
    <row r="73" spans="1:10" ht="18.75" customHeight="1" x14ac:dyDescent="0.2">
      <c r="A73" s="33" t="s">
        <v>117</v>
      </c>
      <c r="B73" s="28" t="s">
        <v>118</v>
      </c>
      <c r="C73" s="50">
        <v>0</v>
      </c>
      <c r="D73" s="50">
        <v>0</v>
      </c>
      <c r="I73" s="17"/>
      <c r="J73" s="17"/>
    </row>
    <row r="74" spans="1:10" ht="18.75" customHeight="1" x14ac:dyDescent="0.2">
      <c r="A74" s="33" t="s">
        <v>119</v>
      </c>
      <c r="B74" s="28" t="s">
        <v>120</v>
      </c>
      <c r="C74" s="50">
        <v>0</v>
      </c>
      <c r="D74" s="50">
        <v>0</v>
      </c>
      <c r="I74" s="17"/>
      <c r="J74" s="17"/>
    </row>
    <row r="75" spans="1:10" ht="18.75" customHeight="1" x14ac:dyDescent="0.2">
      <c r="A75" s="33" t="s">
        <v>121</v>
      </c>
      <c r="B75" s="28" t="s">
        <v>122</v>
      </c>
      <c r="C75" s="50">
        <v>0</v>
      </c>
      <c r="D75" s="50">
        <v>0</v>
      </c>
      <c r="I75" s="17"/>
      <c r="J75" s="17"/>
    </row>
    <row r="76" spans="1:10" ht="18.75" customHeight="1" x14ac:dyDescent="0.2">
      <c r="A76" s="33" t="s">
        <v>123</v>
      </c>
      <c r="B76" s="28" t="s">
        <v>124</v>
      </c>
      <c r="C76" s="50">
        <v>0</v>
      </c>
      <c r="D76" s="50">
        <v>0</v>
      </c>
      <c r="I76" s="17"/>
      <c r="J76" s="17"/>
    </row>
    <row r="77" spans="1:10" ht="18.75" customHeight="1" x14ac:dyDescent="0.2">
      <c r="A77" s="33" t="s">
        <v>125</v>
      </c>
      <c r="B77" s="28" t="s">
        <v>126</v>
      </c>
      <c r="C77" s="51">
        <v>114</v>
      </c>
      <c r="D77" s="50">
        <v>7</v>
      </c>
      <c r="F77" s="17"/>
      <c r="H77" s="17"/>
      <c r="I77" s="17"/>
      <c r="J77" s="17"/>
    </row>
    <row r="78" spans="1:10" ht="18.75" customHeight="1" x14ac:dyDescent="0.2">
      <c r="A78" s="33" t="s">
        <v>127</v>
      </c>
      <c r="B78" s="28" t="s">
        <v>128</v>
      </c>
      <c r="C78" s="51">
        <v>1103</v>
      </c>
      <c r="D78" s="51">
        <v>205</v>
      </c>
      <c r="F78" s="17"/>
      <c r="H78" s="17"/>
      <c r="I78" s="17"/>
      <c r="J78" s="17"/>
    </row>
    <row r="79" spans="1:10" ht="18.75" customHeight="1" x14ac:dyDescent="0.2">
      <c r="A79" s="33" t="s">
        <v>129</v>
      </c>
      <c r="B79" s="28" t="s">
        <v>130</v>
      </c>
      <c r="C79" s="50">
        <v>0</v>
      </c>
      <c r="D79" s="50">
        <v>0</v>
      </c>
      <c r="I79" s="17"/>
      <c r="J79" s="17"/>
    </row>
    <row r="80" spans="1:10" ht="18.75" customHeight="1" x14ac:dyDescent="0.2">
      <c r="A80" s="33" t="s">
        <v>131</v>
      </c>
      <c r="B80" s="28" t="s">
        <v>132</v>
      </c>
      <c r="C80" s="51">
        <v>573</v>
      </c>
      <c r="D80" s="51">
        <v>785</v>
      </c>
      <c r="F80" s="17"/>
      <c r="H80" s="17"/>
      <c r="I80" s="17"/>
      <c r="J80" s="17"/>
    </row>
    <row r="81" spans="1:10" ht="18.75" customHeight="1" x14ac:dyDescent="0.2">
      <c r="A81" s="33" t="s">
        <v>133</v>
      </c>
      <c r="B81" s="28" t="s">
        <v>134</v>
      </c>
      <c r="C81" s="50">
        <v>0</v>
      </c>
      <c r="D81" s="50">
        <v>0</v>
      </c>
      <c r="I81" s="17"/>
      <c r="J81" s="17"/>
    </row>
    <row r="82" spans="1:10" ht="18.75" customHeight="1" x14ac:dyDescent="0.2">
      <c r="A82" s="33" t="s">
        <v>76</v>
      </c>
      <c r="B82" s="28" t="s">
        <v>135</v>
      </c>
      <c r="C82" s="50">
        <v>0</v>
      </c>
      <c r="D82" s="50">
        <v>0</v>
      </c>
      <c r="I82" s="17"/>
      <c r="J82" s="17"/>
    </row>
    <row r="83" spans="1:10" ht="18.75" customHeight="1" x14ac:dyDescent="0.2">
      <c r="A83" s="33" t="s">
        <v>14</v>
      </c>
      <c r="B83" s="28" t="s">
        <v>11</v>
      </c>
      <c r="C83" s="50" t="s">
        <v>11</v>
      </c>
      <c r="D83" s="50" t="s">
        <v>11</v>
      </c>
      <c r="I83" s="17"/>
      <c r="J83" s="17"/>
    </row>
    <row r="84" spans="1:10" ht="18.75" customHeight="1" x14ac:dyDescent="0.2">
      <c r="A84" s="33" t="s">
        <v>136</v>
      </c>
      <c r="B84" s="28" t="s">
        <v>137</v>
      </c>
      <c r="C84" s="50">
        <v>0</v>
      </c>
      <c r="D84" s="50">
        <v>0</v>
      </c>
      <c r="I84" s="17"/>
      <c r="J84" s="17"/>
    </row>
    <row r="85" spans="1:10" ht="18.75" customHeight="1" x14ac:dyDescent="0.2">
      <c r="A85" s="33" t="s">
        <v>138</v>
      </c>
      <c r="B85" s="28" t="s">
        <v>139</v>
      </c>
      <c r="C85" s="50">
        <v>0</v>
      </c>
      <c r="D85" s="50">
        <v>0</v>
      </c>
      <c r="I85" s="17"/>
      <c r="J85" s="17"/>
    </row>
    <row r="86" spans="1:10" ht="18.75" customHeight="1" x14ac:dyDescent="0.2">
      <c r="A86" s="33" t="s">
        <v>140</v>
      </c>
      <c r="B86" s="28" t="s">
        <v>141</v>
      </c>
      <c r="C86" s="50">
        <v>0</v>
      </c>
      <c r="D86" s="50">
        <v>0</v>
      </c>
      <c r="I86" s="17"/>
      <c r="J86" s="17"/>
    </row>
    <row r="87" spans="1:10" ht="18.75" customHeight="1" x14ac:dyDescent="0.2">
      <c r="A87" s="33" t="s">
        <v>142</v>
      </c>
      <c r="B87" s="28" t="s">
        <v>143</v>
      </c>
      <c r="C87" s="50">
        <v>0</v>
      </c>
      <c r="D87" s="50">
        <v>0</v>
      </c>
      <c r="I87" s="17"/>
      <c r="J87" s="17"/>
    </row>
    <row r="88" spans="1:10" ht="18.75" customHeight="1" x14ac:dyDescent="0.2">
      <c r="A88" s="33" t="s">
        <v>144</v>
      </c>
      <c r="B88" s="28" t="s">
        <v>145</v>
      </c>
      <c r="C88" s="51">
        <v>39</v>
      </c>
      <c r="D88" s="50">
        <v>0</v>
      </c>
      <c r="F88" s="17"/>
      <c r="H88" s="17"/>
      <c r="I88" s="17"/>
      <c r="J88" s="17"/>
    </row>
    <row r="89" spans="1:10" ht="18.75" customHeight="1" x14ac:dyDescent="0.2">
      <c r="A89" s="33" t="s">
        <v>146</v>
      </c>
      <c r="B89" s="28" t="s">
        <v>147</v>
      </c>
      <c r="C89" s="50">
        <v>0</v>
      </c>
      <c r="D89" s="50">
        <v>0</v>
      </c>
      <c r="I89" s="17"/>
      <c r="J89" s="17"/>
    </row>
    <row r="90" spans="1:10" ht="18.75" customHeight="1" x14ac:dyDescent="0.2">
      <c r="A90" s="33" t="s">
        <v>148</v>
      </c>
      <c r="B90" s="28" t="s">
        <v>149</v>
      </c>
      <c r="C90" s="52">
        <v>1024</v>
      </c>
      <c r="D90" s="50">
        <v>1131</v>
      </c>
      <c r="F90" s="38"/>
      <c r="H90" s="17"/>
      <c r="I90" s="17"/>
      <c r="J90" s="17"/>
    </row>
    <row r="91" spans="1:10" ht="18.75" customHeight="1" x14ac:dyDescent="0.2">
      <c r="A91" s="33" t="s">
        <v>150</v>
      </c>
      <c r="B91" s="28" t="s">
        <v>151</v>
      </c>
      <c r="C91" s="50">
        <v>0</v>
      </c>
      <c r="D91" s="50">
        <v>0</v>
      </c>
      <c r="F91" s="17"/>
      <c r="H91" s="17"/>
      <c r="I91" s="17"/>
      <c r="J91" s="17"/>
    </row>
    <row r="92" spans="1:10" ht="18.75" customHeight="1" x14ac:dyDescent="0.2">
      <c r="A92" s="33" t="s">
        <v>152</v>
      </c>
      <c r="B92" s="28" t="s">
        <v>153</v>
      </c>
      <c r="C92" s="52">
        <v>20</v>
      </c>
      <c r="D92" s="50">
        <v>20</v>
      </c>
      <c r="F92" s="17"/>
      <c r="H92" s="17"/>
      <c r="I92" s="17"/>
      <c r="J92" s="17"/>
    </row>
    <row r="93" spans="1:10" ht="18.75" customHeight="1" x14ac:dyDescent="0.2">
      <c r="A93" s="33" t="s">
        <v>154</v>
      </c>
      <c r="B93" s="28" t="s">
        <v>155</v>
      </c>
      <c r="C93" s="52">
        <v>54220</v>
      </c>
      <c r="D93" s="50">
        <v>62729</v>
      </c>
      <c r="F93" s="17"/>
      <c r="H93" s="17"/>
      <c r="I93" s="17"/>
      <c r="J93" s="17"/>
    </row>
    <row r="94" spans="1:10" ht="18.75" customHeight="1" x14ac:dyDescent="0.2">
      <c r="A94" s="34" t="s">
        <v>156</v>
      </c>
      <c r="B94" s="28" t="s">
        <v>157</v>
      </c>
      <c r="C94" s="51">
        <v>59320</v>
      </c>
      <c r="D94" s="50">
        <v>67756</v>
      </c>
      <c r="F94" s="21"/>
      <c r="G94" s="21"/>
      <c r="H94" s="21"/>
      <c r="I94" s="17"/>
      <c r="J94" s="17"/>
    </row>
    <row r="95" spans="1:10" ht="18.75" customHeight="1" x14ac:dyDescent="0.2">
      <c r="A95" s="39" t="s">
        <v>158</v>
      </c>
      <c r="B95" s="28" t="s">
        <v>11</v>
      </c>
      <c r="C95" s="53" t="s">
        <v>11</v>
      </c>
      <c r="D95" s="53" t="s">
        <v>11</v>
      </c>
      <c r="F95" s="21"/>
      <c r="I95" s="17"/>
      <c r="J95" s="17"/>
    </row>
    <row r="96" spans="1:10" ht="18.75" customHeight="1" x14ac:dyDescent="0.2">
      <c r="A96" s="40" t="s">
        <v>159</v>
      </c>
      <c r="B96" s="28" t="s">
        <v>160</v>
      </c>
      <c r="C96" s="51">
        <v>890573</v>
      </c>
      <c r="D96" s="50">
        <v>890573</v>
      </c>
      <c r="F96" s="21"/>
      <c r="H96" s="32"/>
      <c r="I96" s="17"/>
      <c r="J96" s="17"/>
    </row>
    <row r="97" spans="1:10" ht="18.75" customHeight="1" x14ac:dyDescent="0.2">
      <c r="A97" s="33" t="s">
        <v>14</v>
      </c>
      <c r="B97" s="28" t="s">
        <v>11</v>
      </c>
      <c r="C97" s="53" t="s">
        <v>11</v>
      </c>
      <c r="D97" s="50" t="s">
        <v>11</v>
      </c>
      <c r="I97" s="17"/>
      <c r="J97" s="17"/>
    </row>
    <row r="98" spans="1:10" ht="18.75" customHeight="1" x14ac:dyDescent="0.2">
      <c r="A98" s="33" t="s">
        <v>161</v>
      </c>
      <c r="B98" s="28" t="s">
        <v>162</v>
      </c>
      <c r="C98" s="51">
        <v>890573</v>
      </c>
      <c r="D98" s="50">
        <v>890573</v>
      </c>
      <c r="F98" s="21"/>
      <c r="H98" s="32"/>
      <c r="I98" s="17"/>
      <c r="J98" s="17"/>
    </row>
    <row r="99" spans="1:10" ht="18.75" customHeight="1" x14ac:dyDescent="0.2">
      <c r="A99" s="33" t="s">
        <v>163</v>
      </c>
      <c r="B99" s="28" t="s">
        <v>164</v>
      </c>
      <c r="C99" s="50">
        <v>0</v>
      </c>
      <c r="D99" s="50">
        <v>0</v>
      </c>
      <c r="I99" s="17"/>
      <c r="J99" s="17"/>
    </row>
    <row r="100" spans="1:10" ht="18.75" customHeight="1" x14ac:dyDescent="0.2">
      <c r="A100" s="33" t="s">
        <v>165</v>
      </c>
      <c r="B100" s="28" t="s">
        <v>166</v>
      </c>
      <c r="C100" s="51">
        <v>132651</v>
      </c>
      <c r="D100" s="50">
        <v>132651</v>
      </c>
      <c r="F100" s="21"/>
      <c r="H100" s="32"/>
      <c r="I100" s="17"/>
      <c r="J100" s="17"/>
    </row>
    <row r="101" spans="1:10" ht="18.75" customHeight="1" x14ac:dyDescent="0.2">
      <c r="A101" s="41" t="s">
        <v>167</v>
      </c>
      <c r="B101" s="42" t="s">
        <v>168</v>
      </c>
      <c r="C101" s="50">
        <v>0</v>
      </c>
      <c r="D101" s="50">
        <v>0</v>
      </c>
      <c r="I101" s="17"/>
      <c r="J101" s="17"/>
    </row>
    <row r="102" spans="1:10" ht="18.75" customHeight="1" x14ac:dyDescent="0.2">
      <c r="A102" s="43" t="s">
        <v>169</v>
      </c>
      <c r="B102" s="44" t="s">
        <v>170</v>
      </c>
      <c r="C102" s="50">
        <v>0</v>
      </c>
      <c r="D102" s="50">
        <v>0</v>
      </c>
      <c r="I102" s="17"/>
      <c r="J102" s="17"/>
    </row>
    <row r="103" spans="1:10" ht="26.25" customHeight="1" x14ac:dyDescent="0.2">
      <c r="A103" s="43" t="s">
        <v>171</v>
      </c>
      <c r="B103" s="45" t="s">
        <v>172</v>
      </c>
      <c r="C103" s="16">
        <v>0</v>
      </c>
      <c r="D103" s="16">
        <v>0</v>
      </c>
      <c r="I103" s="17"/>
      <c r="J103" s="17"/>
    </row>
    <row r="104" spans="1:10" ht="25.5" customHeight="1" x14ac:dyDescent="0.2">
      <c r="A104" s="43" t="s">
        <v>173</v>
      </c>
      <c r="B104" s="45" t="s">
        <v>174</v>
      </c>
      <c r="C104" s="16">
        <v>0</v>
      </c>
      <c r="D104" s="16">
        <v>0</v>
      </c>
      <c r="I104" s="17"/>
      <c r="J104" s="17"/>
    </row>
    <row r="105" spans="1:10" ht="18.75" customHeight="1" x14ac:dyDescent="0.2">
      <c r="A105" s="43" t="s">
        <v>175</v>
      </c>
      <c r="B105" s="45" t="s">
        <v>176</v>
      </c>
      <c r="C105" s="16">
        <v>0</v>
      </c>
      <c r="D105" s="16">
        <v>0</v>
      </c>
      <c r="I105" s="17"/>
      <c r="J105" s="17"/>
    </row>
    <row r="106" spans="1:10" ht="18.75" customHeight="1" x14ac:dyDescent="0.2">
      <c r="A106" s="43" t="s">
        <v>177</v>
      </c>
      <c r="B106" s="45" t="s">
        <v>178</v>
      </c>
      <c r="C106" s="16">
        <v>0</v>
      </c>
      <c r="D106" s="16">
        <v>0</v>
      </c>
      <c r="I106" s="17"/>
      <c r="J106" s="17"/>
    </row>
    <row r="107" spans="1:10" ht="18.75" customHeight="1" x14ac:dyDescent="0.2">
      <c r="A107" s="43" t="s">
        <v>179</v>
      </c>
      <c r="B107" s="45" t="s">
        <v>180</v>
      </c>
      <c r="C107" s="37">
        <v>-608439</v>
      </c>
      <c r="D107" s="16">
        <v>-603599</v>
      </c>
      <c r="F107" s="17"/>
      <c r="G107" s="17"/>
      <c r="H107" s="17"/>
      <c r="I107" s="17"/>
      <c r="J107" s="17"/>
    </row>
    <row r="108" spans="1:10" ht="18.75" customHeight="1" x14ac:dyDescent="0.2">
      <c r="A108" s="43" t="s">
        <v>14</v>
      </c>
      <c r="B108" s="45" t="s">
        <v>11</v>
      </c>
      <c r="C108" s="16">
        <v>0</v>
      </c>
      <c r="D108" s="16">
        <v>0</v>
      </c>
      <c r="I108" s="17"/>
      <c r="J108" s="17"/>
    </row>
    <row r="109" spans="1:10" ht="18.75" customHeight="1" x14ac:dyDescent="0.2">
      <c r="A109" s="43" t="s">
        <v>181</v>
      </c>
      <c r="B109" s="45" t="s">
        <v>182</v>
      </c>
      <c r="C109" s="37">
        <v>-603556</v>
      </c>
      <c r="D109" s="16">
        <v>-538379</v>
      </c>
      <c r="F109" s="17"/>
      <c r="H109" s="17"/>
      <c r="I109" s="17"/>
      <c r="J109" s="17"/>
    </row>
    <row r="110" spans="1:10" ht="18.75" customHeight="1" x14ac:dyDescent="0.2">
      <c r="A110" s="43" t="s">
        <v>183</v>
      </c>
      <c r="B110" s="45" t="s">
        <v>184</v>
      </c>
      <c r="C110" s="37">
        <v>-4883</v>
      </c>
      <c r="D110" s="16">
        <v>-65220</v>
      </c>
      <c r="F110" s="17"/>
      <c r="H110" s="17"/>
      <c r="I110" s="17"/>
      <c r="J110" s="17"/>
    </row>
    <row r="111" spans="1:10" ht="18.75" customHeight="1" x14ac:dyDescent="0.2">
      <c r="A111" s="46" t="s">
        <v>185</v>
      </c>
      <c r="B111" s="45" t="s">
        <v>186</v>
      </c>
      <c r="C111" s="82">
        <v>414785</v>
      </c>
      <c r="D111" s="81">
        <v>419625</v>
      </c>
      <c r="F111" s="21"/>
      <c r="G111" s="21"/>
      <c r="H111" s="21"/>
      <c r="I111" s="17"/>
      <c r="J111" s="17"/>
    </row>
    <row r="112" spans="1:10" ht="18.75" customHeight="1" x14ac:dyDescent="0.2">
      <c r="A112" s="47" t="s">
        <v>187</v>
      </c>
      <c r="B112" s="45" t="s">
        <v>188</v>
      </c>
      <c r="C112" s="82">
        <v>474105</v>
      </c>
      <c r="D112" s="81">
        <v>487381</v>
      </c>
      <c r="F112" s="21"/>
      <c r="G112" s="21"/>
      <c r="H112" s="21"/>
      <c r="I112" s="17"/>
      <c r="J112" s="17"/>
    </row>
    <row r="113" spans="1:8" x14ac:dyDescent="0.2">
      <c r="C113" s="48">
        <f>C60-C112</f>
        <v>0</v>
      </c>
      <c r="D113" s="48">
        <f>D60-D112</f>
        <v>0</v>
      </c>
    </row>
    <row r="114" spans="1:8" ht="18.75" customHeight="1" x14ac:dyDescent="0.2">
      <c r="A114" s="2" t="s">
        <v>189</v>
      </c>
    </row>
    <row r="115" spans="1:8" ht="18.75" customHeight="1" x14ac:dyDescent="0.2"/>
    <row r="116" spans="1:8" ht="27.75" customHeight="1" x14ac:dyDescent="0.2">
      <c r="A116" s="93" t="s">
        <v>11</v>
      </c>
      <c r="B116" s="94"/>
      <c r="C116" s="94"/>
      <c r="D116" s="94"/>
      <c r="E116" s="67"/>
    </row>
    <row r="117" spans="1:8" ht="18.75" customHeight="1" x14ac:dyDescent="0.2">
      <c r="E117" s="67"/>
    </row>
    <row r="118" spans="1:8" ht="18.75" customHeight="1" x14ac:dyDescent="0.2">
      <c r="A118" s="83" t="s">
        <v>346</v>
      </c>
      <c r="B118" s="87"/>
      <c r="C118" s="85" t="s">
        <v>339</v>
      </c>
      <c r="D118" s="86"/>
      <c r="E118" s="68"/>
      <c r="F118" s="61"/>
      <c r="G118" s="61"/>
      <c r="H118" s="61"/>
    </row>
    <row r="119" spans="1:8" ht="18.75" customHeight="1" x14ac:dyDescent="0.25">
      <c r="A119" s="63"/>
      <c r="B119" s="63"/>
      <c r="C119" s="63"/>
      <c r="D119" s="63"/>
      <c r="E119" s="69"/>
      <c r="F119" s="57"/>
      <c r="G119" s="57"/>
      <c r="H119" s="57"/>
    </row>
    <row r="120" spans="1:8" ht="18.75" customHeight="1" x14ac:dyDescent="0.25">
      <c r="A120" s="83" t="s">
        <v>195</v>
      </c>
      <c r="B120" s="87"/>
      <c r="C120" s="95" t="s">
        <v>193</v>
      </c>
      <c r="D120" s="96"/>
      <c r="E120" s="69"/>
      <c r="F120" s="66"/>
      <c r="G120" s="66"/>
      <c r="H120" s="66"/>
    </row>
    <row r="121" spans="1:8" ht="14.25" customHeight="1" x14ac:dyDescent="0.25">
      <c r="A121" s="63"/>
      <c r="B121" s="63"/>
      <c r="C121" s="63"/>
      <c r="D121" s="63"/>
      <c r="E121" s="69"/>
      <c r="F121" s="57"/>
      <c r="G121" s="57"/>
      <c r="H121" s="57"/>
    </row>
    <row r="122" spans="1:8" ht="18.75" customHeight="1" x14ac:dyDescent="0.25">
      <c r="A122" s="83" t="s">
        <v>196</v>
      </c>
      <c r="B122" s="84"/>
      <c r="C122" s="83" t="s">
        <v>198</v>
      </c>
      <c r="D122" s="84"/>
      <c r="E122" s="69"/>
      <c r="F122" s="66"/>
      <c r="G122" s="66"/>
      <c r="H122" s="66"/>
    </row>
    <row r="123" spans="1:8" ht="18.75" customHeight="1" x14ac:dyDescent="0.25">
      <c r="A123" s="63"/>
      <c r="B123" s="63"/>
      <c r="C123" s="63"/>
      <c r="D123" s="63"/>
      <c r="E123" s="63"/>
      <c r="F123" s="58"/>
      <c r="G123" s="58"/>
      <c r="H123" s="58"/>
    </row>
    <row r="124" spans="1:8" ht="18.75" customHeight="1" x14ac:dyDescent="0.25">
      <c r="A124" s="83" t="s">
        <v>197</v>
      </c>
      <c r="B124" s="87"/>
      <c r="C124" s="88" t="s">
        <v>194</v>
      </c>
      <c r="D124" s="89"/>
      <c r="E124" s="63"/>
      <c r="F124" s="59"/>
      <c r="G124" s="57"/>
      <c r="H124" s="57"/>
    </row>
    <row r="125" spans="1:8" ht="21" customHeight="1" x14ac:dyDescent="0.25">
      <c r="A125" s="63"/>
      <c r="B125" s="63"/>
      <c r="C125" s="63"/>
      <c r="D125" s="63"/>
      <c r="E125" s="63"/>
      <c r="F125" s="59"/>
      <c r="G125" s="57"/>
      <c r="H125" s="57"/>
    </row>
    <row r="126" spans="1:8" ht="21" customHeight="1" x14ac:dyDescent="0.25">
      <c r="A126" s="83" t="s">
        <v>347</v>
      </c>
      <c r="B126" s="84"/>
      <c r="C126" s="83" t="s">
        <v>191</v>
      </c>
      <c r="D126" s="84"/>
      <c r="E126" s="63"/>
      <c r="F126" s="57"/>
      <c r="G126" s="57"/>
      <c r="H126" s="57"/>
    </row>
    <row r="127" spans="1:8" ht="21" customHeight="1" x14ac:dyDescent="0.25">
      <c r="A127" s="63"/>
      <c r="B127" s="63"/>
      <c r="C127" s="63"/>
      <c r="D127" s="63"/>
      <c r="E127" s="63"/>
      <c r="F127" s="57"/>
      <c r="G127" s="57"/>
      <c r="H127" s="57"/>
    </row>
    <row r="128" spans="1:8" ht="21" customHeight="1" x14ac:dyDescent="0.25">
      <c r="A128" s="83" t="s">
        <v>343</v>
      </c>
      <c r="B128" s="84"/>
      <c r="C128" s="83" t="s">
        <v>191</v>
      </c>
      <c r="D128" s="84"/>
      <c r="E128" s="63"/>
      <c r="F128" s="57"/>
      <c r="G128" s="57"/>
      <c r="H128" s="57"/>
    </row>
    <row r="129" spans="1:8" ht="21" customHeight="1" x14ac:dyDescent="0.25">
      <c r="A129" s="63"/>
      <c r="B129" s="63"/>
      <c r="C129" s="63"/>
      <c r="D129" s="63"/>
      <c r="E129" s="63"/>
      <c r="F129" s="57"/>
      <c r="G129" s="57"/>
      <c r="H129" s="57"/>
    </row>
    <row r="130" spans="1:8" ht="15" x14ac:dyDescent="0.25">
      <c r="A130" s="83" t="s">
        <v>344</v>
      </c>
      <c r="B130" s="84"/>
      <c r="C130" s="83" t="s">
        <v>190</v>
      </c>
      <c r="D130" s="84"/>
      <c r="E130" s="63"/>
      <c r="F130" s="57"/>
      <c r="G130" s="57"/>
      <c r="H130" s="57"/>
    </row>
    <row r="131" spans="1:8" ht="15" x14ac:dyDescent="0.25">
      <c r="A131" s="63"/>
      <c r="B131" s="63"/>
      <c r="C131" s="63"/>
      <c r="D131" s="63"/>
      <c r="E131" s="63"/>
      <c r="F131" s="57"/>
      <c r="G131" s="57"/>
      <c r="H131" s="60"/>
    </row>
    <row r="132" spans="1:8" ht="15" x14ac:dyDescent="0.25">
      <c r="A132" s="83" t="s">
        <v>345</v>
      </c>
      <c r="B132" s="84"/>
      <c r="C132" s="64"/>
      <c r="D132" s="63"/>
      <c r="E132" s="63"/>
      <c r="F132" s="57"/>
      <c r="G132" s="57"/>
      <c r="H132" s="57"/>
    </row>
    <row r="133" spans="1:8" ht="15" x14ac:dyDescent="0.25">
      <c r="A133" s="63"/>
      <c r="B133" s="63"/>
      <c r="C133" s="63"/>
      <c r="D133" s="63"/>
      <c r="E133" s="63"/>
      <c r="F133" s="57"/>
      <c r="G133" s="57"/>
      <c r="H133" s="57"/>
    </row>
    <row r="134" spans="1:8" ht="15" x14ac:dyDescent="0.25">
      <c r="A134" s="63"/>
      <c r="B134" s="63"/>
      <c r="C134" s="63"/>
      <c r="D134" s="63"/>
      <c r="E134" s="63"/>
      <c r="F134" s="57"/>
      <c r="G134" s="57"/>
      <c r="H134" s="57"/>
    </row>
    <row r="135" spans="1:8" x14ac:dyDescent="0.2">
      <c r="A135" s="57"/>
      <c r="B135" s="57"/>
      <c r="C135" s="57"/>
      <c r="D135" s="57"/>
      <c r="E135" s="57"/>
      <c r="F135" s="57"/>
      <c r="G135" s="57"/>
      <c r="H135" s="60"/>
    </row>
  </sheetData>
  <mergeCells count="18">
    <mergeCell ref="A1:D1"/>
    <mergeCell ref="A4:D4"/>
    <mergeCell ref="A116:D116"/>
    <mergeCell ref="A118:B118"/>
    <mergeCell ref="A120:B120"/>
    <mergeCell ref="C120:D120"/>
    <mergeCell ref="A130:B130"/>
    <mergeCell ref="C130:D130"/>
    <mergeCell ref="A132:B132"/>
    <mergeCell ref="C118:D118"/>
    <mergeCell ref="A124:B124"/>
    <mergeCell ref="C124:D124"/>
    <mergeCell ref="A126:B126"/>
    <mergeCell ref="C126:D126"/>
    <mergeCell ref="A128:B128"/>
    <mergeCell ref="C128:D128"/>
    <mergeCell ref="A122:B122"/>
    <mergeCell ref="C122:D122"/>
  </mergeCells>
  <hyperlinks>
    <hyperlink ref="C124" r:id="rId1"/>
  </hyperlinks>
  <pageMargins left="0.11811023622047245" right="0.11811023622047245" top="0.55118110236220474" bottom="0.55118110236220474" header="0.31496062992125984" footer="0.31496062992125984"/>
  <pageSetup paperSize="9" scale="62"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7"/>
  <sheetViews>
    <sheetView tabSelected="1" view="pageBreakPreview" topLeftCell="A106" zoomScaleNormal="100" zoomScaleSheetLayoutView="100" workbookViewId="0">
      <selection activeCell="E114" sqref="E114"/>
    </sheetView>
  </sheetViews>
  <sheetFormatPr defaultRowHeight="15" x14ac:dyDescent="0.25"/>
  <cols>
    <col min="1" max="1" width="50.7109375" style="63" customWidth="1"/>
    <col min="2" max="2" width="10.7109375" style="63" customWidth="1"/>
    <col min="3" max="5" width="17" style="98" customWidth="1"/>
    <col min="6" max="6" width="17" style="63" customWidth="1"/>
    <col min="7" max="256" width="9.140625" style="63"/>
    <col min="257" max="257" width="50.7109375" style="63" customWidth="1"/>
    <col min="258" max="258" width="10.7109375" style="63" customWidth="1"/>
    <col min="259" max="262" width="17" style="63" customWidth="1"/>
    <col min="263" max="512" width="9.140625" style="63"/>
    <col min="513" max="513" width="50.7109375" style="63" customWidth="1"/>
    <col min="514" max="514" width="10.7109375" style="63" customWidth="1"/>
    <col min="515" max="518" width="17" style="63" customWidth="1"/>
    <col min="519" max="768" width="9.140625" style="63"/>
    <col min="769" max="769" width="50.7109375" style="63" customWidth="1"/>
    <col min="770" max="770" width="10.7109375" style="63" customWidth="1"/>
    <col min="771" max="774" width="17" style="63" customWidth="1"/>
    <col min="775" max="1024" width="9.140625" style="63"/>
    <col min="1025" max="1025" width="50.7109375" style="63" customWidth="1"/>
    <col min="1026" max="1026" width="10.7109375" style="63" customWidth="1"/>
    <col min="1027" max="1030" width="17" style="63" customWidth="1"/>
    <col min="1031" max="1280" width="9.140625" style="63"/>
    <col min="1281" max="1281" width="50.7109375" style="63" customWidth="1"/>
    <col min="1282" max="1282" width="10.7109375" style="63" customWidth="1"/>
    <col min="1283" max="1286" width="17" style="63" customWidth="1"/>
    <col min="1287" max="1536" width="9.140625" style="63"/>
    <col min="1537" max="1537" width="50.7109375" style="63" customWidth="1"/>
    <col min="1538" max="1538" width="10.7109375" style="63" customWidth="1"/>
    <col min="1539" max="1542" width="17" style="63" customWidth="1"/>
    <col min="1543" max="1792" width="9.140625" style="63"/>
    <col min="1793" max="1793" width="50.7109375" style="63" customWidth="1"/>
    <col min="1794" max="1794" width="10.7109375" style="63" customWidth="1"/>
    <col min="1795" max="1798" width="17" style="63" customWidth="1"/>
    <col min="1799" max="2048" width="9.140625" style="63"/>
    <col min="2049" max="2049" width="50.7109375" style="63" customWidth="1"/>
    <col min="2050" max="2050" width="10.7109375" style="63" customWidth="1"/>
    <col min="2051" max="2054" width="17" style="63" customWidth="1"/>
    <col min="2055" max="2304" width="9.140625" style="63"/>
    <col min="2305" max="2305" width="50.7109375" style="63" customWidth="1"/>
    <col min="2306" max="2306" width="10.7109375" style="63" customWidth="1"/>
    <col min="2307" max="2310" width="17" style="63" customWidth="1"/>
    <col min="2311" max="2560" width="9.140625" style="63"/>
    <col min="2561" max="2561" width="50.7109375" style="63" customWidth="1"/>
    <col min="2562" max="2562" width="10.7109375" style="63" customWidth="1"/>
    <col min="2563" max="2566" width="17" style="63" customWidth="1"/>
    <col min="2567" max="2816" width="9.140625" style="63"/>
    <col min="2817" max="2817" width="50.7109375" style="63" customWidth="1"/>
    <col min="2818" max="2818" width="10.7109375" style="63" customWidth="1"/>
    <col min="2819" max="2822" width="17" style="63" customWidth="1"/>
    <col min="2823" max="3072" width="9.140625" style="63"/>
    <col min="3073" max="3073" width="50.7109375" style="63" customWidth="1"/>
    <col min="3074" max="3074" width="10.7109375" style="63" customWidth="1"/>
    <col min="3075" max="3078" width="17" style="63" customWidth="1"/>
    <col min="3079" max="3328" width="9.140625" style="63"/>
    <col min="3329" max="3329" width="50.7109375" style="63" customWidth="1"/>
    <col min="3330" max="3330" width="10.7109375" style="63" customWidth="1"/>
    <col min="3331" max="3334" width="17" style="63" customWidth="1"/>
    <col min="3335" max="3584" width="9.140625" style="63"/>
    <col min="3585" max="3585" width="50.7109375" style="63" customWidth="1"/>
    <col min="3586" max="3586" width="10.7109375" style="63" customWidth="1"/>
    <col min="3587" max="3590" width="17" style="63" customWidth="1"/>
    <col min="3591" max="3840" width="9.140625" style="63"/>
    <col min="3841" max="3841" width="50.7109375" style="63" customWidth="1"/>
    <col min="3842" max="3842" width="10.7109375" style="63" customWidth="1"/>
    <col min="3843" max="3846" width="17" style="63" customWidth="1"/>
    <col min="3847" max="4096" width="9.140625" style="63"/>
    <col min="4097" max="4097" width="50.7109375" style="63" customWidth="1"/>
    <col min="4098" max="4098" width="10.7109375" style="63" customWidth="1"/>
    <col min="4099" max="4102" width="17" style="63" customWidth="1"/>
    <col min="4103" max="4352" width="9.140625" style="63"/>
    <col min="4353" max="4353" width="50.7109375" style="63" customWidth="1"/>
    <col min="4354" max="4354" width="10.7109375" style="63" customWidth="1"/>
    <col min="4355" max="4358" width="17" style="63" customWidth="1"/>
    <col min="4359" max="4608" width="9.140625" style="63"/>
    <col min="4609" max="4609" width="50.7109375" style="63" customWidth="1"/>
    <col min="4610" max="4610" width="10.7109375" style="63" customWidth="1"/>
    <col min="4611" max="4614" width="17" style="63" customWidth="1"/>
    <col min="4615" max="4864" width="9.140625" style="63"/>
    <col min="4865" max="4865" width="50.7109375" style="63" customWidth="1"/>
    <col min="4866" max="4866" width="10.7109375" style="63" customWidth="1"/>
    <col min="4867" max="4870" width="17" style="63" customWidth="1"/>
    <col min="4871" max="5120" width="9.140625" style="63"/>
    <col min="5121" max="5121" width="50.7109375" style="63" customWidth="1"/>
    <col min="5122" max="5122" width="10.7109375" style="63" customWidth="1"/>
    <col min="5123" max="5126" width="17" style="63" customWidth="1"/>
    <col min="5127" max="5376" width="9.140625" style="63"/>
    <col min="5377" max="5377" width="50.7109375" style="63" customWidth="1"/>
    <col min="5378" max="5378" width="10.7109375" style="63" customWidth="1"/>
    <col min="5379" max="5382" width="17" style="63" customWidth="1"/>
    <col min="5383" max="5632" width="9.140625" style="63"/>
    <col min="5633" max="5633" width="50.7109375" style="63" customWidth="1"/>
    <col min="5634" max="5634" width="10.7109375" style="63" customWidth="1"/>
    <col min="5635" max="5638" width="17" style="63" customWidth="1"/>
    <col min="5639" max="5888" width="9.140625" style="63"/>
    <col min="5889" max="5889" width="50.7109375" style="63" customWidth="1"/>
    <col min="5890" max="5890" width="10.7109375" style="63" customWidth="1"/>
    <col min="5891" max="5894" width="17" style="63" customWidth="1"/>
    <col min="5895" max="6144" width="9.140625" style="63"/>
    <col min="6145" max="6145" width="50.7109375" style="63" customWidth="1"/>
    <col min="6146" max="6146" width="10.7109375" style="63" customWidth="1"/>
    <col min="6147" max="6150" width="17" style="63" customWidth="1"/>
    <col min="6151" max="6400" width="9.140625" style="63"/>
    <col min="6401" max="6401" width="50.7109375" style="63" customWidth="1"/>
    <col min="6402" max="6402" width="10.7109375" style="63" customWidth="1"/>
    <col min="6403" max="6406" width="17" style="63" customWidth="1"/>
    <col min="6407" max="6656" width="9.140625" style="63"/>
    <col min="6657" max="6657" width="50.7109375" style="63" customWidth="1"/>
    <col min="6658" max="6658" width="10.7109375" style="63" customWidth="1"/>
    <col min="6659" max="6662" width="17" style="63" customWidth="1"/>
    <col min="6663" max="6912" width="9.140625" style="63"/>
    <col min="6913" max="6913" width="50.7109375" style="63" customWidth="1"/>
    <col min="6914" max="6914" width="10.7109375" style="63" customWidth="1"/>
    <col min="6915" max="6918" width="17" style="63" customWidth="1"/>
    <col min="6919" max="7168" width="9.140625" style="63"/>
    <col min="7169" max="7169" width="50.7109375" style="63" customWidth="1"/>
    <col min="7170" max="7170" width="10.7109375" style="63" customWidth="1"/>
    <col min="7171" max="7174" width="17" style="63" customWidth="1"/>
    <col min="7175" max="7424" width="9.140625" style="63"/>
    <col min="7425" max="7425" width="50.7109375" style="63" customWidth="1"/>
    <col min="7426" max="7426" width="10.7109375" style="63" customWidth="1"/>
    <col min="7427" max="7430" width="17" style="63" customWidth="1"/>
    <col min="7431" max="7680" width="9.140625" style="63"/>
    <col min="7681" max="7681" width="50.7109375" style="63" customWidth="1"/>
    <col min="7682" max="7682" width="10.7109375" style="63" customWidth="1"/>
    <col min="7683" max="7686" width="17" style="63" customWidth="1"/>
    <col min="7687" max="7936" width="9.140625" style="63"/>
    <col min="7937" max="7937" width="50.7109375" style="63" customWidth="1"/>
    <col min="7938" max="7938" width="10.7109375" style="63" customWidth="1"/>
    <col min="7939" max="7942" width="17" style="63" customWidth="1"/>
    <col min="7943" max="8192" width="9.140625" style="63"/>
    <col min="8193" max="8193" width="50.7109375" style="63" customWidth="1"/>
    <col min="8194" max="8194" width="10.7109375" style="63" customWidth="1"/>
    <col min="8195" max="8198" width="17" style="63" customWidth="1"/>
    <col min="8199" max="8448" width="9.140625" style="63"/>
    <col min="8449" max="8449" width="50.7109375" style="63" customWidth="1"/>
    <col min="8450" max="8450" width="10.7109375" style="63" customWidth="1"/>
    <col min="8451" max="8454" width="17" style="63" customWidth="1"/>
    <col min="8455" max="8704" width="9.140625" style="63"/>
    <col min="8705" max="8705" width="50.7109375" style="63" customWidth="1"/>
    <col min="8706" max="8706" width="10.7109375" style="63" customWidth="1"/>
    <col min="8707" max="8710" width="17" style="63" customWidth="1"/>
    <col min="8711" max="8960" width="9.140625" style="63"/>
    <col min="8961" max="8961" width="50.7109375" style="63" customWidth="1"/>
    <col min="8962" max="8962" width="10.7109375" style="63" customWidth="1"/>
    <col min="8963" max="8966" width="17" style="63" customWidth="1"/>
    <col min="8967" max="9216" width="9.140625" style="63"/>
    <col min="9217" max="9217" width="50.7109375" style="63" customWidth="1"/>
    <col min="9218" max="9218" width="10.7109375" style="63" customWidth="1"/>
    <col min="9219" max="9222" width="17" style="63" customWidth="1"/>
    <col min="9223" max="9472" width="9.140625" style="63"/>
    <col min="9473" max="9473" width="50.7109375" style="63" customWidth="1"/>
    <col min="9474" max="9474" width="10.7109375" style="63" customWidth="1"/>
    <col min="9475" max="9478" width="17" style="63" customWidth="1"/>
    <col min="9479" max="9728" width="9.140625" style="63"/>
    <col min="9729" max="9729" width="50.7109375" style="63" customWidth="1"/>
    <col min="9730" max="9730" width="10.7109375" style="63" customWidth="1"/>
    <col min="9731" max="9734" width="17" style="63" customWidth="1"/>
    <col min="9735" max="9984" width="9.140625" style="63"/>
    <col min="9985" max="9985" width="50.7109375" style="63" customWidth="1"/>
    <col min="9986" max="9986" width="10.7109375" style="63" customWidth="1"/>
    <col min="9987" max="9990" width="17" style="63" customWidth="1"/>
    <col min="9991" max="10240" width="9.140625" style="63"/>
    <col min="10241" max="10241" width="50.7109375" style="63" customWidth="1"/>
    <col min="10242" max="10242" width="10.7109375" style="63" customWidth="1"/>
    <col min="10243" max="10246" width="17" style="63" customWidth="1"/>
    <col min="10247" max="10496" width="9.140625" style="63"/>
    <col min="10497" max="10497" width="50.7109375" style="63" customWidth="1"/>
    <col min="10498" max="10498" width="10.7109375" style="63" customWidth="1"/>
    <col min="10499" max="10502" width="17" style="63" customWidth="1"/>
    <col min="10503" max="10752" width="9.140625" style="63"/>
    <col min="10753" max="10753" width="50.7109375" style="63" customWidth="1"/>
    <col min="10754" max="10754" width="10.7109375" style="63" customWidth="1"/>
    <col min="10755" max="10758" width="17" style="63" customWidth="1"/>
    <col min="10759" max="11008" width="9.140625" style="63"/>
    <col min="11009" max="11009" width="50.7109375" style="63" customWidth="1"/>
    <col min="11010" max="11010" width="10.7109375" style="63" customWidth="1"/>
    <col min="11011" max="11014" width="17" style="63" customWidth="1"/>
    <col min="11015" max="11264" width="9.140625" style="63"/>
    <col min="11265" max="11265" width="50.7109375" style="63" customWidth="1"/>
    <col min="11266" max="11266" width="10.7109375" style="63" customWidth="1"/>
    <col min="11267" max="11270" width="17" style="63" customWidth="1"/>
    <col min="11271" max="11520" width="9.140625" style="63"/>
    <col min="11521" max="11521" width="50.7109375" style="63" customWidth="1"/>
    <col min="11522" max="11522" width="10.7109375" style="63" customWidth="1"/>
    <col min="11523" max="11526" width="17" style="63" customWidth="1"/>
    <col min="11527" max="11776" width="9.140625" style="63"/>
    <col min="11777" max="11777" width="50.7109375" style="63" customWidth="1"/>
    <col min="11778" max="11778" width="10.7109375" style="63" customWidth="1"/>
    <col min="11779" max="11782" width="17" style="63" customWidth="1"/>
    <col min="11783" max="12032" width="9.140625" style="63"/>
    <col min="12033" max="12033" width="50.7109375" style="63" customWidth="1"/>
    <col min="12034" max="12034" width="10.7109375" style="63" customWidth="1"/>
    <col min="12035" max="12038" width="17" style="63" customWidth="1"/>
    <col min="12039" max="12288" width="9.140625" style="63"/>
    <col min="12289" max="12289" width="50.7109375" style="63" customWidth="1"/>
    <col min="12290" max="12290" width="10.7109375" style="63" customWidth="1"/>
    <col min="12291" max="12294" width="17" style="63" customWidth="1"/>
    <col min="12295" max="12544" width="9.140625" style="63"/>
    <col min="12545" max="12545" width="50.7109375" style="63" customWidth="1"/>
    <col min="12546" max="12546" width="10.7109375" style="63" customWidth="1"/>
    <col min="12547" max="12550" width="17" style="63" customWidth="1"/>
    <col min="12551" max="12800" width="9.140625" style="63"/>
    <col min="12801" max="12801" width="50.7109375" style="63" customWidth="1"/>
    <col min="12802" max="12802" width="10.7109375" style="63" customWidth="1"/>
    <col min="12803" max="12806" width="17" style="63" customWidth="1"/>
    <col min="12807" max="13056" width="9.140625" style="63"/>
    <col min="13057" max="13057" width="50.7109375" style="63" customWidth="1"/>
    <col min="13058" max="13058" width="10.7109375" style="63" customWidth="1"/>
    <col min="13059" max="13062" width="17" style="63" customWidth="1"/>
    <col min="13063" max="13312" width="9.140625" style="63"/>
    <col min="13313" max="13313" width="50.7109375" style="63" customWidth="1"/>
    <col min="13314" max="13314" width="10.7109375" style="63" customWidth="1"/>
    <col min="13315" max="13318" width="17" style="63" customWidth="1"/>
    <col min="13319" max="13568" width="9.140625" style="63"/>
    <col min="13569" max="13569" width="50.7109375" style="63" customWidth="1"/>
    <col min="13570" max="13570" width="10.7109375" style="63" customWidth="1"/>
    <col min="13571" max="13574" width="17" style="63" customWidth="1"/>
    <col min="13575" max="13824" width="9.140625" style="63"/>
    <col min="13825" max="13825" width="50.7109375" style="63" customWidth="1"/>
    <col min="13826" max="13826" width="10.7109375" style="63" customWidth="1"/>
    <col min="13827" max="13830" width="17" style="63" customWidth="1"/>
    <col min="13831" max="14080" width="9.140625" style="63"/>
    <col min="14081" max="14081" width="50.7109375" style="63" customWidth="1"/>
    <col min="14082" max="14082" width="10.7109375" style="63" customWidth="1"/>
    <col min="14083" max="14086" width="17" style="63" customWidth="1"/>
    <col min="14087" max="14336" width="9.140625" style="63"/>
    <col min="14337" max="14337" width="50.7109375" style="63" customWidth="1"/>
    <col min="14338" max="14338" width="10.7109375" style="63" customWidth="1"/>
    <col min="14339" max="14342" width="17" style="63" customWidth="1"/>
    <col min="14343" max="14592" width="9.140625" style="63"/>
    <col min="14593" max="14593" width="50.7109375" style="63" customWidth="1"/>
    <col min="14594" max="14594" width="10.7109375" style="63" customWidth="1"/>
    <col min="14595" max="14598" width="17" style="63" customWidth="1"/>
    <col min="14599" max="14848" width="9.140625" style="63"/>
    <col min="14849" max="14849" width="50.7109375" style="63" customWidth="1"/>
    <col min="14850" max="14850" width="10.7109375" style="63" customWidth="1"/>
    <col min="14851" max="14854" width="17" style="63" customWidth="1"/>
    <col min="14855" max="15104" width="9.140625" style="63"/>
    <col min="15105" max="15105" width="50.7109375" style="63" customWidth="1"/>
    <col min="15106" max="15106" width="10.7109375" style="63" customWidth="1"/>
    <col min="15107" max="15110" width="17" style="63" customWidth="1"/>
    <col min="15111" max="15360" width="9.140625" style="63"/>
    <col min="15361" max="15361" width="50.7109375" style="63" customWidth="1"/>
    <col min="15362" max="15362" width="10.7109375" style="63" customWidth="1"/>
    <col min="15363" max="15366" width="17" style="63" customWidth="1"/>
    <col min="15367" max="15616" width="9.140625" style="63"/>
    <col min="15617" max="15617" width="50.7109375" style="63" customWidth="1"/>
    <col min="15618" max="15618" width="10.7109375" style="63" customWidth="1"/>
    <col min="15619" max="15622" width="17" style="63" customWidth="1"/>
    <col min="15623" max="15872" width="9.140625" style="63"/>
    <col min="15873" max="15873" width="50.7109375" style="63" customWidth="1"/>
    <col min="15874" max="15874" width="10.7109375" style="63" customWidth="1"/>
    <col min="15875" max="15878" width="17" style="63" customWidth="1"/>
    <col min="15879" max="16128" width="9.140625" style="63"/>
    <col min="16129" max="16129" width="50.7109375" style="63" customWidth="1"/>
    <col min="16130" max="16130" width="10.7109375" style="63" customWidth="1"/>
    <col min="16131" max="16134" width="17" style="63" customWidth="1"/>
    <col min="16135" max="16384" width="9.140625" style="63"/>
  </cols>
  <sheetData>
    <row r="1" spans="1:14" x14ac:dyDescent="0.25">
      <c r="A1" s="97" t="s">
        <v>336</v>
      </c>
      <c r="B1" s="84"/>
      <c r="C1" s="84"/>
      <c r="D1" s="84"/>
      <c r="E1" s="84"/>
      <c r="F1" s="84"/>
    </row>
    <row r="2" spans="1:14" ht="41.85" customHeight="1" x14ac:dyDescent="0.25"/>
    <row r="3" spans="1:14" ht="15.2" customHeight="1" x14ac:dyDescent="0.25">
      <c r="A3" s="83" t="s">
        <v>350</v>
      </c>
      <c r="B3" s="84"/>
      <c r="C3" s="84"/>
    </row>
    <row r="4" spans="1:14" ht="31.35" customHeight="1" x14ac:dyDescent="0.25"/>
    <row r="5" spans="1:14" ht="14.45" customHeight="1" x14ac:dyDescent="0.25">
      <c r="F5" s="64" t="s">
        <v>1</v>
      </c>
    </row>
    <row r="6" spans="1:14" ht="56.25" x14ac:dyDescent="0.25">
      <c r="A6" s="72" t="s">
        <v>212</v>
      </c>
      <c r="B6" s="72" t="s">
        <v>3</v>
      </c>
      <c r="C6" s="99" t="s">
        <v>213</v>
      </c>
      <c r="D6" s="99" t="s">
        <v>199</v>
      </c>
      <c r="E6" s="99" t="s">
        <v>214</v>
      </c>
      <c r="F6" s="72" t="s">
        <v>215</v>
      </c>
    </row>
    <row r="7" spans="1:14" ht="14.45" customHeight="1" x14ac:dyDescent="0.25">
      <c r="A7" s="72" t="s">
        <v>6</v>
      </c>
      <c r="B7" s="72" t="s">
        <v>7</v>
      </c>
      <c r="C7" s="99" t="s">
        <v>8</v>
      </c>
      <c r="D7" s="99" t="s">
        <v>9</v>
      </c>
      <c r="E7" s="99" t="s">
        <v>26</v>
      </c>
      <c r="F7" s="72" t="s">
        <v>29</v>
      </c>
    </row>
    <row r="8" spans="1:14" ht="18.2" customHeight="1" x14ac:dyDescent="0.25">
      <c r="A8" s="73" t="s">
        <v>216</v>
      </c>
      <c r="B8" s="74" t="s">
        <v>13</v>
      </c>
      <c r="C8" s="100">
        <f>591+1128+661</f>
        <v>2380</v>
      </c>
      <c r="D8" s="100">
        <f>684+678+746+760+751+355+392+1007+1165+1128+591+661</f>
        <v>8918</v>
      </c>
      <c r="E8" s="100">
        <f>870+632+624</f>
        <v>2126</v>
      </c>
      <c r="F8" s="75">
        <f>1331+1286+1288+1156+1033+1081+1055+930+506+632+870+624+1</f>
        <v>11793</v>
      </c>
      <c r="G8" s="65"/>
      <c r="H8" s="65"/>
      <c r="I8" s="65"/>
      <c r="J8" s="65"/>
      <c r="K8" s="65"/>
      <c r="L8" s="65"/>
      <c r="M8" s="65"/>
      <c r="N8" s="65"/>
    </row>
    <row r="9" spans="1:14" ht="13.5" customHeight="1" x14ac:dyDescent="0.25">
      <c r="A9" s="76" t="s">
        <v>217</v>
      </c>
      <c r="B9" s="74" t="s">
        <v>11</v>
      </c>
      <c r="C9" s="101" t="s">
        <v>11</v>
      </c>
      <c r="D9" s="101" t="s">
        <v>11</v>
      </c>
      <c r="E9" s="101" t="s">
        <v>11</v>
      </c>
      <c r="F9" s="77" t="s">
        <v>11</v>
      </c>
    </row>
    <row r="10" spans="1:14" ht="18.2" customHeight="1" x14ac:dyDescent="0.25">
      <c r="A10" s="73" t="s">
        <v>200</v>
      </c>
      <c r="B10" s="74" t="s">
        <v>16</v>
      </c>
      <c r="C10" s="102">
        <v>0</v>
      </c>
      <c r="D10" s="102">
        <v>0</v>
      </c>
      <c r="E10" s="102">
        <v>0</v>
      </c>
      <c r="F10" s="16">
        <v>0</v>
      </c>
    </row>
    <row r="11" spans="1:14" ht="18.2" customHeight="1" x14ac:dyDescent="0.25">
      <c r="A11" s="73" t="s">
        <v>218</v>
      </c>
      <c r="B11" s="74" t="s">
        <v>18</v>
      </c>
      <c r="C11" s="102">
        <v>0</v>
      </c>
      <c r="D11" s="102">
        <v>0</v>
      </c>
      <c r="E11" s="102">
        <v>0</v>
      </c>
      <c r="F11" s="16">
        <v>0</v>
      </c>
    </row>
    <row r="12" spans="1:14" ht="18.2" customHeight="1" x14ac:dyDescent="0.25">
      <c r="A12" s="73" t="s">
        <v>219</v>
      </c>
      <c r="B12" s="74" t="s">
        <v>220</v>
      </c>
      <c r="C12" s="100">
        <f>1128+591+661</f>
        <v>2380</v>
      </c>
      <c r="D12" s="100">
        <f>684+678+746+760+751+355+315+661+1083+1128+591+661+1</f>
        <v>8414</v>
      </c>
      <c r="E12" s="100">
        <f>870+632+624</f>
        <v>2126</v>
      </c>
      <c r="F12" s="75">
        <v>11793</v>
      </c>
      <c r="G12" s="65"/>
      <c r="H12" s="65"/>
      <c r="I12" s="65"/>
      <c r="J12" s="65"/>
      <c r="K12" s="65"/>
      <c r="L12" s="65"/>
      <c r="M12" s="65"/>
      <c r="N12" s="65"/>
    </row>
    <row r="13" spans="1:14" ht="14.25" customHeight="1" x14ac:dyDescent="0.25">
      <c r="A13" s="76" t="s">
        <v>217</v>
      </c>
      <c r="B13" s="74" t="s">
        <v>11</v>
      </c>
      <c r="C13" s="100" t="s">
        <v>11</v>
      </c>
      <c r="D13" s="100" t="s">
        <v>11</v>
      </c>
      <c r="E13" s="100" t="s">
        <v>11</v>
      </c>
      <c r="F13" s="75" t="s">
        <v>11</v>
      </c>
    </row>
    <row r="14" spans="1:14" ht="22.5" x14ac:dyDescent="0.25">
      <c r="A14" s="73" t="s">
        <v>221</v>
      </c>
      <c r="B14" s="74" t="s">
        <v>222</v>
      </c>
      <c r="C14" s="102">
        <v>0</v>
      </c>
      <c r="D14" s="102">
        <v>0</v>
      </c>
      <c r="E14" s="102">
        <v>0</v>
      </c>
      <c r="F14" s="16">
        <v>0</v>
      </c>
    </row>
    <row r="15" spans="1:14" ht="12" customHeight="1" x14ac:dyDescent="0.25">
      <c r="A15" s="76" t="s">
        <v>217</v>
      </c>
      <c r="B15" s="74" t="s">
        <v>11</v>
      </c>
      <c r="C15" s="100" t="s">
        <v>11</v>
      </c>
      <c r="D15" s="100" t="s">
        <v>11</v>
      </c>
      <c r="E15" s="100" t="s">
        <v>11</v>
      </c>
      <c r="F15" s="75" t="s">
        <v>11</v>
      </c>
    </row>
    <row r="16" spans="1:14" ht="33.75" x14ac:dyDescent="0.25">
      <c r="A16" s="73" t="s">
        <v>223</v>
      </c>
      <c r="B16" s="74" t="s">
        <v>224</v>
      </c>
      <c r="C16" s="102">
        <v>0</v>
      </c>
      <c r="D16" s="102">
        <v>0</v>
      </c>
      <c r="E16" s="102">
        <v>0</v>
      </c>
      <c r="F16" s="16">
        <v>0</v>
      </c>
    </row>
    <row r="17" spans="1:14" ht="33.75" x14ac:dyDescent="0.25">
      <c r="A17" s="73" t="s">
        <v>225</v>
      </c>
      <c r="B17" s="74" t="s">
        <v>226</v>
      </c>
      <c r="C17" s="102">
        <v>0</v>
      </c>
      <c r="D17" s="102">
        <v>0</v>
      </c>
      <c r="E17" s="102">
        <v>0</v>
      </c>
      <c r="F17" s="16">
        <v>0</v>
      </c>
    </row>
    <row r="18" spans="1:14" ht="33.75" x14ac:dyDescent="0.25">
      <c r="A18" s="73" t="s">
        <v>227</v>
      </c>
      <c r="B18" s="74" t="s">
        <v>228</v>
      </c>
      <c r="C18" s="100">
        <f>1128+591+661</f>
        <v>2380</v>
      </c>
      <c r="D18" s="100">
        <f>684+678+746+760+751+355+315+661+1083+1128+591+661+1</f>
        <v>8414</v>
      </c>
      <c r="E18" s="100">
        <f>870+632+624</f>
        <v>2126</v>
      </c>
      <c r="F18" s="75">
        <v>11793</v>
      </c>
      <c r="G18" s="65"/>
      <c r="H18" s="65"/>
      <c r="I18" s="65"/>
      <c r="J18" s="65"/>
      <c r="K18" s="65"/>
      <c r="L18" s="65"/>
      <c r="M18" s="65"/>
      <c r="N18" s="65"/>
    </row>
    <row r="19" spans="1:14" ht="10.5" customHeight="1" x14ac:dyDescent="0.25">
      <c r="A19" s="76" t="s">
        <v>217</v>
      </c>
      <c r="B19" s="74" t="s">
        <v>11</v>
      </c>
      <c r="C19" s="100" t="s">
        <v>11</v>
      </c>
      <c r="D19" s="100" t="s">
        <v>11</v>
      </c>
      <c r="E19" s="100" t="s">
        <v>11</v>
      </c>
      <c r="F19" s="75" t="s">
        <v>11</v>
      </c>
    </row>
    <row r="20" spans="1:14" ht="45" x14ac:dyDescent="0.25">
      <c r="A20" s="73" t="s">
        <v>229</v>
      </c>
      <c r="B20" s="74" t="s">
        <v>230</v>
      </c>
      <c r="C20" s="102">
        <v>0</v>
      </c>
      <c r="D20" s="102">
        <v>0</v>
      </c>
      <c r="E20" s="102">
        <v>0</v>
      </c>
      <c r="F20" s="16">
        <v>0</v>
      </c>
    </row>
    <row r="21" spans="1:14" ht="22.5" x14ac:dyDescent="0.25">
      <c r="A21" s="73" t="s">
        <v>231</v>
      </c>
      <c r="B21" s="74" t="s">
        <v>232</v>
      </c>
      <c r="C21" s="100">
        <f>824+167+5</f>
        <v>996</v>
      </c>
      <c r="D21" s="100">
        <f>415+384+451+454+454+70+24+364+783+824+167+5+1</f>
        <v>4396</v>
      </c>
      <c r="E21" s="100">
        <f>400+380+352</f>
        <v>1132</v>
      </c>
      <c r="F21" s="75">
        <f>43+325+369+295+142+38+400+380+352+2</f>
        <v>2346</v>
      </c>
      <c r="G21" s="65"/>
      <c r="H21" s="65"/>
      <c r="I21" s="65"/>
      <c r="J21" s="65"/>
      <c r="K21" s="65"/>
      <c r="L21" s="65"/>
      <c r="M21" s="65"/>
      <c r="N21" s="65"/>
    </row>
    <row r="22" spans="1:14" ht="22.5" x14ac:dyDescent="0.25">
      <c r="A22" s="73" t="s">
        <v>233</v>
      </c>
      <c r="B22" s="74" t="s">
        <v>234</v>
      </c>
      <c r="C22" s="102">
        <v>0</v>
      </c>
      <c r="D22" s="102">
        <v>0</v>
      </c>
      <c r="E22" s="102">
        <v>0</v>
      </c>
      <c r="F22" s="16">
        <v>0</v>
      </c>
    </row>
    <row r="23" spans="1:14" ht="11.25" customHeight="1" x14ac:dyDescent="0.25">
      <c r="A23" s="76" t="s">
        <v>217</v>
      </c>
      <c r="B23" s="74" t="s">
        <v>11</v>
      </c>
      <c r="C23" s="100" t="s">
        <v>11</v>
      </c>
      <c r="D23" s="100" t="s">
        <v>11</v>
      </c>
      <c r="E23" s="100" t="s">
        <v>11</v>
      </c>
      <c r="F23" s="75" t="s">
        <v>11</v>
      </c>
    </row>
    <row r="24" spans="1:14" ht="22.5" x14ac:dyDescent="0.25">
      <c r="A24" s="73" t="s">
        <v>235</v>
      </c>
      <c r="B24" s="74" t="s">
        <v>236</v>
      </c>
      <c r="C24" s="102">
        <v>0</v>
      </c>
      <c r="D24" s="102">
        <v>0</v>
      </c>
      <c r="E24" s="102">
        <v>0</v>
      </c>
      <c r="F24" s="16">
        <v>0</v>
      </c>
    </row>
    <row r="25" spans="1:14" ht="18.2" customHeight="1" x14ac:dyDescent="0.25">
      <c r="A25" s="73" t="s">
        <v>201</v>
      </c>
      <c r="B25" s="74" t="s">
        <v>237</v>
      </c>
      <c r="C25" s="100"/>
      <c r="D25" s="100">
        <f>77+346+82-1</f>
        <v>504</v>
      </c>
      <c r="E25" s="102">
        <v>0</v>
      </c>
      <c r="F25" s="16">
        <v>0</v>
      </c>
      <c r="G25" s="65"/>
      <c r="H25" s="65"/>
      <c r="I25" s="65"/>
      <c r="J25" s="65"/>
      <c r="K25" s="65"/>
      <c r="L25" s="65"/>
      <c r="M25" s="65"/>
      <c r="N25" s="65"/>
    </row>
    <row r="26" spans="1:14" ht="18.2" customHeight="1" x14ac:dyDescent="0.25">
      <c r="A26" s="73" t="s">
        <v>238</v>
      </c>
      <c r="B26" s="74" t="s">
        <v>239</v>
      </c>
      <c r="C26" s="102">
        <v>0</v>
      </c>
      <c r="D26" s="102">
        <v>0</v>
      </c>
      <c r="E26" s="102">
        <v>0</v>
      </c>
      <c r="F26" s="16">
        <v>0</v>
      </c>
    </row>
    <row r="27" spans="1:14" ht="18.2" customHeight="1" x14ac:dyDescent="0.25">
      <c r="A27" s="73" t="s">
        <v>202</v>
      </c>
      <c r="B27" s="74" t="s">
        <v>7</v>
      </c>
      <c r="C27" s="100">
        <f>1504+1234+1747</f>
        <v>4485</v>
      </c>
      <c r="D27" s="100">
        <f>1346+1557+4110+1664+2793+3154+2887+1366+1950+1504+1234+1747-1</f>
        <v>25311</v>
      </c>
      <c r="E27" s="100">
        <f>2300+1520+1579</f>
        <v>5399</v>
      </c>
      <c r="F27" s="75">
        <f>1990+3903+13343+1791+1853+1964+2927+2431+1479+2300+1520+1579-1</f>
        <v>37079</v>
      </c>
      <c r="G27" s="65"/>
      <c r="H27" s="65"/>
      <c r="I27" s="65"/>
      <c r="J27" s="65"/>
      <c r="K27" s="65"/>
      <c r="L27" s="65"/>
      <c r="M27" s="65"/>
      <c r="N27" s="65"/>
    </row>
    <row r="28" spans="1:14" ht="13.5" customHeight="1" x14ac:dyDescent="0.25">
      <c r="A28" s="76" t="s">
        <v>14</v>
      </c>
      <c r="B28" s="74" t="s">
        <v>11</v>
      </c>
      <c r="C28" s="100" t="s">
        <v>11</v>
      </c>
      <c r="D28" s="100" t="s">
        <v>11</v>
      </c>
      <c r="E28" s="100" t="s">
        <v>11</v>
      </c>
      <c r="F28" s="75" t="s">
        <v>11</v>
      </c>
    </row>
    <row r="29" spans="1:14" ht="18.2" customHeight="1" x14ac:dyDescent="0.25">
      <c r="A29" s="73" t="s">
        <v>203</v>
      </c>
      <c r="B29" s="74" t="s">
        <v>240</v>
      </c>
      <c r="C29" s="102">
        <v>0</v>
      </c>
      <c r="D29" s="102">
        <v>0</v>
      </c>
      <c r="E29" s="102">
        <v>0</v>
      </c>
      <c r="F29" s="16">
        <v>0</v>
      </c>
    </row>
    <row r="30" spans="1:14" ht="13.5" customHeight="1" x14ac:dyDescent="0.25">
      <c r="A30" s="76" t="s">
        <v>14</v>
      </c>
      <c r="B30" s="74" t="s">
        <v>11</v>
      </c>
      <c r="C30" s="100" t="s">
        <v>11</v>
      </c>
      <c r="D30" s="100" t="s">
        <v>11</v>
      </c>
      <c r="E30" s="100" t="s">
        <v>11</v>
      </c>
      <c r="F30" s="75" t="s">
        <v>11</v>
      </c>
    </row>
    <row r="31" spans="1:14" ht="18.2" customHeight="1" x14ac:dyDescent="0.25">
      <c r="A31" s="73" t="s">
        <v>241</v>
      </c>
      <c r="B31" s="74" t="s">
        <v>242</v>
      </c>
      <c r="C31" s="102">
        <v>0</v>
      </c>
      <c r="D31" s="102">
        <v>0</v>
      </c>
      <c r="E31" s="102">
        <v>0</v>
      </c>
      <c r="F31" s="16">
        <v>0</v>
      </c>
    </row>
    <row r="32" spans="1:14" ht="18.2" customHeight="1" x14ac:dyDescent="0.25">
      <c r="A32" s="73" t="s">
        <v>243</v>
      </c>
      <c r="B32" s="74" t="s">
        <v>244</v>
      </c>
      <c r="C32" s="102">
        <v>0</v>
      </c>
      <c r="D32" s="102">
        <v>0</v>
      </c>
      <c r="E32" s="102">
        <v>0</v>
      </c>
      <c r="F32" s="16">
        <v>0</v>
      </c>
    </row>
    <row r="33" spans="1:14" ht="18.2" customHeight="1" x14ac:dyDescent="0.25">
      <c r="A33" s="73" t="s">
        <v>245</v>
      </c>
      <c r="B33" s="74" t="s">
        <v>246</v>
      </c>
      <c r="C33" s="102">
        <v>0</v>
      </c>
      <c r="D33" s="102">
        <v>0</v>
      </c>
      <c r="E33" s="102">
        <v>0</v>
      </c>
      <c r="F33" s="16">
        <v>0</v>
      </c>
    </row>
    <row r="34" spans="1:14" ht="18.2" customHeight="1" x14ac:dyDescent="0.25">
      <c r="A34" s="73" t="s">
        <v>247</v>
      </c>
      <c r="B34" s="74" t="s">
        <v>248</v>
      </c>
      <c r="C34" s="102">
        <v>0</v>
      </c>
      <c r="D34" s="102">
        <v>0</v>
      </c>
      <c r="E34" s="102">
        <v>0</v>
      </c>
      <c r="F34" s="16">
        <v>0</v>
      </c>
    </row>
    <row r="35" spans="1:14" ht="18.2" customHeight="1" x14ac:dyDescent="0.25">
      <c r="A35" s="73" t="s">
        <v>249</v>
      </c>
      <c r="B35" s="74" t="s">
        <v>250</v>
      </c>
      <c r="C35" s="100">
        <f>675+675+675</f>
        <v>2025</v>
      </c>
      <c r="D35" s="100">
        <v>8100</v>
      </c>
      <c r="E35" s="100">
        <f>675+675+675</f>
        <v>2025</v>
      </c>
      <c r="F35" s="75">
        <v>8100</v>
      </c>
      <c r="G35" s="65"/>
      <c r="H35" s="65"/>
      <c r="I35" s="65"/>
      <c r="J35" s="65"/>
      <c r="K35" s="65"/>
      <c r="L35" s="65"/>
      <c r="M35" s="65"/>
      <c r="N35" s="65"/>
    </row>
    <row r="36" spans="1:14" ht="18.2" customHeight="1" x14ac:dyDescent="0.25">
      <c r="A36" s="73" t="s">
        <v>251</v>
      </c>
      <c r="B36" s="74" t="s">
        <v>252</v>
      </c>
      <c r="C36" s="100">
        <f>649+379+892</f>
        <v>1920</v>
      </c>
      <c r="D36" s="100">
        <f>466+677+3230+784+1913+2274+2032+511+1095+649+379+892-1</f>
        <v>14901</v>
      </c>
      <c r="E36" s="100">
        <f>1420+640+699</f>
        <v>2759</v>
      </c>
      <c r="F36" s="75">
        <f>1070+2983+12423+871+933+1044+2047+1551+599+1420+640+699-1</f>
        <v>26279</v>
      </c>
      <c r="G36" s="65"/>
      <c r="H36" s="65"/>
      <c r="I36" s="65"/>
      <c r="J36" s="65"/>
      <c r="K36" s="65"/>
      <c r="L36" s="65"/>
      <c r="M36" s="65"/>
      <c r="N36" s="65"/>
    </row>
    <row r="37" spans="1:14" ht="18.2" customHeight="1" x14ac:dyDescent="0.25">
      <c r="A37" s="73" t="s">
        <v>253</v>
      </c>
      <c r="B37" s="74" t="s">
        <v>254</v>
      </c>
      <c r="C37" s="100">
        <f>180+180+180</f>
        <v>540</v>
      </c>
      <c r="D37" s="100">
        <f>1230+1080</f>
        <v>2310</v>
      </c>
      <c r="E37" s="100">
        <f>205+205+205</f>
        <v>615</v>
      </c>
      <c r="F37" s="75">
        <f>1470+1230</f>
        <v>2700</v>
      </c>
      <c r="G37" s="65"/>
      <c r="H37" s="65"/>
      <c r="I37" s="65"/>
      <c r="J37" s="65"/>
      <c r="K37" s="65"/>
      <c r="L37" s="65"/>
      <c r="M37" s="65"/>
      <c r="N37" s="65"/>
    </row>
    <row r="38" spans="1:14" ht="18.2" customHeight="1" x14ac:dyDescent="0.25">
      <c r="A38" s="73" t="s">
        <v>255</v>
      </c>
      <c r="B38" s="74" t="s">
        <v>256</v>
      </c>
      <c r="C38" s="102">
        <v>0</v>
      </c>
      <c r="D38" s="102">
        <v>0</v>
      </c>
      <c r="E38" s="102">
        <v>0</v>
      </c>
      <c r="F38" s="16">
        <v>0</v>
      </c>
    </row>
    <row r="39" spans="1:14" ht="18.2" customHeight="1" x14ac:dyDescent="0.25">
      <c r="A39" s="73" t="s">
        <v>257</v>
      </c>
      <c r="B39" s="74" t="s">
        <v>258</v>
      </c>
      <c r="C39" s="102">
        <v>0</v>
      </c>
      <c r="D39" s="102">
        <v>0</v>
      </c>
      <c r="E39" s="102">
        <v>0</v>
      </c>
      <c r="F39" s="16">
        <v>0</v>
      </c>
    </row>
    <row r="40" spans="1:14" x14ac:dyDescent="0.25">
      <c r="A40" s="73" t="s">
        <v>72</v>
      </c>
      <c r="B40" s="74" t="s">
        <v>259</v>
      </c>
      <c r="C40" s="102">
        <v>0</v>
      </c>
      <c r="D40" s="102">
        <v>0</v>
      </c>
      <c r="E40" s="102">
        <v>0</v>
      </c>
      <c r="F40" s="16">
        <v>0</v>
      </c>
    </row>
    <row r="41" spans="1:14" ht="18.2" customHeight="1" x14ac:dyDescent="0.25">
      <c r="A41" s="73" t="s">
        <v>260</v>
      </c>
      <c r="B41" s="74" t="s">
        <v>8</v>
      </c>
      <c r="C41" s="100">
        <f>42+208+3227</f>
        <v>3477</v>
      </c>
      <c r="D41" s="100">
        <f>6+1697+72773+48+42+208+3227</f>
        <v>78001</v>
      </c>
      <c r="E41" s="100">
        <f>7525+405</f>
        <v>7930</v>
      </c>
      <c r="F41" s="75">
        <f>274+8765+131+155+119+1091+110+7525+405-1</f>
        <v>18574</v>
      </c>
      <c r="G41" s="65"/>
      <c r="H41" s="65"/>
      <c r="I41" s="65"/>
      <c r="J41" s="65"/>
      <c r="K41" s="65"/>
      <c r="L41" s="65"/>
      <c r="M41" s="65"/>
      <c r="N41" s="65"/>
    </row>
    <row r="42" spans="1:14" ht="33.75" x14ac:dyDescent="0.25">
      <c r="A42" s="73" t="s">
        <v>261</v>
      </c>
      <c r="B42" s="74" t="s">
        <v>9</v>
      </c>
      <c r="C42" s="100">
        <f>191+496-517</f>
        <v>170</v>
      </c>
      <c r="D42" s="100">
        <f>754+775+8848+6653+1244-574-71922+358+581+191+496-517-1</f>
        <v>-53114</v>
      </c>
      <c r="E42" s="100">
        <f>367-7138+219</f>
        <v>-6552</v>
      </c>
      <c r="F42" s="75">
        <f>800+745+838-8159+443+137+374-895+121+367-7138+219+2</f>
        <v>-12146</v>
      </c>
      <c r="G42" s="65"/>
      <c r="H42" s="65"/>
      <c r="I42" s="65"/>
      <c r="J42" s="65"/>
      <c r="K42" s="65"/>
      <c r="L42" s="65"/>
      <c r="M42" s="65"/>
      <c r="N42" s="65"/>
    </row>
    <row r="43" spans="1:14" ht="18.2" customHeight="1" x14ac:dyDescent="0.25">
      <c r="A43" s="73" t="s">
        <v>262</v>
      </c>
      <c r="B43" s="74" t="s">
        <v>26</v>
      </c>
      <c r="C43" s="100">
        <f>233</f>
        <v>233</v>
      </c>
      <c r="D43" s="100">
        <f>10+233</f>
        <v>243</v>
      </c>
      <c r="E43" s="102">
        <f>41</f>
        <v>41</v>
      </c>
      <c r="F43" s="16">
        <f>41</f>
        <v>41</v>
      </c>
      <c r="G43" s="65"/>
      <c r="H43" s="65"/>
      <c r="I43" s="65"/>
      <c r="J43" s="65"/>
      <c r="K43" s="65"/>
      <c r="L43" s="65"/>
      <c r="M43" s="65"/>
      <c r="N43" s="65"/>
    </row>
    <row r="44" spans="1:14" ht="18.2" customHeight="1" x14ac:dyDescent="0.25">
      <c r="A44" s="73" t="s">
        <v>263</v>
      </c>
      <c r="B44" s="74" t="s">
        <v>29</v>
      </c>
      <c r="C44" s="100">
        <f>10318+10140+12732</f>
        <v>33190</v>
      </c>
      <c r="D44" s="100">
        <f>9140+10512+77779+15288+6364+24036+19621+9071+17189+10318+10140+12732</f>
        <v>222190</v>
      </c>
      <c r="E44" s="100">
        <f>3715+5412+10461</f>
        <v>19588</v>
      </c>
      <c r="F44" s="75">
        <f>11186+11954+10448+10624+7821+7677+8333+6316+7287+3715+5412+10461+1</f>
        <v>101235</v>
      </c>
      <c r="G44" s="65"/>
      <c r="H44" s="65"/>
      <c r="I44" s="65"/>
      <c r="J44" s="65"/>
      <c r="K44" s="65"/>
      <c r="L44" s="65"/>
      <c r="M44" s="65"/>
      <c r="N44" s="65"/>
    </row>
    <row r="45" spans="1:14" ht="18.2" customHeight="1" x14ac:dyDescent="0.25">
      <c r="A45" s="73" t="s">
        <v>264</v>
      </c>
      <c r="B45" s="74" t="s">
        <v>33</v>
      </c>
      <c r="C45" s="102">
        <v>0</v>
      </c>
      <c r="D45" s="102">
        <v>0</v>
      </c>
      <c r="E45" s="102">
        <v>0</v>
      </c>
      <c r="F45" s="16">
        <v>0</v>
      </c>
    </row>
    <row r="46" spans="1:14" ht="18.2" customHeight="1" x14ac:dyDescent="0.25">
      <c r="A46" s="73" t="s">
        <v>265</v>
      </c>
      <c r="B46" s="74" t="s">
        <v>37</v>
      </c>
      <c r="C46" s="102">
        <v>0</v>
      </c>
      <c r="D46" s="102">
        <v>0</v>
      </c>
      <c r="E46" s="102">
        <v>0</v>
      </c>
      <c r="F46" s="16">
        <v>0</v>
      </c>
    </row>
    <row r="47" spans="1:14" ht="22.5" x14ac:dyDescent="0.25">
      <c r="A47" s="73" t="s">
        <v>266</v>
      </c>
      <c r="B47" s="74" t="s">
        <v>39</v>
      </c>
      <c r="C47" s="102">
        <v>0</v>
      </c>
      <c r="D47" s="102">
        <v>0</v>
      </c>
      <c r="E47" s="102">
        <v>0</v>
      </c>
      <c r="F47" s="16">
        <v>0</v>
      </c>
    </row>
    <row r="48" spans="1:14" ht="22.5" x14ac:dyDescent="0.25">
      <c r="A48" s="73" t="s">
        <v>267</v>
      </c>
      <c r="B48" s="74" t="s">
        <v>41</v>
      </c>
      <c r="C48" s="102">
        <v>0</v>
      </c>
      <c r="D48" s="102">
        <v>0</v>
      </c>
      <c r="E48" s="102">
        <v>0</v>
      </c>
      <c r="F48" s="16">
        <v>0</v>
      </c>
    </row>
    <row r="49" spans="1:14" ht="10.5" customHeight="1" x14ac:dyDescent="0.25">
      <c r="A49" s="76" t="s">
        <v>14</v>
      </c>
      <c r="B49" s="74" t="s">
        <v>11</v>
      </c>
      <c r="C49" s="101" t="s">
        <v>11</v>
      </c>
      <c r="D49" s="101" t="s">
        <v>11</v>
      </c>
      <c r="E49" s="101" t="s">
        <v>11</v>
      </c>
      <c r="F49" s="77" t="s">
        <v>11</v>
      </c>
    </row>
    <row r="50" spans="1:14" ht="18.2" customHeight="1" x14ac:dyDescent="0.25">
      <c r="A50" s="73" t="s">
        <v>268</v>
      </c>
      <c r="B50" s="74" t="s">
        <v>269</v>
      </c>
      <c r="C50" s="102">
        <v>0</v>
      </c>
      <c r="D50" s="102">
        <v>0</v>
      </c>
      <c r="E50" s="102">
        <v>0</v>
      </c>
      <c r="F50" s="16">
        <v>0</v>
      </c>
    </row>
    <row r="51" spans="1:14" ht="18.2" customHeight="1" x14ac:dyDescent="0.25">
      <c r="A51" s="73" t="s">
        <v>204</v>
      </c>
      <c r="B51" s="74" t="s">
        <v>270</v>
      </c>
      <c r="C51" s="102">
        <v>0</v>
      </c>
      <c r="D51" s="102">
        <v>0</v>
      </c>
      <c r="E51" s="102">
        <v>0</v>
      </c>
      <c r="F51" s="16">
        <v>0</v>
      </c>
    </row>
    <row r="52" spans="1:14" ht="18.2" customHeight="1" x14ac:dyDescent="0.25">
      <c r="A52" s="73" t="s">
        <v>271</v>
      </c>
      <c r="B52" s="74" t="s">
        <v>272</v>
      </c>
      <c r="C52" s="102">
        <v>0</v>
      </c>
      <c r="D52" s="102">
        <v>0</v>
      </c>
      <c r="E52" s="102">
        <v>0</v>
      </c>
      <c r="F52" s="16">
        <v>0</v>
      </c>
    </row>
    <row r="53" spans="1:14" ht="18.2" customHeight="1" x14ac:dyDescent="0.25">
      <c r="A53" s="73" t="s">
        <v>273</v>
      </c>
      <c r="B53" s="74" t="s">
        <v>274</v>
      </c>
      <c r="C53" s="102">
        <v>0</v>
      </c>
      <c r="D53" s="102">
        <v>0</v>
      </c>
      <c r="E53" s="102">
        <v>0</v>
      </c>
      <c r="F53" s="16">
        <v>0</v>
      </c>
    </row>
    <row r="54" spans="1:14" ht="33.75" x14ac:dyDescent="0.25">
      <c r="A54" s="73" t="s">
        <v>275</v>
      </c>
      <c r="B54" s="74" t="s">
        <v>43</v>
      </c>
      <c r="C54" s="100">
        <f>1+100+25</f>
        <v>126</v>
      </c>
      <c r="D54" s="100">
        <f>58+303+319+205+26+1+100+25</f>
        <v>1037</v>
      </c>
      <c r="E54" s="100">
        <f>192+183+43</f>
        <v>418</v>
      </c>
      <c r="F54" s="75">
        <f>10+2+3+6+5+17+189+38+192+183+43+1</f>
        <v>689</v>
      </c>
      <c r="G54" s="70"/>
      <c r="H54" s="70"/>
      <c r="I54" s="70"/>
      <c r="J54" s="70"/>
      <c r="K54" s="65"/>
      <c r="L54" s="65"/>
      <c r="M54" s="65"/>
      <c r="N54" s="65"/>
    </row>
    <row r="55" spans="1:14" ht="18.2" customHeight="1" x14ac:dyDescent="0.25">
      <c r="A55" s="73" t="s">
        <v>205</v>
      </c>
      <c r="B55" s="74" t="s">
        <v>45</v>
      </c>
      <c r="C55" s="100">
        <f>6+1750</f>
        <v>1756</v>
      </c>
      <c r="D55" s="100">
        <f>182+371+1869+1963+51+544+6+6+6+6+1750+1</f>
        <v>6755</v>
      </c>
      <c r="E55" s="100">
        <f>1410+2032+1983</f>
        <v>5425</v>
      </c>
      <c r="F55" s="75">
        <f>1844+68+63+1871+6983+91+91+2022+71+1410+2032+1983-2</f>
        <v>18527</v>
      </c>
      <c r="G55" s="70"/>
      <c r="H55" s="70"/>
      <c r="I55" s="70"/>
      <c r="J55" s="70"/>
      <c r="K55" s="65"/>
      <c r="L55" s="65"/>
      <c r="M55" s="65"/>
      <c r="N55" s="65"/>
    </row>
    <row r="56" spans="1:14" ht="20.25" customHeight="1" x14ac:dyDescent="0.25">
      <c r="A56" s="78" t="s">
        <v>276</v>
      </c>
      <c r="B56" s="74" t="s">
        <v>47</v>
      </c>
      <c r="C56" s="103">
        <f>13190+13002+19625</f>
        <v>45817</v>
      </c>
      <c r="D56" s="103">
        <f>13899+93352+26386+11506+29531+23972+11882+20891+13190+13002+19625+12105</f>
        <v>289341</v>
      </c>
      <c r="E56" s="103">
        <f>8854+10207+15314</f>
        <v>34375</v>
      </c>
      <c r="F56" s="62">
        <f>17435+17958+25983+16054+18264+11110+12916+12084+9612+8854+10207+15314+1</f>
        <v>175792</v>
      </c>
      <c r="G56" s="65"/>
      <c r="H56" s="65"/>
      <c r="I56" s="65"/>
      <c r="J56" s="65"/>
      <c r="K56" s="65"/>
      <c r="L56" s="65"/>
      <c r="M56" s="65"/>
      <c r="N56" s="65"/>
    </row>
    <row r="57" spans="1:14" ht="18.2" customHeight="1" x14ac:dyDescent="0.25">
      <c r="A57" s="73" t="s">
        <v>277</v>
      </c>
      <c r="B57" s="74" t="s">
        <v>49</v>
      </c>
      <c r="C57" s="100">
        <f>111+212+459</f>
        <v>782</v>
      </c>
      <c r="D57" s="100">
        <f>87+89+99+102+98+94+96+102+124+111+212+459-1</f>
        <v>1672</v>
      </c>
      <c r="E57" s="100">
        <f>149+90+88</f>
        <v>327</v>
      </c>
      <c r="F57" s="75">
        <f>642+642+642+549+258+259+257+194+151+149+90+88+1</f>
        <v>3922</v>
      </c>
      <c r="G57" s="70"/>
      <c r="H57" s="70"/>
      <c r="I57" s="70"/>
      <c r="J57" s="70"/>
      <c r="K57" s="65"/>
      <c r="L57" s="65"/>
      <c r="M57" s="65"/>
      <c r="N57" s="65"/>
    </row>
    <row r="58" spans="1:14" ht="13.5" customHeight="1" x14ac:dyDescent="0.25">
      <c r="A58" s="76" t="s">
        <v>217</v>
      </c>
      <c r="B58" s="74" t="s">
        <v>11</v>
      </c>
      <c r="C58" s="101" t="s">
        <v>11</v>
      </c>
      <c r="D58" s="101" t="s">
        <v>11</v>
      </c>
      <c r="E58" s="101" t="s">
        <v>11</v>
      </c>
      <c r="F58" s="77" t="s">
        <v>11</v>
      </c>
    </row>
    <row r="59" spans="1:14" ht="18.2" customHeight="1" x14ac:dyDescent="0.25">
      <c r="A59" s="73" t="s">
        <v>278</v>
      </c>
      <c r="B59" s="74" t="s">
        <v>279</v>
      </c>
      <c r="C59" s="102">
        <v>0</v>
      </c>
      <c r="D59" s="102">
        <v>0</v>
      </c>
      <c r="E59" s="102">
        <v>0</v>
      </c>
      <c r="F59" s="16">
        <v>0</v>
      </c>
    </row>
    <row r="60" spans="1:14" ht="18.2" customHeight="1" x14ac:dyDescent="0.25">
      <c r="A60" s="73" t="s">
        <v>206</v>
      </c>
      <c r="B60" s="74" t="s">
        <v>280</v>
      </c>
      <c r="C60" s="102">
        <v>0</v>
      </c>
      <c r="D60" s="102">
        <v>0</v>
      </c>
      <c r="E60" s="102">
        <v>0</v>
      </c>
      <c r="F60" s="16">
        <v>0</v>
      </c>
    </row>
    <row r="61" spans="1:14" ht="18.2" customHeight="1" x14ac:dyDescent="0.25">
      <c r="A61" s="73" t="s">
        <v>207</v>
      </c>
      <c r="B61" s="74" t="s">
        <v>281</v>
      </c>
      <c r="C61" s="102">
        <v>0</v>
      </c>
      <c r="D61" s="102">
        <v>0</v>
      </c>
      <c r="E61" s="102">
        <v>0</v>
      </c>
      <c r="F61" s="16">
        <v>0</v>
      </c>
    </row>
    <row r="62" spans="1:14" ht="18.2" customHeight="1" x14ac:dyDescent="0.25">
      <c r="A62" s="73" t="s">
        <v>282</v>
      </c>
      <c r="B62" s="74" t="s">
        <v>283</v>
      </c>
      <c r="C62" s="100">
        <f>111+212+459</f>
        <v>782</v>
      </c>
      <c r="D62" s="100">
        <f>87+89+99+102+98+94+96+102+124+111+212+459-1</f>
        <v>1672</v>
      </c>
      <c r="E62" s="100">
        <f>149+90+88</f>
        <v>327</v>
      </c>
      <c r="F62" s="75">
        <v>3922</v>
      </c>
      <c r="G62" s="70"/>
      <c r="H62" s="70"/>
      <c r="I62" s="70"/>
      <c r="J62" s="70"/>
      <c r="K62" s="65"/>
      <c r="L62" s="65"/>
      <c r="M62" s="65"/>
      <c r="N62" s="65"/>
    </row>
    <row r="63" spans="1:14" ht="18.2" customHeight="1" x14ac:dyDescent="0.25">
      <c r="A63" s="73" t="s">
        <v>284</v>
      </c>
      <c r="B63" s="74" t="s">
        <v>51</v>
      </c>
      <c r="C63" s="100">
        <f>426+102+133</f>
        <v>661</v>
      </c>
      <c r="D63" s="100">
        <f>24+21+227+20+137+54+50+20+558+426+102+133</f>
        <v>1772</v>
      </c>
      <c r="E63" s="100">
        <f>105+6+225</f>
        <v>336</v>
      </c>
      <c r="F63" s="75">
        <f>101+71+603+119+89+89+302+108+253+105+6+225+1</f>
        <v>2072</v>
      </c>
      <c r="G63" s="70"/>
      <c r="H63" s="70"/>
      <c r="I63" s="70"/>
      <c r="J63" s="70"/>
      <c r="K63" s="65"/>
      <c r="L63" s="65"/>
      <c r="M63" s="65"/>
      <c r="N63" s="65"/>
    </row>
    <row r="64" spans="1:14" ht="14.25" customHeight="1" x14ac:dyDescent="0.25">
      <c r="A64" s="76" t="s">
        <v>14</v>
      </c>
      <c r="B64" s="74" t="s">
        <v>11</v>
      </c>
      <c r="C64" s="101" t="s">
        <v>11</v>
      </c>
      <c r="D64" s="101" t="s">
        <v>11</v>
      </c>
      <c r="E64" s="101" t="s">
        <v>11</v>
      </c>
      <c r="F64" s="77" t="s">
        <v>11</v>
      </c>
    </row>
    <row r="65" spans="1:14" ht="18.2" customHeight="1" x14ac:dyDescent="0.25">
      <c r="A65" s="73" t="s">
        <v>285</v>
      </c>
      <c r="B65" s="74" t="s">
        <v>286</v>
      </c>
      <c r="C65" s="102">
        <v>0</v>
      </c>
      <c r="D65" s="102">
        <v>0</v>
      </c>
      <c r="E65" s="102">
        <v>0</v>
      </c>
      <c r="F65" s="16">
        <v>0</v>
      </c>
    </row>
    <row r="66" spans="1:14" ht="18.2" customHeight="1" x14ac:dyDescent="0.25">
      <c r="A66" s="73" t="s">
        <v>287</v>
      </c>
      <c r="B66" s="74" t="s">
        <v>288</v>
      </c>
      <c r="C66" s="100">
        <f>420+98+95</f>
        <v>613</v>
      </c>
      <c r="D66" s="100">
        <f>19+16+188+15+132+14+14+3+517+420+98+95+1</f>
        <v>1532</v>
      </c>
      <c r="E66" s="100">
        <f>99+186</f>
        <v>285</v>
      </c>
      <c r="F66" s="75">
        <f>97+67+30+81+84+83+264+102+215+99+186+1</f>
        <v>1309</v>
      </c>
      <c r="G66" s="70"/>
      <c r="H66" s="70"/>
      <c r="I66" s="70"/>
      <c r="J66" s="70"/>
      <c r="K66" s="65"/>
      <c r="L66" s="65"/>
      <c r="M66" s="65"/>
      <c r="N66" s="65"/>
    </row>
    <row r="67" spans="1:14" ht="18.2" customHeight="1" x14ac:dyDescent="0.25">
      <c r="A67" s="73" t="s">
        <v>289</v>
      </c>
      <c r="B67" s="74" t="s">
        <v>290</v>
      </c>
      <c r="C67" s="100"/>
      <c r="D67" s="100">
        <f>31+11</f>
        <v>42</v>
      </c>
      <c r="E67" s="102">
        <v>0</v>
      </c>
      <c r="F67" s="75">
        <v>568</v>
      </c>
      <c r="G67" s="70"/>
      <c r="H67" s="70"/>
      <c r="I67" s="70"/>
      <c r="J67" s="70"/>
      <c r="K67" s="65"/>
      <c r="L67" s="65"/>
      <c r="M67" s="65"/>
      <c r="N67" s="65"/>
    </row>
    <row r="68" spans="1:14" ht="18.2" customHeight="1" x14ac:dyDescent="0.25">
      <c r="A68" s="73" t="s">
        <v>291</v>
      </c>
      <c r="B68" s="74" t="s">
        <v>292</v>
      </c>
      <c r="C68" s="100">
        <f>6+4+38</f>
        <v>48</v>
      </c>
      <c r="D68" s="100">
        <f>5+5+39+5+5+40+5+6+41+6+4+38-1</f>
        <v>198</v>
      </c>
      <c r="E68" s="100">
        <f>6+39</f>
        <v>45</v>
      </c>
      <c r="F68" s="75">
        <f>32+32+6+39+86</f>
        <v>195</v>
      </c>
      <c r="G68" s="70"/>
      <c r="H68" s="70"/>
      <c r="I68" s="70"/>
      <c r="J68" s="70"/>
      <c r="K68" s="65"/>
      <c r="L68" s="65"/>
      <c r="M68" s="65"/>
      <c r="N68" s="65"/>
    </row>
    <row r="69" spans="1:14" ht="18.2" customHeight="1" x14ac:dyDescent="0.25">
      <c r="A69" s="73" t="s">
        <v>293</v>
      </c>
      <c r="B69" s="74" t="s">
        <v>294</v>
      </c>
      <c r="C69" s="102">
        <v>0</v>
      </c>
      <c r="D69" s="102">
        <v>0</v>
      </c>
      <c r="E69" s="102">
        <v>0</v>
      </c>
      <c r="F69" s="16">
        <v>0</v>
      </c>
    </row>
    <row r="70" spans="1:14" ht="18.2" customHeight="1" x14ac:dyDescent="0.25">
      <c r="A70" s="73" t="s">
        <v>295</v>
      </c>
      <c r="B70" s="74" t="s">
        <v>296</v>
      </c>
      <c r="C70" s="102">
        <v>0</v>
      </c>
      <c r="D70" s="102">
        <v>0</v>
      </c>
      <c r="E70" s="102">
        <f>6</f>
        <v>6</v>
      </c>
      <c r="F70" s="16" t="s">
        <v>348</v>
      </c>
      <c r="K70" s="65"/>
      <c r="L70" s="65"/>
      <c r="M70" s="65"/>
      <c r="N70" s="65"/>
    </row>
    <row r="71" spans="1:14" ht="22.5" x14ac:dyDescent="0.25">
      <c r="A71" s="73" t="s">
        <v>297</v>
      </c>
      <c r="B71" s="74" t="s">
        <v>53</v>
      </c>
      <c r="C71" s="102">
        <v>0</v>
      </c>
      <c r="D71" s="102">
        <v>0</v>
      </c>
      <c r="E71" s="102">
        <v>0</v>
      </c>
      <c r="F71" s="16">
        <v>0</v>
      </c>
    </row>
    <row r="72" spans="1:14" ht="13.5" customHeight="1" x14ac:dyDescent="0.25">
      <c r="A72" s="76" t="s">
        <v>14</v>
      </c>
      <c r="B72" s="74" t="s">
        <v>11</v>
      </c>
      <c r="C72" s="102" t="s">
        <v>11</v>
      </c>
      <c r="D72" s="102" t="s">
        <v>11</v>
      </c>
      <c r="E72" s="102" t="s">
        <v>11</v>
      </c>
      <c r="F72" s="16" t="s">
        <v>11</v>
      </c>
    </row>
    <row r="73" spans="1:14" ht="18.2" customHeight="1" x14ac:dyDescent="0.25">
      <c r="A73" s="73" t="s">
        <v>298</v>
      </c>
      <c r="B73" s="74" t="s">
        <v>55</v>
      </c>
      <c r="C73" s="102">
        <v>0</v>
      </c>
      <c r="D73" s="102">
        <v>0</v>
      </c>
      <c r="E73" s="102">
        <v>0</v>
      </c>
      <c r="F73" s="16">
        <v>0</v>
      </c>
    </row>
    <row r="74" spans="1:14" ht="18.2" customHeight="1" x14ac:dyDescent="0.25">
      <c r="A74" s="73" t="s">
        <v>299</v>
      </c>
      <c r="B74" s="74" t="s">
        <v>61</v>
      </c>
      <c r="C74" s="102">
        <v>0</v>
      </c>
      <c r="D74" s="102">
        <v>0</v>
      </c>
      <c r="E74" s="102">
        <v>0</v>
      </c>
      <c r="F74" s="16">
        <v>0</v>
      </c>
    </row>
    <row r="75" spans="1:14" ht="18.2" customHeight="1" x14ac:dyDescent="0.25">
      <c r="A75" s="73" t="s">
        <v>300</v>
      </c>
      <c r="B75" s="74" t="s">
        <v>63</v>
      </c>
      <c r="C75" s="102">
        <v>0</v>
      </c>
      <c r="D75" s="102">
        <v>0</v>
      </c>
      <c r="E75" s="102">
        <v>0</v>
      </c>
      <c r="F75" s="16">
        <v>0</v>
      </c>
    </row>
    <row r="76" spans="1:14" ht="18.2" customHeight="1" x14ac:dyDescent="0.25">
      <c r="A76" s="73" t="s">
        <v>301</v>
      </c>
      <c r="B76" s="74" t="s">
        <v>65</v>
      </c>
      <c r="C76" s="102">
        <v>0</v>
      </c>
      <c r="D76" s="102">
        <v>0</v>
      </c>
      <c r="E76" s="102">
        <v>0</v>
      </c>
      <c r="F76" s="16">
        <v>0</v>
      </c>
    </row>
    <row r="77" spans="1:14" ht="18.2" customHeight="1" x14ac:dyDescent="0.25">
      <c r="A77" s="73" t="s">
        <v>302</v>
      </c>
      <c r="B77" s="74" t="s">
        <v>67</v>
      </c>
      <c r="C77" s="102">
        <v>0</v>
      </c>
      <c r="D77" s="102">
        <v>0</v>
      </c>
      <c r="E77" s="102">
        <v>0</v>
      </c>
      <c r="F77" s="16">
        <v>0</v>
      </c>
    </row>
    <row r="78" spans="1:14" ht="18.2" customHeight="1" x14ac:dyDescent="0.25">
      <c r="A78" s="73" t="s">
        <v>303</v>
      </c>
      <c r="B78" s="74" t="s">
        <v>77</v>
      </c>
      <c r="C78" s="100">
        <f>41+208+3161</f>
        <v>3410</v>
      </c>
      <c r="D78" s="100">
        <f>6+1697+73142+48+41+208+3161</f>
        <v>78303</v>
      </c>
      <c r="E78" s="100">
        <f>7525+438</f>
        <v>7963</v>
      </c>
      <c r="F78" s="75">
        <f>266+8765+131+154+119+1091+111+7525+438</f>
        <v>18600</v>
      </c>
      <c r="G78" s="65"/>
      <c r="H78" s="65"/>
      <c r="I78" s="65"/>
      <c r="J78" s="65"/>
      <c r="K78" s="65"/>
      <c r="L78" s="65"/>
      <c r="M78" s="65"/>
      <c r="N78" s="65"/>
    </row>
    <row r="79" spans="1:14" ht="33.75" x14ac:dyDescent="0.25">
      <c r="A79" s="73" t="s">
        <v>304</v>
      </c>
      <c r="B79" s="74" t="s">
        <v>87</v>
      </c>
      <c r="C79" s="100">
        <f>230+858-632</f>
        <v>456</v>
      </c>
      <c r="D79" s="100">
        <f>430+635+12124+4042+1232-907-72599+468+739+230+858-632-1</f>
        <v>-53381</v>
      </c>
      <c r="E79" s="100">
        <f>436-6926+35909</f>
        <v>29419</v>
      </c>
      <c r="F79" s="75">
        <f>400+746+691-8161+596+224+477-719+219+436-6926+35909+1</f>
        <v>23893</v>
      </c>
      <c r="G79" s="65"/>
      <c r="H79" s="65"/>
      <c r="I79" s="65"/>
      <c r="J79" s="65"/>
      <c r="K79" s="65"/>
      <c r="L79" s="65"/>
      <c r="M79" s="65"/>
      <c r="N79" s="65"/>
    </row>
    <row r="80" spans="1:14" ht="18.2" customHeight="1" x14ac:dyDescent="0.25">
      <c r="A80" s="73" t="s">
        <v>305</v>
      </c>
      <c r="B80" s="74" t="s">
        <v>89</v>
      </c>
      <c r="C80" s="100">
        <f>36+3+22</f>
        <v>61</v>
      </c>
      <c r="D80" s="100">
        <f>32+20+36+10+29+23+183+76+36+3+22-1</f>
        <v>469</v>
      </c>
      <c r="E80" s="100">
        <f>23+25+11</f>
        <v>59</v>
      </c>
      <c r="F80" s="75">
        <f>68+61+47+25+23+27+35+10+23+25+11-1</f>
        <v>354</v>
      </c>
      <c r="G80" s="70"/>
      <c r="H80" s="70"/>
      <c r="I80" s="70"/>
      <c r="J80" s="70"/>
      <c r="K80" s="65"/>
      <c r="L80" s="65"/>
      <c r="M80" s="65"/>
      <c r="N80" s="65"/>
    </row>
    <row r="81" spans="1:14" ht="18.2" customHeight="1" x14ac:dyDescent="0.25">
      <c r="A81" s="73" t="s">
        <v>306</v>
      </c>
      <c r="B81" s="74" t="s">
        <v>91</v>
      </c>
      <c r="C81" s="100">
        <f>9652+17864+17148</f>
        <v>44664</v>
      </c>
      <c r="D81" s="100">
        <f>12982+8291+7475+39519+20020+32013+5101+7443+8020+9652+17864+17148+1</f>
        <v>185529</v>
      </c>
      <c r="E81" s="100">
        <f>3071+7930+14527</f>
        <v>25528</v>
      </c>
      <c r="F81" s="75">
        <f>15223+16785+5592+9572+6360+9682+4740+3144+6786+3071+7930+14527+1</f>
        <v>103413</v>
      </c>
      <c r="G81" s="70"/>
      <c r="H81" s="70"/>
      <c r="I81" s="70"/>
      <c r="J81" s="70"/>
      <c r="K81" s="65"/>
      <c r="L81" s="65"/>
      <c r="M81" s="65"/>
      <c r="N81" s="65"/>
    </row>
    <row r="82" spans="1:14" ht="18.2" customHeight="1" x14ac:dyDescent="0.25">
      <c r="A82" s="73" t="s">
        <v>307</v>
      </c>
      <c r="B82" s="74" t="s">
        <v>93</v>
      </c>
      <c r="C82" s="102">
        <v>0</v>
      </c>
      <c r="D82" s="102">
        <v>0</v>
      </c>
      <c r="E82" s="102">
        <v>0</v>
      </c>
      <c r="F82" s="16">
        <v>0</v>
      </c>
    </row>
    <row r="83" spans="1:14" ht="18.2" customHeight="1" x14ac:dyDescent="0.25">
      <c r="A83" s="73" t="s">
        <v>308</v>
      </c>
      <c r="B83" s="74" t="s">
        <v>95</v>
      </c>
      <c r="C83" s="102">
        <v>0</v>
      </c>
      <c r="D83" s="102">
        <v>0</v>
      </c>
      <c r="E83" s="102">
        <f>143</f>
        <v>143</v>
      </c>
      <c r="F83" s="16">
        <f>143</f>
        <v>143</v>
      </c>
    </row>
    <row r="84" spans="1:14" ht="22.5" x14ac:dyDescent="0.25">
      <c r="A84" s="73" t="s">
        <v>309</v>
      </c>
      <c r="B84" s="74" t="s">
        <v>98</v>
      </c>
      <c r="C84" s="102">
        <v>0</v>
      </c>
      <c r="D84" s="102">
        <v>0</v>
      </c>
      <c r="E84" s="102">
        <v>0</v>
      </c>
      <c r="F84" s="16">
        <v>0</v>
      </c>
    </row>
    <row r="85" spans="1:14" ht="22.5" x14ac:dyDescent="0.25">
      <c r="A85" s="73" t="s">
        <v>310</v>
      </c>
      <c r="B85" s="74" t="s">
        <v>100</v>
      </c>
      <c r="C85" s="102">
        <v>0</v>
      </c>
      <c r="D85" s="102">
        <v>0</v>
      </c>
      <c r="E85" s="102">
        <v>0</v>
      </c>
      <c r="F85" s="16">
        <v>0</v>
      </c>
    </row>
    <row r="86" spans="1:14" ht="14.25" customHeight="1" x14ac:dyDescent="0.25">
      <c r="A86" s="76" t="s">
        <v>14</v>
      </c>
      <c r="B86" s="74" t="s">
        <v>11</v>
      </c>
      <c r="C86" s="102" t="s">
        <v>11</v>
      </c>
      <c r="D86" s="102" t="s">
        <v>11</v>
      </c>
      <c r="E86" s="102" t="s">
        <v>11</v>
      </c>
      <c r="F86" s="16" t="s">
        <v>11</v>
      </c>
    </row>
    <row r="87" spans="1:14" ht="18.2" customHeight="1" x14ac:dyDescent="0.25">
      <c r="A87" s="73" t="s">
        <v>311</v>
      </c>
      <c r="B87" s="74" t="s">
        <v>312</v>
      </c>
      <c r="C87" s="102">
        <v>0</v>
      </c>
      <c r="D87" s="102">
        <v>0</v>
      </c>
      <c r="E87" s="102">
        <v>0</v>
      </c>
      <c r="F87" s="16">
        <v>0</v>
      </c>
    </row>
    <row r="88" spans="1:14" ht="18.2" customHeight="1" x14ac:dyDescent="0.25">
      <c r="A88" s="73" t="s">
        <v>313</v>
      </c>
      <c r="B88" s="74" t="s">
        <v>314</v>
      </c>
      <c r="C88" s="102">
        <v>0</v>
      </c>
      <c r="D88" s="102">
        <v>0</v>
      </c>
      <c r="E88" s="102">
        <v>0</v>
      </c>
      <c r="F88" s="16">
        <v>0</v>
      </c>
    </row>
    <row r="89" spans="1:14" ht="18.2" customHeight="1" x14ac:dyDescent="0.25">
      <c r="A89" s="73" t="s">
        <v>315</v>
      </c>
      <c r="B89" s="74" t="s">
        <v>316</v>
      </c>
      <c r="C89" s="102">
        <v>0</v>
      </c>
      <c r="D89" s="102">
        <v>0</v>
      </c>
      <c r="E89" s="102">
        <v>0</v>
      </c>
      <c r="F89" s="16">
        <v>0</v>
      </c>
    </row>
    <row r="90" spans="1:14" ht="18.2" customHeight="1" x14ac:dyDescent="0.25">
      <c r="A90" s="73" t="s">
        <v>317</v>
      </c>
      <c r="B90" s="74" t="s">
        <v>318</v>
      </c>
      <c r="C90" s="102">
        <v>0</v>
      </c>
      <c r="D90" s="102">
        <v>0</v>
      </c>
      <c r="E90" s="102">
        <v>0</v>
      </c>
      <c r="F90" s="16">
        <v>0</v>
      </c>
    </row>
    <row r="91" spans="1:14" ht="33.75" x14ac:dyDescent="0.25">
      <c r="A91" s="73" t="s">
        <v>319</v>
      </c>
      <c r="B91" s="74" t="s">
        <v>102</v>
      </c>
      <c r="C91" s="100">
        <f>73+57</f>
        <v>130</v>
      </c>
      <c r="D91" s="100">
        <f>12+2+429+133+20+64+1+3+73+57+1</f>
        <v>795</v>
      </c>
      <c r="E91" s="100">
        <f>207+44+13</f>
        <v>264</v>
      </c>
      <c r="F91" s="75">
        <f>3+5+1+14+72+77+22+15+207+44+13</f>
        <v>473</v>
      </c>
      <c r="G91" s="65"/>
      <c r="H91" s="65"/>
      <c r="I91" s="65"/>
      <c r="J91" s="65"/>
      <c r="K91" s="65"/>
      <c r="L91" s="65"/>
      <c r="M91" s="65"/>
      <c r="N91" s="65"/>
    </row>
    <row r="92" spans="1:14" ht="18.2" customHeight="1" x14ac:dyDescent="0.25">
      <c r="A92" s="73" t="s">
        <v>320</v>
      </c>
      <c r="B92" s="74" t="s">
        <v>104</v>
      </c>
      <c r="C92" s="100">
        <f>6976+4601+7376</f>
        <v>18953</v>
      </c>
      <c r="D92" s="100">
        <f>6848+4535+11255+8486+5583+4569+7489+5646+5526+6976+4601+7376+1</f>
        <v>78891</v>
      </c>
      <c r="E92" s="100">
        <f>4575+8611+7023</f>
        <v>20209</v>
      </c>
      <c r="F92" s="75">
        <f>8511+6063+9696+6269+9550+5091+5843+9142+5996+4575+8611+7023-1</f>
        <v>86369</v>
      </c>
      <c r="G92" s="65"/>
      <c r="H92" s="65"/>
      <c r="I92" s="65"/>
      <c r="J92" s="65"/>
      <c r="K92" s="65"/>
      <c r="L92" s="65"/>
      <c r="M92" s="65"/>
      <c r="N92" s="65"/>
    </row>
    <row r="93" spans="1:14" ht="13.5" customHeight="1" x14ac:dyDescent="0.25">
      <c r="A93" s="76" t="s">
        <v>14</v>
      </c>
      <c r="B93" s="74" t="s">
        <v>11</v>
      </c>
      <c r="C93" s="100" t="s">
        <v>11</v>
      </c>
      <c r="D93" s="100" t="s">
        <v>11</v>
      </c>
      <c r="E93" s="100" t="s">
        <v>11</v>
      </c>
      <c r="F93" s="75" t="s">
        <v>11</v>
      </c>
    </row>
    <row r="94" spans="1:14" ht="18.2" customHeight="1" x14ac:dyDescent="0.25">
      <c r="A94" s="73" t="s">
        <v>208</v>
      </c>
      <c r="B94" s="74" t="s">
        <v>321</v>
      </c>
      <c r="C94" s="100">
        <f>2174+2546+2979</f>
        <v>7699</v>
      </c>
      <c r="D94" s="100">
        <f>4289+2963+3558+3880+3622+2938+3722+4302+3941+2174+2546+2979</f>
        <v>40914</v>
      </c>
      <c r="E94" s="100">
        <f>3300+3907+4650</f>
        <v>11857</v>
      </c>
      <c r="F94" s="75">
        <f>3793+3662+5025+3528+5110+3822+4232+5259+3435+3330+3907+4650+1</f>
        <v>49754</v>
      </c>
      <c r="G94" s="65"/>
      <c r="H94" s="65"/>
      <c r="I94" s="65"/>
      <c r="J94" s="65"/>
      <c r="K94" s="65"/>
      <c r="L94" s="65"/>
      <c r="M94" s="65"/>
      <c r="N94" s="65"/>
    </row>
    <row r="95" spans="1:14" ht="18.2" customHeight="1" x14ac:dyDescent="0.25">
      <c r="A95" s="73" t="s">
        <v>322</v>
      </c>
      <c r="B95" s="74" t="s">
        <v>323</v>
      </c>
      <c r="C95" s="102">
        <v>0</v>
      </c>
      <c r="D95" s="102">
        <v>0</v>
      </c>
      <c r="E95" s="102">
        <v>0</v>
      </c>
      <c r="F95" s="16">
        <v>0</v>
      </c>
      <c r="G95" s="65"/>
      <c r="H95" s="65"/>
      <c r="I95" s="65"/>
      <c r="J95" s="65"/>
      <c r="K95" s="65"/>
      <c r="L95" s="65"/>
      <c r="M95" s="65"/>
      <c r="N95" s="65"/>
    </row>
    <row r="96" spans="1:14" ht="18.2" customHeight="1" x14ac:dyDescent="0.25">
      <c r="A96" s="73" t="s">
        <v>324</v>
      </c>
      <c r="B96" s="74" t="s">
        <v>325</v>
      </c>
      <c r="C96" s="100">
        <f>4469+1687+3464</f>
        <v>9620</v>
      </c>
      <c r="D96" s="100">
        <f>31768</f>
        <v>31768</v>
      </c>
      <c r="E96" s="100">
        <f>814+4209+1813</f>
        <v>6836</v>
      </c>
      <c r="F96" s="75">
        <f>4200+1898+4082+2292+3852+790+1111+3276+2115+814+4209+1813</f>
        <v>30452</v>
      </c>
      <c r="G96" s="65"/>
      <c r="H96" s="65"/>
      <c r="I96" s="65"/>
      <c r="J96" s="65"/>
      <c r="K96" s="65"/>
      <c r="L96" s="65"/>
      <c r="M96" s="65"/>
      <c r="N96" s="65"/>
    </row>
    <row r="97" spans="1:14" ht="18.2" customHeight="1" x14ac:dyDescent="0.25">
      <c r="A97" s="73" t="s">
        <v>326</v>
      </c>
      <c r="B97" s="74" t="s">
        <v>327</v>
      </c>
      <c r="C97" s="100">
        <f>47+47+47</f>
        <v>141</v>
      </c>
      <c r="D97" s="100">
        <f>58+60+60+58+58+58+56+48+47+47+47+47+1</f>
        <v>645</v>
      </c>
      <c r="E97" s="100">
        <f>54+56+55</f>
        <v>165</v>
      </c>
      <c r="F97" s="75">
        <f>98+96+58+55+55+55+54+54+54+54+56+55-1</f>
        <v>743</v>
      </c>
      <c r="G97" s="65"/>
      <c r="H97" s="65"/>
      <c r="I97" s="65"/>
      <c r="J97" s="65"/>
      <c r="K97" s="65"/>
      <c r="L97" s="65"/>
      <c r="M97" s="65"/>
      <c r="N97" s="65"/>
    </row>
    <row r="98" spans="1:14" ht="22.5" x14ac:dyDescent="0.25">
      <c r="A98" s="73" t="s">
        <v>328</v>
      </c>
      <c r="B98" s="74" t="s">
        <v>329</v>
      </c>
      <c r="C98" s="100">
        <f>286+321+358</f>
        <v>965</v>
      </c>
      <c r="D98" s="100">
        <f>470+351+411+440+417+351+423+483+447+286+321+358</f>
        <v>4758</v>
      </c>
      <c r="E98" s="100">
        <f>377+439+505</f>
        <v>1321</v>
      </c>
      <c r="F98" s="75">
        <f>420+407+531+394+533+424+446+553+391+377+439+505-1</f>
        <v>5419</v>
      </c>
      <c r="G98" s="65"/>
      <c r="H98" s="65"/>
      <c r="I98" s="65"/>
      <c r="J98" s="65"/>
      <c r="K98" s="65"/>
      <c r="L98" s="65"/>
      <c r="M98" s="65"/>
      <c r="N98" s="65"/>
    </row>
    <row r="99" spans="1:14" ht="18.2" customHeight="1" x14ac:dyDescent="0.25">
      <c r="A99" s="73" t="s">
        <v>209</v>
      </c>
      <c r="B99" s="74" t="s">
        <v>330</v>
      </c>
      <c r="C99" s="100">
        <f>528</f>
        <v>528</v>
      </c>
      <c r="D99" s="100">
        <f>528+278</f>
        <v>806</v>
      </c>
      <c r="E99" s="100"/>
      <c r="F99" s="75">
        <v>1</v>
      </c>
      <c r="G99" s="65"/>
      <c r="H99" s="65"/>
      <c r="I99" s="65"/>
      <c r="J99" s="65"/>
      <c r="K99" s="65"/>
      <c r="L99" s="65"/>
      <c r="M99" s="65"/>
      <c r="N99" s="65"/>
    </row>
    <row r="100" spans="1:14" ht="18.2" customHeight="1" x14ac:dyDescent="0.25">
      <c r="A100" s="73" t="s">
        <v>331</v>
      </c>
      <c r="B100" s="74" t="s">
        <v>106</v>
      </c>
      <c r="C100" s="100"/>
      <c r="D100" s="100">
        <f>174</f>
        <v>174</v>
      </c>
      <c r="E100" s="102">
        <v>0</v>
      </c>
      <c r="F100" s="16">
        <v>0</v>
      </c>
      <c r="G100" s="65"/>
      <c r="H100" s="65"/>
      <c r="I100" s="65"/>
      <c r="J100" s="65"/>
      <c r="K100" s="65"/>
      <c r="L100" s="65"/>
      <c r="M100" s="65"/>
      <c r="N100" s="65"/>
    </row>
    <row r="101" spans="1:14" ht="21.95" customHeight="1" x14ac:dyDescent="0.25">
      <c r="A101" s="78" t="s">
        <v>332</v>
      </c>
      <c r="B101" s="74" t="s">
        <v>108</v>
      </c>
      <c r="C101" s="104">
        <f>17545+23905+27667</f>
        <v>69117</v>
      </c>
      <c r="D101" s="104">
        <f>20415+13599+31645+52179+27232+37563+13343+14085+15046+17545+23905+27667</f>
        <v>294224</v>
      </c>
      <c r="E101" s="104">
        <f>8566+17305+58377</f>
        <v>84248</v>
      </c>
      <c r="F101" s="79">
        <f>25214+24312+17286+17174+17081+15599+11787+13010+13526+8566+17305+58377+2</f>
        <v>239239</v>
      </c>
      <c r="G101" s="71"/>
      <c r="H101" s="71"/>
      <c r="I101" s="71"/>
      <c r="J101" s="71"/>
      <c r="K101" s="65"/>
      <c r="L101" s="65"/>
      <c r="M101" s="65"/>
      <c r="N101" s="65"/>
    </row>
    <row r="102" spans="1:14" ht="21.95" customHeight="1" x14ac:dyDescent="0.25">
      <c r="A102" s="78" t="s">
        <v>333</v>
      </c>
      <c r="B102" s="74" t="s">
        <v>110</v>
      </c>
      <c r="C102" s="104">
        <f>-4355-10903-8042</f>
        <v>-23300</v>
      </c>
      <c r="D102" s="104">
        <f>-8309+300+61707-25793-15726-8032+10629-2203+5845-4355-10903-8042-1</f>
        <v>-4883</v>
      </c>
      <c r="E102" s="104">
        <f>288-7098-43063</f>
        <v>-49873</v>
      </c>
      <c r="F102" s="79">
        <f>-7779-6354+8697-1120+1183-4489+1129-926-3914+288-7098-43063-1</f>
        <v>-63447</v>
      </c>
      <c r="G102" s="65"/>
      <c r="H102" s="65"/>
      <c r="I102" s="65"/>
      <c r="J102" s="65"/>
      <c r="K102" s="65"/>
      <c r="L102" s="65"/>
      <c r="M102" s="65"/>
      <c r="N102" s="65"/>
    </row>
    <row r="103" spans="1:14" ht="21.95" customHeight="1" x14ac:dyDescent="0.25">
      <c r="A103" s="73" t="s">
        <v>210</v>
      </c>
      <c r="B103" s="74" t="s">
        <v>112</v>
      </c>
      <c r="C103" s="102">
        <v>0</v>
      </c>
      <c r="D103" s="102">
        <v>0</v>
      </c>
      <c r="E103" s="102">
        <v>0</v>
      </c>
      <c r="F103" s="16">
        <v>0</v>
      </c>
    </row>
    <row r="104" spans="1:14" ht="22.5" x14ac:dyDescent="0.25">
      <c r="A104" s="78" t="s">
        <v>334</v>
      </c>
      <c r="B104" s="74" t="s">
        <v>135</v>
      </c>
      <c r="C104" s="104">
        <f>-4355-10903-8042</f>
        <v>-23300</v>
      </c>
      <c r="D104" s="104">
        <v>-4883</v>
      </c>
      <c r="E104" s="104">
        <f>288-7098-43063</f>
        <v>-49873</v>
      </c>
      <c r="F104" s="79">
        <v>-63447</v>
      </c>
      <c r="G104" s="65"/>
      <c r="H104" s="65"/>
      <c r="I104" s="65"/>
      <c r="J104" s="65"/>
      <c r="K104" s="65"/>
      <c r="L104" s="65"/>
      <c r="M104" s="65"/>
      <c r="N104" s="65"/>
    </row>
    <row r="105" spans="1:14" ht="18.2" customHeight="1" x14ac:dyDescent="0.25">
      <c r="A105" s="73" t="s">
        <v>211</v>
      </c>
      <c r="B105" s="74" t="s">
        <v>145</v>
      </c>
      <c r="C105" s="102">
        <v>0</v>
      </c>
      <c r="D105" s="102">
        <v>0</v>
      </c>
      <c r="E105" s="102">
        <v>0</v>
      </c>
      <c r="F105" s="16">
        <v>0</v>
      </c>
    </row>
    <row r="106" spans="1:14" ht="18.2" customHeight="1" x14ac:dyDescent="0.25">
      <c r="A106" s="78" t="s">
        <v>335</v>
      </c>
      <c r="B106" s="74" t="s">
        <v>147</v>
      </c>
      <c r="C106" s="104">
        <f>-4355-10903-8042</f>
        <v>-23300</v>
      </c>
      <c r="D106" s="104">
        <v>-4883</v>
      </c>
      <c r="E106" s="104">
        <f>288-7098-43063</f>
        <v>-49873</v>
      </c>
      <c r="F106" s="79">
        <v>-63447</v>
      </c>
      <c r="G106" s="65"/>
      <c r="H106" s="65"/>
      <c r="I106" s="65"/>
      <c r="J106" s="65"/>
      <c r="K106" s="65"/>
      <c r="L106" s="65"/>
      <c r="M106" s="65"/>
      <c r="N106" s="65"/>
    </row>
    <row r="107" spans="1:14" ht="23.25" customHeight="1" x14ac:dyDescent="0.25">
      <c r="C107" s="105"/>
      <c r="D107" s="105"/>
      <c r="E107" s="105"/>
      <c r="F107" s="65"/>
    </row>
    <row r="108" spans="1:14" ht="14.45" customHeight="1" x14ac:dyDescent="0.25">
      <c r="A108" s="64" t="s">
        <v>337</v>
      </c>
      <c r="C108" s="105"/>
      <c r="D108" s="105"/>
      <c r="E108" s="105"/>
      <c r="F108" s="65"/>
    </row>
    <row r="109" spans="1:14" ht="9.1999999999999993" customHeight="1" x14ac:dyDescent="0.25"/>
    <row r="110" spans="1:14" ht="14.45" customHeight="1" x14ac:dyDescent="0.25">
      <c r="A110" s="95" t="s">
        <v>11</v>
      </c>
      <c r="B110" s="96"/>
      <c r="C110" s="96"/>
      <c r="D110" s="96"/>
      <c r="E110" s="96"/>
      <c r="F110" s="89"/>
    </row>
    <row r="111" spans="1:14" ht="30" customHeight="1" x14ac:dyDescent="0.25"/>
    <row r="112" spans="1:14" ht="14.45" customHeight="1" x14ac:dyDescent="0.25">
      <c r="A112" s="83" t="s">
        <v>338</v>
      </c>
      <c r="B112" s="87"/>
      <c r="C112" s="106" t="s">
        <v>339</v>
      </c>
      <c r="D112" s="107"/>
      <c r="E112" s="108"/>
    </row>
    <row r="113" spans="1:4" ht="21.95" customHeight="1" x14ac:dyDescent="0.25"/>
    <row r="114" spans="1:4" ht="14.45" customHeight="1" x14ac:dyDescent="0.25">
      <c r="A114" s="83" t="s">
        <v>340</v>
      </c>
      <c r="B114" s="87"/>
      <c r="C114" s="106" t="s">
        <v>193</v>
      </c>
      <c r="D114" s="108"/>
    </row>
    <row r="115" spans="1:4" ht="10.7" customHeight="1" x14ac:dyDescent="0.25"/>
    <row r="116" spans="1:4" ht="14.45" customHeight="1" x14ac:dyDescent="0.25">
      <c r="A116" s="83" t="s">
        <v>341</v>
      </c>
      <c r="B116" s="84"/>
      <c r="C116" s="109" t="s">
        <v>198</v>
      </c>
      <c r="D116" s="110"/>
    </row>
    <row r="117" spans="1:4" ht="11.45" customHeight="1" x14ac:dyDescent="0.25"/>
    <row r="118" spans="1:4" ht="14.45" customHeight="1" x14ac:dyDescent="0.25">
      <c r="A118" s="83" t="s">
        <v>342</v>
      </c>
      <c r="B118" s="87"/>
      <c r="C118" s="111" t="s">
        <v>194</v>
      </c>
      <c r="D118" s="108"/>
    </row>
    <row r="119" spans="1:4" ht="12.95" customHeight="1" x14ac:dyDescent="0.25"/>
    <row r="120" spans="1:4" ht="14.45" customHeight="1" x14ac:dyDescent="0.25">
      <c r="A120" s="83" t="s">
        <v>192</v>
      </c>
      <c r="B120" s="84"/>
      <c r="C120" s="109" t="s">
        <v>191</v>
      </c>
      <c r="D120" s="110"/>
    </row>
    <row r="121" spans="1:4" ht="12.95" customHeight="1" x14ac:dyDescent="0.25"/>
    <row r="122" spans="1:4" ht="14.45" customHeight="1" x14ac:dyDescent="0.25">
      <c r="A122" s="83" t="s">
        <v>343</v>
      </c>
      <c r="B122" s="84"/>
      <c r="C122" s="109" t="s">
        <v>191</v>
      </c>
      <c r="D122" s="110"/>
    </row>
    <row r="123" spans="1:4" ht="13.7" customHeight="1" x14ac:dyDescent="0.25"/>
    <row r="124" spans="1:4" ht="14.45" customHeight="1" x14ac:dyDescent="0.25">
      <c r="A124" s="83" t="s">
        <v>344</v>
      </c>
      <c r="B124" s="84"/>
      <c r="C124" s="109" t="s">
        <v>190</v>
      </c>
      <c r="D124" s="110"/>
    </row>
    <row r="125" spans="1:4" ht="12.95" customHeight="1" x14ac:dyDescent="0.25"/>
    <row r="126" spans="1:4" ht="14.45" customHeight="1" x14ac:dyDescent="0.25">
      <c r="A126" s="83" t="s">
        <v>345</v>
      </c>
      <c r="B126" s="84"/>
      <c r="C126" s="112" t="s">
        <v>345</v>
      </c>
    </row>
    <row r="127" spans="1:4" ht="18.2" customHeight="1" x14ac:dyDescent="0.25"/>
  </sheetData>
  <mergeCells count="18">
    <mergeCell ref="A114:B114"/>
    <mergeCell ref="C114:D114"/>
    <mergeCell ref="A1:F1"/>
    <mergeCell ref="A3:C3"/>
    <mergeCell ref="A110:F110"/>
    <mergeCell ref="A112:B112"/>
    <mergeCell ref="C112:E112"/>
    <mergeCell ref="A116:B116"/>
    <mergeCell ref="C116:D116"/>
    <mergeCell ref="A118:B118"/>
    <mergeCell ref="C118:D118"/>
    <mergeCell ref="A120:B120"/>
    <mergeCell ref="C120:D120"/>
    <mergeCell ref="A122:B122"/>
    <mergeCell ref="C122:D122"/>
    <mergeCell ref="A124:B124"/>
    <mergeCell ref="C124:D124"/>
    <mergeCell ref="A126:B126"/>
  </mergeCells>
  <hyperlinks>
    <hyperlink ref="C118" r:id="rId1"/>
  </hyperlinks>
  <pageMargins left="0" right="0" top="0" bottom="0" header="0.31496062992125984" footer="0.31496062992125984"/>
  <pageSetup paperSize="9" scale="66" fitToHeight="2" orientation="portrait" r:id="rId2"/>
  <rowBreaks count="1" manualBreakCount="1">
    <brk id="1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ф10 41</vt:lpstr>
      <vt:lpstr>ф11 41</vt:lpstr>
      <vt:lpstr>'ф11 41'!Заголовки_для_печати</vt:lpstr>
      <vt:lpstr>'ф10 41'!Область_печати</vt:lpstr>
      <vt:lpstr>'ф11 41'!Область_печати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Aigul Tatibaeva</dc:creator>
  <cp:lastModifiedBy>Aigul Tatibaeva</cp:lastModifiedBy>
  <cp:lastPrinted>2020-10-08T08:37:38Z</cp:lastPrinted>
  <dcterms:created xsi:type="dcterms:W3CDTF">2020-10-08T07:25:38Z</dcterms:created>
  <dcterms:modified xsi:type="dcterms:W3CDTF">2021-01-18T15:35:49Z</dcterms:modified>
</cp:coreProperties>
</file>