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3 год\KASE\март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VREP_700_ND_RESPONDENTundefined!$A$9:$I$725</definedName>
  </definedNames>
  <calcPr calcId="0"/>
</workbook>
</file>

<file path=xl/calcChain.xml><?xml version="1.0" encoding="utf-8"?>
<calcChain xmlns="http://schemas.openxmlformats.org/spreadsheetml/2006/main">
  <c r="D359" i="1" l="1"/>
  <c r="E359" i="1"/>
  <c r="F359" i="1"/>
  <c r="G359" i="1"/>
  <c r="H359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60" i="1"/>
  <c r="E360" i="1"/>
  <c r="F360" i="1"/>
  <c r="G360" i="1"/>
  <c r="H360" i="1"/>
  <c r="D376" i="1"/>
  <c r="E376" i="1"/>
  <c r="F376" i="1"/>
  <c r="G376" i="1"/>
  <c r="H376" i="1"/>
  <c r="D374" i="1"/>
  <c r="E374" i="1"/>
  <c r="F374" i="1"/>
  <c r="G374" i="1"/>
  <c r="H374" i="1"/>
  <c r="D375" i="1"/>
  <c r="E375" i="1"/>
  <c r="F375" i="1"/>
  <c r="G375" i="1"/>
  <c r="H375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0" i="1"/>
  <c r="E380" i="1"/>
  <c r="F380" i="1"/>
  <c r="G380" i="1"/>
  <c r="H380" i="1"/>
  <c r="D385" i="1"/>
  <c r="E385" i="1"/>
  <c r="F385" i="1"/>
  <c r="G385" i="1"/>
  <c r="H385" i="1"/>
  <c r="D386" i="1"/>
  <c r="E386" i="1"/>
  <c r="F386" i="1"/>
  <c r="G386" i="1"/>
  <c r="H386" i="1"/>
  <c r="D388" i="1"/>
  <c r="E388" i="1"/>
  <c r="F388" i="1"/>
  <c r="G388" i="1"/>
  <c r="H388" i="1"/>
  <c r="D390" i="1"/>
  <c r="E390" i="1"/>
  <c r="F390" i="1"/>
  <c r="G390" i="1"/>
  <c r="H390" i="1"/>
  <c r="D391" i="1"/>
  <c r="E391" i="1"/>
  <c r="F391" i="1"/>
  <c r="G391" i="1"/>
  <c r="H391" i="1"/>
  <c r="D387" i="1"/>
  <c r="E387" i="1"/>
  <c r="F387" i="1"/>
  <c r="G387" i="1"/>
  <c r="H387" i="1"/>
  <c r="D389" i="1"/>
  <c r="E389" i="1"/>
  <c r="F389" i="1"/>
  <c r="G389" i="1"/>
  <c r="H389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2" i="1"/>
  <c r="E412" i="1"/>
  <c r="F412" i="1"/>
  <c r="G412" i="1"/>
  <c r="H412" i="1"/>
  <c r="D411" i="1"/>
  <c r="E411" i="1"/>
  <c r="F411" i="1"/>
  <c r="G411" i="1"/>
  <c r="H411" i="1"/>
  <c r="D413" i="1"/>
  <c r="E413" i="1"/>
  <c r="F413" i="1"/>
  <c r="G413" i="1"/>
  <c r="H413" i="1"/>
  <c r="D410" i="1"/>
  <c r="E410" i="1"/>
  <c r="F410" i="1"/>
  <c r="G410" i="1"/>
  <c r="H410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21" i="1"/>
  <c r="E421" i="1"/>
  <c r="F421" i="1"/>
  <c r="G421" i="1"/>
  <c r="H421" i="1"/>
  <c r="D417" i="1"/>
  <c r="E417" i="1"/>
  <c r="F417" i="1"/>
  <c r="G417" i="1"/>
  <c r="H417" i="1"/>
  <c r="D418" i="1"/>
  <c r="E418" i="1"/>
  <c r="F418" i="1"/>
  <c r="G418" i="1"/>
  <c r="H418" i="1"/>
  <c r="D424" i="1"/>
  <c r="E424" i="1"/>
  <c r="F424" i="1"/>
  <c r="G424" i="1"/>
  <c r="H424" i="1"/>
  <c r="D422" i="1"/>
  <c r="E422" i="1"/>
  <c r="F422" i="1"/>
  <c r="G422" i="1"/>
  <c r="H422" i="1"/>
  <c r="D423" i="1"/>
  <c r="E423" i="1"/>
  <c r="F423" i="1"/>
  <c r="G423" i="1"/>
  <c r="H423" i="1"/>
  <c r="D419" i="1"/>
  <c r="E419" i="1"/>
  <c r="F419" i="1"/>
  <c r="G419" i="1"/>
  <c r="H419" i="1"/>
  <c r="D425" i="1"/>
  <c r="E425" i="1"/>
  <c r="F425" i="1"/>
  <c r="G425" i="1"/>
  <c r="H425" i="1"/>
  <c r="D420" i="1"/>
  <c r="E420" i="1"/>
  <c r="F420" i="1"/>
  <c r="G420" i="1"/>
  <c r="H420" i="1"/>
  <c r="D427" i="1"/>
  <c r="E427" i="1"/>
  <c r="F427" i="1"/>
  <c r="G427" i="1"/>
  <c r="H427" i="1"/>
  <c r="D426" i="1"/>
  <c r="E426" i="1"/>
  <c r="F426" i="1"/>
  <c r="G426" i="1"/>
  <c r="H426" i="1"/>
  <c r="D428" i="1"/>
  <c r="E428" i="1"/>
  <c r="F428" i="1"/>
  <c r="G428" i="1"/>
  <c r="H428" i="1"/>
  <c r="D434" i="1"/>
  <c r="E434" i="1"/>
  <c r="F434" i="1"/>
  <c r="G434" i="1"/>
  <c r="H434" i="1"/>
  <c r="D431" i="1"/>
  <c r="E431" i="1"/>
  <c r="F431" i="1"/>
  <c r="G431" i="1"/>
  <c r="H431" i="1"/>
  <c r="D432" i="1"/>
  <c r="E432" i="1"/>
  <c r="F432" i="1"/>
  <c r="G432" i="1"/>
  <c r="H432" i="1"/>
  <c r="D429" i="1"/>
  <c r="E429" i="1"/>
  <c r="F429" i="1"/>
  <c r="G429" i="1"/>
  <c r="H429" i="1"/>
  <c r="D436" i="1"/>
  <c r="E436" i="1"/>
  <c r="F436" i="1"/>
  <c r="G436" i="1"/>
  <c r="H436" i="1"/>
  <c r="D430" i="1"/>
  <c r="E430" i="1"/>
  <c r="F430" i="1"/>
  <c r="G430" i="1"/>
  <c r="H430" i="1"/>
  <c r="D433" i="1"/>
  <c r="E433" i="1"/>
  <c r="F433" i="1"/>
  <c r="G433" i="1"/>
  <c r="H433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35" i="1"/>
  <c r="E435" i="1"/>
  <c r="F435" i="1"/>
  <c r="G435" i="1"/>
  <c r="H435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6" i="1"/>
  <c r="E446" i="1"/>
  <c r="F446" i="1"/>
  <c r="G446" i="1"/>
  <c r="H446" i="1"/>
  <c r="D444" i="1"/>
  <c r="E444" i="1"/>
  <c r="F444" i="1"/>
  <c r="G444" i="1"/>
  <c r="H444" i="1"/>
  <c r="D445" i="1"/>
  <c r="E445" i="1"/>
  <c r="F445" i="1"/>
  <c r="G445" i="1"/>
  <c r="H445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9" i="1"/>
  <c r="E469" i="1"/>
  <c r="F469" i="1"/>
  <c r="G469" i="1"/>
  <c r="H469" i="1"/>
  <c r="D464" i="1"/>
  <c r="E464" i="1"/>
  <c r="F464" i="1"/>
  <c r="G464" i="1"/>
  <c r="H464" i="1"/>
  <c r="D470" i="1"/>
  <c r="E470" i="1"/>
  <c r="F470" i="1"/>
  <c r="G470" i="1"/>
  <c r="H470" i="1"/>
  <c r="D465" i="1"/>
  <c r="E465" i="1"/>
  <c r="F465" i="1"/>
  <c r="G465" i="1"/>
  <c r="H465" i="1"/>
  <c r="D471" i="1"/>
  <c r="E471" i="1"/>
  <c r="F471" i="1"/>
  <c r="G471" i="1"/>
  <c r="H471" i="1"/>
  <c r="D466" i="1"/>
  <c r="E466" i="1"/>
  <c r="F466" i="1"/>
  <c r="G466" i="1"/>
  <c r="H466" i="1"/>
  <c r="D472" i="1"/>
  <c r="E472" i="1"/>
  <c r="F472" i="1"/>
  <c r="G472" i="1"/>
  <c r="H472" i="1"/>
  <c r="D467" i="1"/>
  <c r="E467" i="1"/>
  <c r="F467" i="1"/>
  <c r="G467" i="1"/>
  <c r="H467" i="1"/>
  <c r="D468" i="1"/>
  <c r="E468" i="1"/>
  <c r="F468" i="1"/>
  <c r="G468" i="1"/>
  <c r="H468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9" i="1"/>
  <c r="E479" i="1"/>
  <c r="F479" i="1"/>
  <c r="G479" i="1"/>
  <c r="H479" i="1"/>
  <c r="D480" i="1"/>
  <c r="E480" i="1"/>
  <c r="F480" i="1"/>
  <c r="G480" i="1"/>
  <c r="H480" i="1"/>
  <c r="D478" i="1"/>
  <c r="E478" i="1"/>
  <c r="F478" i="1"/>
  <c r="G478" i="1"/>
  <c r="H478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91" i="1"/>
  <c r="E491" i="1"/>
  <c r="F491" i="1"/>
  <c r="G491" i="1"/>
  <c r="H491" i="1"/>
  <c r="D489" i="1"/>
  <c r="E489" i="1"/>
  <c r="F489" i="1"/>
  <c r="G489" i="1"/>
  <c r="H489" i="1"/>
  <c r="D490" i="1"/>
  <c r="E490" i="1"/>
  <c r="F490" i="1"/>
  <c r="G490" i="1"/>
  <c r="H490" i="1"/>
  <c r="D493" i="1"/>
  <c r="E493" i="1"/>
  <c r="F493" i="1"/>
  <c r="G493" i="1"/>
  <c r="H493" i="1"/>
  <c r="D492" i="1"/>
  <c r="E492" i="1"/>
  <c r="F492" i="1"/>
  <c r="G492" i="1"/>
  <c r="H492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7" i="1"/>
  <c r="E507" i="1"/>
  <c r="F507" i="1"/>
  <c r="G507" i="1"/>
  <c r="H507" i="1"/>
  <c r="D512" i="1"/>
  <c r="E512" i="1"/>
  <c r="F512" i="1"/>
  <c r="G512" i="1"/>
  <c r="H512" i="1"/>
  <c r="D503" i="1"/>
  <c r="E503" i="1"/>
  <c r="F503" i="1"/>
  <c r="G503" i="1"/>
  <c r="H503" i="1"/>
  <c r="D511" i="1"/>
  <c r="E511" i="1"/>
  <c r="F511" i="1"/>
  <c r="G511" i="1"/>
  <c r="H511" i="1"/>
  <c r="D508" i="1"/>
  <c r="E508" i="1"/>
  <c r="F508" i="1"/>
  <c r="G508" i="1"/>
  <c r="H508" i="1"/>
  <c r="D501" i="1"/>
  <c r="E501" i="1"/>
  <c r="F501" i="1"/>
  <c r="G501" i="1"/>
  <c r="H501" i="1"/>
  <c r="D509" i="1"/>
  <c r="E509" i="1"/>
  <c r="F509" i="1"/>
  <c r="G509" i="1"/>
  <c r="H509" i="1"/>
  <c r="D502" i="1"/>
  <c r="E502" i="1"/>
  <c r="F502" i="1"/>
  <c r="G502" i="1"/>
  <c r="H502" i="1"/>
  <c r="D513" i="1"/>
  <c r="E513" i="1"/>
  <c r="F513" i="1"/>
  <c r="G513" i="1"/>
  <c r="H513" i="1"/>
  <c r="D514" i="1"/>
  <c r="E514" i="1"/>
  <c r="F514" i="1"/>
  <c r="G514" i="1"/>
  <c r="H514" i="1"/>
  <c r="D517" i="1"/>
  <c r="E517" i="1"/>
  <c r="F517" i="1"/>
  <c r="G517" i="1"/>
  <c r="H517" i="1"/>
  <c r="D515" i="1"/>
  <c r="E515" i="1"/>
  <c r="F515" i="1"/>
  <c r="G515" i="1"/>
  <c r="H515" i="1"/>
  <c r="D518" i="1"/>
  <c r="E518" i="1"/>
  <c r="F518" i="1"/>
  <c r="G518" i="1"/>
  <c r="H518" i="1"/>
  <c r="D516" i="1"/>
  <c r="E516" i="1"/>
  <c r="F516" i="1"/>
  <c r="G516" i="1"/>
  <c r="H516" i="1"/>
  <c r="D519" i="1"/>
  <c r="E519" i="1"/>
  <c r="F519" i="1"/>
  <c r="G519" i="1"/>
  <c r="H519" i="1"/>
  <c r="D520" i="1"/>
  <c r="E520" i="1"/>
  <c r="F520" i="1"/>
  <c r="G520" i="1"/>
  <c r="H520" i="1"/>
  <c r="D527" i="1"/>
  <c r="E527" i="1"/>
  <c r="F527" i="1"/>
  <c r="G527" i="1"/>
  <c r="H527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8" i="1"/>
  <c r="E528" i="1"/>
  <c r="F528" i="1"/>
  <c r="G528" i="1"/>
  <c r="H528" i="1"/>
  <c r="D530" i="1"/>
  <c r="E530" i="1"/>
  <c r="F530" i="1"/>
  <c r="G530" i="1"/>
  <c r="H530" i="1"/>
  <c r="D529" i="1"/>
  <c r="E529" i="1"/>
  <c r="F529" i="1"/>
  <c r="G529" i="1"/>
  <c r="H529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6" i="1"/>
  <c r="E536" i="1"/>
  <c r="F536" i="1"/>
  <c r="G536" i="1"/>
  <c r="H536" i="1"/>
  <c r="D537" i="1"/>
  <c r="E537" i="1"/>
  <c r="F537" i="1"/>
  <c r="G537" i="1"/>
  <c r="H537" i="1"/>
  <c r="D535" i="1"/>
  <c r="E535" i="1"/>
  <c r="F535" i="1"/>
  <c r="G535" i="1"/>
  <c r="H535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55" i="1"/>
  <c r="E555" i="1"/>
  <c r="F555" i="1"/>
  <c r="G555" i="1"/>
  <c r="H555" i="1"/>
  <c r="D554" i="1"/>
  <c r="E554" i="1"/>
  <c r="F554" i="1"/>
  <c r="G554" i="1"/>
  <c r="H554" i="1"/>
  <c r="D556" i="1"/>
  <c r="E556" i="1"/>
  <c r="F556" i="1"/>
  <c r="G556" i="1"/>
  <c r="H556" i="1"/>
  <c r="D541" i="1"/>
  <c r="E541" i="1"/>
  <c r="F541" i="1"/>
  <c r="G541" i="1"/>
  <c r="H541" i="1"/>
  <c r="D551" i="1"/>
  <c r="E551" i="1"/>
  <c r="F551" i="1"/>
  <c r="G551" i="1"/>
  <c r="H551" i="1"/>
  <c r="D542" i="1"/>
  <c r="E542" i="1"/>
  <c r="F542" i="1"/>
  <c r="G542" i="1"/>
  <c r="H542" i="1"/>
  <c r="D553" i="1"/>
  <c r="E553" i="1"/>
  <c r="F553" i="1"/>
  <c r="G553" i="1"/>
  <c r="H553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57" i="1"/>
  <c r="E557" i="1"/>
  <c r="F557" i="1"/>
  <c r="G557" i="1"/>
  <c r="H557" i="1"/>
  <c r="D546" i="1"/>
  <c r="E546" i="1"/>
  <c r="F546" i="1"/>
  <c r="G546" i="1"/>
  <c r="H546" i="1"/>
  <c r="D552" i="1"/>
  <c r="E552" i="1"/>
  <c r="F552" i="1"/>
  <c r="G552" i="1"/>
  <c r="H552" i="1"/>
  <c r="D547" i="1"/>
  <c r="E547" i="1"/>
  <c r="F547" i="1"/>
  <c r="G547" i="1"/>
  <c r="H547" i="1"/>
  <c r="D559" i="1"/>
  <c r="E559" i="1"/>
  <c r="F559" i="1"/>
  <c r="G559" i="1"/>
  <c r="H559" i="1"/>
  <c r="D558" i="1"/>
  <c r="E558" i="1"/>
  <c r="F558" i="1"/>
  <c r="G558" i="1"/>
  <c r="H558" i="1"/>
  <c r="D548" i="1"/>
  <c r="E548" i="1"/>
  <c r="F548" i="1"/>
  <c r="G548" i="1"/>
  <c r="H548" i="1"/>
  <c r="D560" i="1"/>
  <c r="E560" i="1"/>
  <c r="F560" i="1"/>
  <c r="G560" i="1"/>
  <c r="H560" i="1"/>
  <c r="D564" i="1"/>
  <c r="E564" i="1"/>
  <c r="F564" i="1"/>
  <c r="G564" i="1"/>
  <c r="H564" i="1"/>
  <c r="D561" i="1"/>
  <c r="E561" i="1"/>
  <c r="F561" i="1"/>
  <c r="G561" i="1"/>
  <c r="H561" i="1"/>
  <c r="D562" i="1"/>
  <c r="E562" i="1"/>
  <c r="F562" i="1"/>
  <c r="G562" i="1"/>
  <c r="H562" i="1"/>
  <c r="D549" i="1"/>
  <c r="E549" i="1"/>
  <c r="F549" i="1"/>
  <c r="G549" i="1"/>
  <c r="H549" i="1"/>
  <c r="D565" i="1"/>
  <c r="E565" i="1"/>
  <c r="F565" i="1"/>
  <c r="G565" i="1"/>
  <c r="H565" i="1"/>
  <c r="D563" i="1"/>
  <c r="E563" i="1"/>
  <c r="F563" i="1"/>
  <c r="G563" i="1"/>
  <c r="H563" i="1"/>
  <c r="D567" i="1"/>
  <c r="E567" i="1"/>
  <c r="F567" i="1"/>
  <c r="G567" i="1"/>
  <c r="H567" i="1"/>
  <c r="D566" i="1"/>
  <c r="E566" i="1"/>
  <c r="F566" i="1"/>
  <c r="G566" i="1"/>
  <c r="H566" i="1"/>
  <c r="D568" i="1"/>
  <c r="E568" i="1"/>
  <c r="F568" i="1"/>
  <c r="G568" i="1"/>
  <c r="H568" i="1"/>
  <c r="D569" i="1"/>
  <c r="E569" i="1"/>
  <c r="F569" i="1"/>
  <c r="G569" i="1"/>
  <c r="H569" i="1"/>
  <c r="D572" i="1"/>
  <c r="E572" i="1"/>
  <c r="F572" i="1"/>
  <c r="G572" i="1"/>
  <c r="H572" i="1"/>
  <c r="D571" i="1"/>
  <c r="E571" i="1"/>
  <c r="F571" i="1"/>
  <c r="G571" i="1"/>
  <c r="H571" i="1"/>
  <c r="D570" i="1"/>
  <c r="E570" i="1"/>
  <c r="F570" i="1"/>
  <c r="G570" i="1"/>
  <c r="H570" i="1"/>
  <c r="D574" i="1"/>
  <c r="E574" i="1"/>
  <c r="F574" i="1"/>
  <c r="G574" i="1"/>
  <c r="H574" i="1"/>
  <c r="D573" i="1"/>
  <c r="E573" i="1"/>
  <c r="F573" i="1"/>
  <c r="G573" i="1"/>
  <c r="H573" i="1"/>
  <c r="D577" i="1"/>
  <c r="E577" i="1"/>
  <c r="F577" i="1"/>
  <c r="G577" i="1"/>
  <c r="H577" i="1"/>
  <c r="D575" i="1"/>
  <c r="E575" i="1"/>
  <c r="F575" i="1"/>
  <c r="G575" i="1"/>
  <c r="H575" i="1"/>
  <c r="D578" i="1"/>
  <c r="E578" i="1"/>
  <c r="F578" i="1"/>
  <c r="G578" i="1"/>
  <c r="H578" i="1"/>
  <c r="D579" i="1"/>
  <c r="E579" i="1"/>
  <c r="F579" i="1"/>
  <c r="G579" i="1"/>
  <c r="H579" i="1"/>
  <c r="D576" i="1"/>
  <c r="E576" i="1"/>
  <c r="F576" i="1"/>
  <c r="G576" i="1"/>
  <c r="H576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F583" i="1"/>
  <c r="G583" i="1"/>
  <c r="H583" i="1"/>
  <c r="D584" i="1"/>
  <c r="E584" i="1"/>
  <c r="F584" i="1"/>
  <c r="G584" i="1"/>
  <c r="H584" i="1"/>
  <c r="D589" i="1"/>
  <c r="E589" i="1"/>
  <c r="F589" i="1"/>
  <c r="G589" i="1"/>
  <c r="H589" i="1"/>
  <c r="D587" i="1"/>
  <c r="E587" i="1"/>
  <c r="F587" i="1"/>
  <c r="G587" i="1"/>
  <c r="H587" i="1"/>
  <c r="D585" i="1"/>
  <c r="E585" i="1"/>
  <c r="F585" i="1"/>
  <c r="G585" i="1"/>
  <c r="H585" i="1"/>
  <c r="D586" i="1"/>
  <c r="E586" i="1"/>
  <c r="F586" i="1"/>
  <c r="G586" i="1"/>
  <c r="H586" i="1"/>
  <c r="D588" i="1"/>
  <c r="E588" i="1"/>
  <c r="F588" i="1"/>
  <c r="G588" i="1"/>
  <c r="H588" i="1"/>
  <c r="D590" i="1"/>
  <c r="E590" i="1"/>
  <c r="F590" i="1"/>
  <c r="G590" i="1"/>
  <c r="H590" i="1"/>
  <c r="D591" i="1"/>
  <c r="E591" i="1"/>
  <c r="F591" i="1"/>
  <c r="G591" i="1"/>
  <c r="H591" i="1"/>
  <c r="D593" i="1"/>
  <c r="E593" i="1"/>
  <c r="F593" i="1"/>
  <c r="G593" i="1"/>
  <c r="H593" i="1"/>
  <c r="D592" i="1"/>
  <c r="E592" i="1"/>
  <c r="F592" i="1"/>
  <c r="G592" i="1"/>
  <c r="H592" i="1"/>
  <c r="D595" i="1"/>
  <c r="E595" i="1"/>
  <c r="F595" i="1"/>
  <c r="G595" i="1"/>
  <c r="H595" i="1"/>
  <c r="D594" i="1"/>
  <c r="E594" i="1"/>
  <c r="F594" i="1"/>
  <c r="G594" i="1"/>
  <c r="H594" i="1"/>
  <c r="D597" i="1"/>
  <c r="E597" i="1"/>
  <c r="F597" i="1"/>
  <c r="G597" i="1"/>
  <c r="H597" i="1"/>
  <c r="D596" i="1"/>
  <c r="E596" i="1"/>
  <c r="F596" i="1"/>
  <c r="G596" i="1"/>
  <c r="H596" i="1"/>
  <c r="D598" i="1"/>
  <c r="E598" i="1"/>
  <c r="F598" i="1"/>
  <c r="G598" i="1"/>
  <c r="H598" i="1"/>
  <c r="D599" i="1"/>
  <c r="E599" i="1"/>
  <c r="F599" i="1"/>
  <c r="G599" i="1"/>
  <c r="H599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0" i="1"/>
  <c r="E600" i="1"/>
  <c r="F600" i="1"/>
  <c r="G600" i="1"/>
  <c r="H600" i="1"/>
  <c r="D604" i="1"/>
  <c r="E604" i="1"/>
  <c r="F604" i="1"/>
  <c r="G604" i="1"/>
  <c r="H604" i="1"/>
  <c r="D605" i="1"/>
  <c r="E605" i="1"/>
  <c r="F605" i="1"/>
  <c r="G605" i="1"/>
  <c r="H605" i="1"/>
  <c r="D607" i="1"/>
  <c r="E607" i="1"/>
  <c r="F607" i="1"/>
  <c r="G607" i="1"/>
  <c r="H607" i="1"/>
  <c r="D606" i="1"/>
  <c r="E606" i="1"/>
  <c r="F606" i="1"/>
  <c r="G606" i="1"/>
  <c r="H606" i="1"/>
  <c r="D608" i="1"/>
  <c r="E608" i="1"/>
  <c r="F608" i="1"/>
  <c r="G608" i="1"/>
  <c r="H608" i="1"/>
  <c r="D609" i="1"/>
  <c r="E609" i="1"/>
  <c r="F609" i="1"/>
  <c r="G609" i="1"/>
  <c r="H609" i="1"/>
  <c r="D611" i="1"/>
  <c r="E611" i="1"/>
  <c r="F611" i="1"/>
  <c r="G611" i="1"/>
  <c r="H611" i="1"/>
  <c r="D610" i="1"/>
  <c r="E610" i="1"/>
  <c r="F610" i="1"/>
  <c r="G610" i="1"/>
  <c r="H610" i="1"/>
  <c r="D614" i="1"/>
  <c r="E614" i="1"/>
  <c r="F614" i="1"/>
  <c r="G614" i="1"/>
  <c r="H614" i="1"/>
  <c r="D613" i="1"/>
  <c r="E613" i="1"/>
  <c r="F613" i="1"/>
  <c r="G613" i="1"/>
  <c r="H613" i="1"/>
  <c r="D612" i="1"/>
  <c r="E612" i="1"/>
  <c r="F612" i="1"/>
  <c r="G612" i="1"/>
  <c r="H612" i="1"/>
  <c r="D616" i="1"/>
  <c r="E616" i="1"/>
  <c r="F616" i="1"/>
  <c r="G616" i="1"/>
  <c r="H616" i="1"/>
  <c r="D615" i="1"/>
  <c r="E615" i="1"/>
  <c r="F615" i="1"/>
  <c r="G615" i="1"/>
  <c r="H615" i="1"/>
  <c r="D617" i="1"/>
  <c r="E617" i="1"/>
  <c r="F617" i="1"/>
  <c r="G617" i="1"/>
  <c r="H617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18" i="1"/>
  <c r="E618" i="1"/>
  <c r="F618" i="1"/>
  <c r="G618" i="1"/>
  <c r="H618" i="1"/>
  <c r="D622" i="1"/>
  <c r="E622" i="1"/>
  <c r="F622" i="1"/>
  <c r="G622" i="1"/>
  <c r="H622" i="1"/>
  <c r="D624" i="1"/>
  <c r="E624" i="1"/>
  <c r="F624" i="1"/>
  <c r="G624" i="1"/>
  <c r="H624" i="1"/>
  <c r="D623" i="1"/>
  <c r="E623" i="1"/>
  <c r="F623" i="1"/>
  <c r="G623" i="1"/>
  <c r="H623" i="1"/>
  <c r="D625" i="1"/>
  <c r="E625" i="1"/>
  <c r="F625" i="1"/>
  <c r="G625" i="1"/>
  <c r="H625" i="1"/>
  <c r="D627" i="1"/>
  <c r="E627" i="1"/>
  <c r="F627" i="1"/>
  <c r="G627" i="1"/>
  <c r="H627" i="1"/>
  <c r="D626" i="1"/>
  <c r="E626" i="1"/>
  <c r="F626" i="1"/>
  <c r="G626" i="1"/>
  <c r="H626" i="1"/>
  <c r="D628" i="1"/>
  <c r="E628" i="1"/>
  <c r="F628" i="1"/>
  <c r="G628" i="1"/>
  <c r="H628" i="1"/>
  <c r="D630" i="1"/>
  <c r="E630" i="1"/>
  <c r="F630" i="1"/>
  <c r="G630" i="1"/>
  <c r="H630" i="1"/>
  <c r="D632" i="1"/>
  <c r="E632" i="1"/>
  <c r="F632" i="1"/>
  <c r="G632" i="1"/>
  <c r="H632" i="1"/>
  <c r="D629" i="1"/>
  <c r="E629" i="1"/>
  <c r="F629" i="1"/>
  <c r="G629" i="1"/>
  <c r="H629" i="1"/>
  <c r="D633" i="1"/>
  <c r="E633" i="1"/>
  <c r="F633" i="1"/>
  <c r="G633" i="1"/>
  <c r="H633" i="1"/>
  <c r="D634" i="1"/>
  <c r="E634" i="1"/>
  <c r="F634" i="1"/>
  <c r="G634" i="1"/>
  <c r="H634" i="1"/>
  <c r="D635" i="1"/>
  <c r="F635" i="1"/>
  <c r="G635" i="1"/>
  <c r="H635" i="1"/>
  <c r="D631" i="1"/>
  <c r="E631" i="1"/>
  <c r="F631" i="1"/>
  <c r="G631" i="1"/>
  <c r="H631" i="1"/>
  <c r="D636" i="1"/>
  <c r="E636" i="1"/>
  <c r="F636" i="1"/>
  <c r="G636" i="1"/>
  <c r="H636" i="1"/>
  <c r="D638" i="1"/>
  <c r="E638" i="1"/>
  <c r="F638" i="1"/>
  <c r="G638" i="1"/>
  <c r="H638" i="1"/>
  <c r="D637" i="1"/>
  <c r="E637" i="1"/>
  <c r="F637" i="1"/>
  <c r="G637" i="1"/>
  <c r="H637" i="1"/>
  <c r="D644" i="1"/>
  <c r="E644" i="1"/>
  <c r="F644" i="1"/>
  <c r="G644" i="1"/>
  <c r="H644" i="1"/>
  <c r="D639" i="1"/>
  <c r="E639" i="1"/>
  <c r="F639" i="1"/>
  <c r="G639" i="1"/>
  <c r="H639" i="1"/>
  <c r="D643" i="1"/>
  <c r="E643" i="1"/>
  <c r="F643" i="1"/>
  <c r="G643" i="1"/>
  <c r="H643" i="1"/>
  <c r="D640" i="1"/>
  <c r="E640" i="1"/>
  <c r="F640" i="1"/>
  <c r="G640" i="1"/>
  <c r="H640" i="1"/>
  <c r="D642" i="1"/>
  <c r="E642" i="1"/>
  <c r="F642" i="1"/>
  <c r="G642" i="1"/>
  <c r="H642" i="1"/>
  <c r="D641" i="1"/>
  <c r="E641" i="1"/>
  <c r="F641" i="1"/>
  <c r="G641" i="1"/>
  <c r="H641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9" i="1"/>
  <c r="E649" i="1"/>
  <c r="F649" i="1"/>
  <c r="G649" i="1"/>
  <c r="H649" i="1"/>
  <c r="D650" i="1"/>
  <c r="E650" i="1"/>
  <c r="F650" i="1"/>
  <c r="G650" i="1"/>
  <c r="H650" i="1"/>
  <c r="D648" i="1"/>
  <c r="E648" i="1"/>
  <c r="F648" i="1"/>
  <c r="G648" i="1"/>
  <c r="H648" i="1"/>
  <c r="D652" i="1"/>
  <c r="E652" i="1"/>
  <c r="F652" i="1"/>
  <c r="G652" i="1"/>
  <c r="H652" i="1"/>
  <c r="D651" i="1"/>
  <c r="E651" i="1"/>
  <c r="F651" i="1"/>
  <c r="G651" i="1"/>
  <c r="H651" i="1"/>
  <c r="D654" i="1"/>
  <c r="E654" i="1"/>
  <c r="F654" i="1"/>
  <c r="G654" i="1"/>
  <c r="H654" i="1"/>
  <c r="D653" i="1"/>
  <c r="E653" i="1"/>
  <c r="F653" i="1"/>
  <c r="G653" i="1"/>
  <c r="H653" i="1"/>
  <c r="D656" i="1"/>
  <c r="E656" i="1"/>
  <c r="F656" i="1"/>
  <c r="G656" i="1"/>
  <c r="H656" i="1"/>
  <c r="D655" i="1"/>
  <c r="E655" i="1"/>
  <c r="F655" i="1"/>
  <c r="G655" i="1"/>
  <c r="H655" i="1"/>
  <c r="D657" i="1"/>
  <c r="E657" i="1"/>
  <c r="F657" i="1"/>
  <c r="G657" i="1"/>
  <c r="H657" i="1"/>
  <c r="D659" i="1"/>
  <c r="E659" i="1"/>
  <c r="F659" i="1"/>
  <c r="G659" i="1"/>
  <c r="H659" i="1"/>
  <c r="D658" i="1"/>
  <c r="E658" i="1"/>
  <c r="F658" i="1"/>
  <c r="G658" i="1"/>
  <c r="H658" i="1"/>
  <c r="D662" i="1"/>
  <c r="E662" i="1"/>
  <c r="F662" i="1"/>
  <c r="G662" i="1"/>
  <c r="H662" i="1"/>
  <c r="D664" i="1"/>
  <c r="E664" i="1"/>
  <c r="F664" i="1"/>
  <c r="G664" i="1"/>
  <c r="H664" i="1"/>
  <c r="D665" i="1"/>
  <c r="E665" i="1"/>
  <c r="F665" i="1"/>
  <c r="G665" i="1"/>
  <c r="H665" i="1"/>
  <c r="D661" i="1"/>
  <c r="E661" i="1"/>
  <c r="F661" i="1"/>
  <c r="G661" i="1"/>
  <c r="H661" i="1"/>
  <c r="D660" i="1"/>
  <c r="E660" i="1"/>
  <c r="F660" i="1"/>
  <c r="G660" i="1"/>
  <c r="H660" i="1"/>
  <c r="D663" i="1"/>
  <c r="E663" i="1"/>
  <c r="F663" i="1"/>
  <c r="G663" i="1"/>
  <c r="H663" i="1"/>
  <c r="D666" i="1"/>
  <c r="E666" i="1"/>
  <c r="F666" i="1"/>
  <c r="G666" i="1"/>
  <c r="H666" i="1"/>
  <c r="D667" i="1"/>
  <c r="E667" i="1"/>
  <c r="F667" i="1"/>
  <c r="G667" i="1"/>
  <c r="H667" i="1"/>
  <c r="D669" i="1"/>
  <c r="E669" i="1"/>
  <c r="F669" i="1"/>
  <c r="G669" i="1"/>
  <c r="H669" i="1"/>
  <c r="D668" i="1"/>
  <c r="E668" i="1"/>
  <c r="F668" i="1"/>
  <c r="G668" i="1"/>
  <c r="H668" i="1"/>
  <c r="D672" i="1"/>
  <c r="E672" i="1"/>
  <c r="F672" i="1"/>
  <c r="G672" i="1"/>
  <c r="H672" i="1"/>
  <c r="D671" i="1"/>
  <c r="E671" i="1"/>
  <c r="F671" i="1"/>
  <c r="G671" i="1"/>
  <c r="H671" i="1"/>
  <c r="D673" i="1"/>
  <c r="E673" i="1"/>
  <c r="F673" i="1"/>
  <c r="G673" i="1"/>
  <c r="H673" i="1"/>
  <c r="D674" i="1"/>
  <c r="E674" i="1"/>
  <c r="F674" i="1"/>
  <c r="G674" i="1"/>
  <c r="H674" i="1"/>
  <c r="D676" i="1"/>
  <c r="E676" i="1"/>
  <c r="F676" i="1"/>
  <c r="G676" i="1"/>
  <c r="H676" i="1"/>
  <c r="D670" i="1"/>
  <c r="E670" i="1"/>
  <c r="F670" i="1"/>
  <c r="G670" i="1"/>
  <c r="H670" i="1"/>
  <c r="D678" i="1"/>
  <c r="E678" i="1"/>
  <c r="F678" i="1"/>
  <c r="G678" i="1"/>
  <c r="H678" i="1"/>
  <c r="D675" i="1"/>
  <c r="E675" i="1"/>
  <c r="F675" i="1"/>
  <c r="G675" i="1"/>
  <c r="H675" i="1"/>
  <c r="D677" i="1"/>
  <c r="E677" i="1"/>
  <c r="F677" i="1"/>
  <c r="G677" i="1"/>
  <c r="H677" i="1"/>
  <c r="D681" i="1"/>
  <c r="E681" i="1"/>
  <c r="F681" i="1"/>
  <c r="G681" i="1"/>
  <c r="H681" i="1"/>
  <c r="D679" i="1"/>
  <c r="E679" i="1"/>
  <c r="F679" i="1"/>
  <c r="G679" i="1"/>
  <c r="H679" i="1"/>
  <c r="D680" i="1"/>
  <c r="E680" i="1"/>
  <c r="F680" i="1"/>
  <c r="G680" i="1"/>
  <c r="H680" i="1"/>
  <c r="D683" i="1"/>
  <c r="E683" i="1"/>
  <c r="F683" i="1"/>
  <c r="G683" i="1"/>
  <c r="H683" i="1"/>
  <c r="D684" i="1"/>
  <c r="E684" i="1"/>
  <c r="F684" i="1"/>
  <c r="G684" i="1"/>
  <c r="H684" i="1"/>
  <c r="D682" i="1"/>
  <c r="E682" i="1"/>
  <c r="F682" i="1"/>
  <c r="G682" i="1"/>
  <c r="H682" i="1"/>
  <c r="D685" i="1"/>
  <c r="E685" i="1"/>
  <c r="F685" i="1"/>
  <c r="G685" i="1"/>
  <c r="H685" i="1"/>
  <c r="D686" i="1"/>
  <c r="E686" i="1"/>
  <c r="F686" i="1"/>
  <c r="G686" i="1"/>
  <c r="H686" i="1"/>
  <c r="D689" i="1"/>
  <c r="E689" i="1"/>
  <c r="F689" i="1"/>
  <c r="G689" i="1"/>
  <c r="H689" i="1"/>
  <c r="D688" i="1"/>
  <c r="E688" i="1"/>
  <c r="F688" i="1"/>
  <c r="G688" i="1"/>
  <c r="H688" i="1"/>
  <c r="D687" i="1"/>
  <c r="E687" i="1"/>
  <c r="F687" i="1"/>
  <c r="G687" i="1"/>
  <c r="H687" i="1"/>
  <c r="D691" i="1"/>
  <c r="E691" i="1"/>
  <c r="F691" i="1"/>
  <c r="G691" i="1"/>
  <c r="H691" i="1"/>
  <c r="D692" i="1"/>
  <c r="E692" i="1"/>
  <c r="F692" i="1"/>
  <c r="G692" i="1"/>
  <c r="H692" i="1"/>
  <c r="D690" i="1"/>
  <c r="E690" i="1"/>
  <c r="F690" i="1"/>
  <c r="G690" i="1"/>
  <c r="H690" i="1"/>
  <c r="D694" i="1"/>
  <c r="E694" i="1"/>
  <c r="F694" i="1"/>
  <c r="G694" i="1"/>
  <c r="H694" i="1"/>
  <c r="D695" i="1"/>
  <c r="E695" i="1"/>
  <c r="F695" i="1"/>
  <c r="G695" i="1"/>
  <c r="H695" i="1"/>
  <c r="D693" i="1"/>
  <c r="E693" i="1"/>
  <c r="F693" i="1"/>
  <c r="G693" i="1"/>
  <c r="H693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700" i="1"/>
  <c r="E700" i="1"/>
  <c r="F700" i="1"/>
  <c r="G700" i="1"/>
  <c r="H700" i="1"/>
  <c r="D699" i="1"/>
  <c r="E699" i="1"/>
  <c r="F699" i="1"/>
  <c r="G699" i="1"/>
  <c r="H699" i="1"/>
  <c r="D702" i="1"/>
  <c r="E702" i="1"/>
  <c r="F702" i="1"/>
  <c r="G702" i="1"/>
  <c r="H702" i="1"/>
  <c r="D701" i="1"/>
  <c r="E701" i="1"/>
  <c r="F701" i="1"/>
  <c r="G701" i="1"/>
  <c r="H701" i="1"/>
  <c r="D703" i="1"/>
  <c r="E703" i="1"/>
  <c r="F703" i="1"/>
  <c r="G703" i="1"/>
  <c r="H703" i="1"/>
  <c r="D705" i="1"/>
  <c r="E705" i="1"/>
  <c r="F705" i="1"/>
  <c r="G705" i="1"/>
  <c r="H705" i="1"/>
  <c r="D706" i="1"/>
  <c r="E706" i="1"/>
  <c r="F706" i="1"/>
  <c r="G706" i="1"/>
  <c r="H706" i="1"/>
  <c r="D704" i="1"/>
  <c r="E704" i="1"/>
  <c r="F704" i="1"/>
  <c r="G704" i="1"/>
  <c r="H704" i="1"/>
  <c r="D709" i="1"/>
  <c r="E709" i="1"/>
  <c r="F709" i="1"/>
  <c r="G709" i="1"/>
  <c r="H709" i="1"/>
  <c r="D708" i="1"/>
  <c r="E708" i="1"/>
  <c r="F708" i="1"/>
  <c r="G708" i="1"/>
  <c r="H708" i="1"/>
  <c r="D710" i="1"/>
  <c r="E710" i="1"/>
  <c r="F710" i="1"/>
  <c r="G710" i="1"/>
  <c r="H710" i="1"/>
  <c r="D707" i="1"/>
  <c r="E707" i="1"/>
  <c r="F707" i="1"/>
  <c r="G707" i="1"/>
  <c r="H707" i="1"/>
  <c r="D711" i="1"/>
  <c r="E711" i="1"/>
  <c r="F711" i="1"/>
  <c r="G711" i="1"/>
  <c r="H711" i="1"/>
  <c r="D714" i="1"/>
  <c r="E714" i="1"/>
  <c r="F714" i="1"/>
  <c r="G714" i="1"/>
  <c r="H714" i="1"/>
  <c r="D712" i="1"/>
  <c r="E712" i="1"/>
  <c r="F712" i="1"/>
  <c r="G712" i="1"/>
  <c r="H712" i="1"/>
  <c r="D713" i="1"/>
  <c r="E713" i="1"/>
  <c r="F713" i="1"/>
  <c r="G713" i="1"/>
  <c r="H713" i="1"/>
  <c r="D716" i="1"/>
  <c r="E716" i="1"/>
  <c r="F716" i="1"/>
  <c r="G716" i="1"/>
  <c r="H716" i="1"/>
  <c r="D717" i="1"/>
  <c r="E717" i="1"/>
  <c r="F717" i="1"/>
  <c r="G717" i="1"/>
  <c r="H717" i="1"/>
  <c r="D715" i="1"/>
  <c r="E715" i="1"/>
  <c r="F715" i="1"/>
  <c r="G715" i="1"/>
  <c r="H715" i="1"/>
  <c r="D718" i="1"/>
  <c r="E718" i="1"/>
  <c r="F718" i="1"/>
  <c r="G718" i="1"/>
  <c r="H718" i="1"/>
  <c r="D720" i="1"/>
  <c r="E720" i="1"/>
  <c r="F720" i="1"/>
  <c r="G720" i="1"/>
  <c r="H720" i="1"/>
  <c r="D719" i="1"/>
  <c r="E719" i="1"/>
  <c r="F719" i="1"/>
  <c r="G719" i="1"/>
  <c r="H719" i="1"/>
  <c r="D721" i="1"/>
  <c r="E721" i="1"/>
  <c r="F721" i="1"/>
  <c r="G721" i="1"/>
  <c r="H721" i="1"/>
  <c r="D725" i="1"/>
  <c r="E725" i="1"/>
  <c r="F725" i="1"/>
  <c r="G725" i="1"/>
  <c r="H725" i="1"/>
  <c r="D722" i="1"/>
  <c r="E722" i="1"/>
  <c r="F722" i="1"/>
  <c r="G722" i="1"/>
  <c r="H722" i="1"/>
  <c r="D724" i="1"/>
  <c r="E724" i="1"/>
  <c r="F724" i="1"/>
  <c r="G724" i="1"/>
  <c r="H724" i="1"/>
  <c r="D723" i="1"/>
  <c r="E723" i="1"/>
  <c r="F723" i="1"/>
  <c r="G723" i="1"/>
  <c r="H723" i="1"/>
  <c r="D178" i="1"/>
  <c r="E178" i="1"/>
  <c r="F178" i="1"/>
  <c r="G178" i="1"/>
  <c r="H178" i="1"/>
  <c r="D182" i="1"/>
  <c r="E182" i="1"/>
  <c r="F182" i="1"/>
  <c r="G182" i="1"/>
  <c r="H182" i="1"/>
  <c r="D179" i="1"/>
  <c r="E179" i="1"/>
  <c r="F179" i="1"/>
  <c r="G179" i="1"/>
  <c r="H179" i="1"/>
  <c r="D213" i="1"/>
  <c r="F213" i="1"/>
  <c r="G213" i="1"/>
  <c r="H213" i="1"/>
  <c r="D229" i="1"/>
  <c r="E229" i="1"/>
  <c r="F229" i="1"/>
  <c r="G229" i="1"/>
  <c r="H229" i="1"/>
  <c r="D243" i="1"/>
  <c r="E243" i="1"/>
  <c r="F243" i="1"/>
  <c r="G243" i="1"/>
  <c r="H243" i="1"/>
  <c r="D244" i="1"/>
  <c r="E244" i="1"/>
  <c r="F244" i="1"/>
  <c r="G244" i="1"/>
  <c r="H244" i="1"/>
  <c r="D272" i="1"/>
  <c r="E272" i="1"/>
  <c r="F272" i="1"/>
  <c r="G272" i="1"/>
  <c r="H272" i="1"/>
  <c r="D504" i="1"/>
  <c r="E504" i="1"/>
  <c r="F504" i="1"/>
  <c r="G504" i="1"/>
  <c r="H504" i="1"/>
  <c r="D505" i="1"/>
  <c r="E505" i="1"/>
  <c r="F505" i="1"/>
  <c r="G505" i="1"/>
  <c r="H505" i="1"/>
  <c r="D510" i="1"/>
  <c r="E510" i="1"/>
  <c r="F510" i="1"/>
  <c r="G510" i="1"/>
  <c r="H510" i="1"/>
  <c r="D506" i="1"/>
  <c r="E506" i="1"/>
  <c r="F506" i="1"/>
  <c r="G506" i="1"/>
  <c r="H506" i="1"/>
  <c r="D526" i="1"/>
  <c r="E526" i="1"/>
  <c r="F526" i="1"/>
  <c r="G526" i="1"/>
  <c r="H526" i="1"/>
  <c r="D550" i="1"/>
  <c r="E550" i="1"/>
  <c r="F550" i="1"/>
  <c r="G550" i="1"/>
  <c r="H550" i="1"/>
  <c r="D10" i="1"/>
  <c r="E10" i="1"/>
  <c r="F10" i="1"/>
  <c r="G10" i="1"/>
  <c r="H10" i="1"/>
  <c r="D11" i="1"/>
  <c r="E11" i="1"/>
  <c r="F11" i="1"/>
  <c r="G11" i="1"/>
  <c r="H11" i="1"/>
  <c r="D13" i="1"/>
  <c r="E13" i="1"/>
  <c r="F13" i="1"/>
  <c r="G13" i="1"/>
  <c r="H13" i="1"/>
  <c r="D14" i="1"/>
  <c r="E14" i="1"/>
  <c r="F14" i="1"/>
  <c r="G14" i="1"/>
  <c r="H14" i="1"/>
  <c r="D12" i="1"/>
  <c r="E12" i="1"/>
  <c r="F12" i="1"/>
  <c r="G12" i="1"/>
  <c r="H12" i="1"/>
  <c r="D17" i="1"/>
  <c r="E17" i="1"/>
  <c r="F17" i="1"/>
  <c r="G17" i="1"/>
  <c r="H17" i="1"/>
  <c r="D21" i="1"/>
  <c r="E21" i="1"/>
  <c r="F21" i="1"/>
  <c r="G21" i="1"/>
  <c r="H21" i="1"/>
  <c r="D18" i="1"/>
  <c r="E18" i="1"/>
  <c r="F18" i="1"/>
  <c r="G18" i="1"/>
  <c r="H18" i="1"/>
  <c r="D19" i="1"/>
  <c r="E19" i="1"/>
  <c r="F19" i="1"/>
  <c r="G19" i="1"/>
  <c r="H19" i="1"/>
  <c r="D16" i="1"/>
  <c r="E16" i="1"/>
  <c r="F16" i="1"/>
  <c r="G16" i="1"/>
  <c r="H16" i="1"/>
  <c r="D20" i="1"/>
  <c r="E20" i="1"/>
  <c r="F20" i="1"/>
  <c r="G20" i="1"/>
  <c r="H20" i="1"/>
  <c r="D15" i="1"/>
  <c r="E15" i="1"/>
  <c r="F15" i="1"/>
  <c r="G15" i="1"/>
  <c r="H15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30" i="1"/>
  <c r="E30" i="1"/>
  <c r="F30" i="1"/>
  <c r="G30" i="1"/>
  <c r="H30" i="1"/>
  <c r="D31" i="1"/>
  <c r="E31" i="1"/>
  <c r="F31" i="1"/>
  <c r="G31" i="1"/>
  <c r="H31" i="1"/>
  <c r="D29" i="1"/>
  <c r="E29" i="1"/>
  <c r="F29" i="1"/>
  <c r="G29" i="1"/>
  <c r="H29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7" i="1"/>
  <c r="E47" i="1"/>
  <c r="F47" i="1"/>
  <c r="G47" i="1"/>
  <c r="H47" i="1"/>
  <c r="D45" i="1"/>
  <c r="E45" i="1"/>
  <c r="F45" i="1"/>
  <c r="G45" i="1"/>
  <c r="H45" i="1"/>
  <c r="D46" i="1"/>
  <c r="E46" i="1"/>
  <c r="F46" i="1"/>
  <c r="G46" i="1"/>
  <c r="H46" i="1"/>
  <c r="D48" i="1"/>
  <c r="E48" i="1"/>
  <c r="F48" i="1"/>
  <c r="G48" i="1"/>
  <c r="H48" i="1"/>
  <c r="D49" i="1"/>
  <c r="E49" i="1"/>
  <c r="F49" i="1"/>
  <c r="G49" i="1"/>
  <c r="H49" i="1"/>
  <c r="D53" i="1"/>
  <c r="E53" i="1"/>
  <c r="F53" i="1"/>
  <c r="G53" i="1"/>
  <c r="H53" i="1"/>
  <c r="D50" i="1"/>
  <c r="E50" i="1"/>
  <c r="F50" i="1"/>
  <c r="G50" i="1"/>
  <c r="H50" i="1"/>
  <c r="D51" i="1"/>
  <c r="E51" i="1"/>
  <c r="F51" i="1"/>
  <c r="G51" i="1"/>
  <c r="H51" i="1"/>
  <c r="D54" i="1"/>
  <c r="E54" i="1"/>
  <c r="F54" i="1"/>
  <c r="G54" i="1"/>
  <c r="H54" i="1"/>
  <c r="D55" i="1"/>
  <c r="E55" i="1"/>
  <c r="F55" i="1"/>
  <c r="G55" i="1"/>
  <c r="H55" i="1"/>
  <c r="D60" i="1"/>
  <c r="E60" i="1"/>
  <c r="F60" i="1"/>
  <c r="G60" i="1"/>
  <c r="H60" i="1"/>
  <c r="D56" i="1"/>
  <c r="E56" i="1"/>
  <c r="F56" i="1"/>
  <c r="G56" i="1"/>
  <c r="H56" i="1"/>
  <c r="D61" i="1"/>
  <c r="E61" i="1"/>
  <c r="F61" i="1"/>
  <c r="G61" i="1"/>
  <c r="H61" i="1"/>
  <c r="D58" i="1"/>
  <c r="E58" i="1"/>
  <c r="F58" i="1"/>
  <c r="G58" i="1"/>
  <c r="H58" i="1"/>
  <c r="D59" i="1"/>
  <c r="E59" i="1"/>
  <c r="F59" i="1"/>
  <c r="G59" i="1"/>
  <c r="H59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52" i="1"/>
  <c r="E52" i="1"/>
  <c r="F52" i="1"/>
  <c r="G52" i="1"/>
  <c r="H52" i="1"/>
  <c r="D65" i="1"/>
  <c r="E65" i="1"/>
  <c r="F65" i="1"/>
  <c r="G65" i="1"/>
  <c r="H65" i="1"/>
  <c r="D57" i="1"/>
  <c r="E57" i="1"/>
  <c r="F57" i="1"/>
  <c r="G57" i="1"/>
  <c r="H57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70" i="1"/>
  <c r="E70" i="1"/>
  <c r="F70" i="1"/>
  <c r="G70" i="1"/>
  <c r="H70" i="1"/>
  <c r="D71" i="1"/>
  <c r="E71" i="1"/>
  <c r="F71" i="1"/>
  <c r="G71" i="1"/>
  <c r="H71" i="1"/>
  <c r="D69" i="1"/>
  <c r="E69" i="1"/>
  <c r="F69" i="1"/>
  <c r="G69" i="1"/>
  <c r="H69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7" i="1"/>
  <c r="E87" i="1"/>
  <c r="F87" i="1"/>
  <c r="G87" i="1"/>
  <c r="H87" i="1"/>
  <c r="D86" i="1"/>
  <c r="E86" i="1"/>
  <c r="F86" i="1"/>
  <c r="G86" i="1"/>
  <c r="H86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172" i="1"/>
  <c r="E172" i="1"/>
  <c r="F172" i="1"/>
  <c r="G172" i="1"/>
  <c r="H172" i="1"/>
  <c r="D100" i="1"/>
  <c r="E100" i="1"/>
  <c r="F100" i="1"/>
  <c r="G100" i="1"/>
  <c r="H100" i="1"/>
  <c r="D101" i="1"/>
  <c r="E101" i="1"/>
  <c r="F101" i="1"/>
  <c r="G101" i="1"/>
  <c r="H101" i="1"/>
  <c r="D177" i="1"/>
  <c r="E177" i="1"/>
  <c r="F177" i="1"/>
  <c r="G177" i="1"/>
  <c r="H177" i="1"/>
  <c r="D171" i="1"/>
  <c r="E171" i="1"/>
  <c r="F171" i="1"/>
  <c r="G171" i="1"/>
  <c r="H171" i="1"/>
  <c r="D130" i="1"/>
  <c r="E130" i="1"/>
  <c r="F130" i="1"/>
  <c r="G130" i="1"/>
  <c r="H130" i="1"/>
  <c r="D165" i="1"/>
  <c r="E165" i="1"/>
  <c r="F165" i="1"/>
  <c r="G165" i="1"/>
  <c r="H165" i="1"/>
  <c r="D102" i="1"/>
  <c r="E102" i="1"/>
  <c r="F102" i="1"/>
  <c r="G102" i="1"/>
  <c r="H102" i="1"/>
  <c r="D175" i="1"/>
  <c r="E175" i="1"/>
  <c r="F175" i="1"/>
  <c r="G175" i="1"/>
  <c r="H175" i="1"/>
  <c r="D103" i="1"/>
  <c r="E103" i="1"/>
  <c r="F103" i="1"/>
  <c r="G103" i="1"/>
  <c r="H103" i="1"/>
  <c r="D169" i="1"/>
  <c r="E169" i="1"/>
  <c r="F169" i="1"/>
  <c r="G169" i="1"/>
  <c r="H169" i="1"/>
  <c r="D114" i="1"/>
  <c r="E114" i="1"/>
  <c r="F114" i="1"/>
  <c r="G114" i="1"/>
  <c r="H114" i="1"/>
  <c r="D168" i="1"/>
  <c r="E168" i="1"/>
  <c r="F168" i="1"/>
  <c r="G168" i="1"/>
  <c r="H168" i="1"/>
  <c r="D131" i="1"/>
  <c r="E131" i="1"/>
  <c r="F131" i="1"/>
  <c r="G131" i="1"/>
  <c r="H131" i="1"/>
  <c r="D132" i="1"/>
  <c r="E132" i="1"/>
  <c r="F132" i="1"/>
  <c r="G132" i="1"/>
  <c r="H132" i="1"/>
  <c r="D129" i="1"/>
  <c r="E129" i="1"/>
  <c r="F129" i="1"/>
  <c r="G129" i="1"/>
  <c r="H129" i="1"/>
  <c r="D115" i="1"/>
  <c r="E115" i="1"/>
  <c r="F115" i="1"/>
  <c r="G115" i="1"/>
  <c r="H115" i="1"/>
  <c r="D138" i="1"/>
  <c r="E138" i="1"/>
  <c r="F138" i="1"/>
  <c r="G138" i="1"/>
  <c r="H138" i="1"/>
  <c r="D106" i="1"/>
  <c r="E106" i="1"/>
  <c r="F106" i="1"/>
  <c r="G106" i="1"/>
  <c r="H106" i="1"/>
  <c r="D112" i="1"/>
  <c r="E112" i="1"/>
  <c r="F112" i="1"/>
  <c r="G112" i="1"/>
  <c r="H112" i="1"/>
  <c r="D139" i="1"/>
  <c r="E139" i="1"/>
  <c r="F139" i="1"/>
  <c r="G139" i="1"/>
  <c r="H139" i="1"/>
  <c r="D133" i="1"/>
  <c r="E133" i="1"/>
  <c r="F133" i="1"/>
  <c r="G133" i="1"/>
  <c r="H133" i="1"/>
  <c r="D173" i="1"/>
  <c r="E173" i="1"/>
  <c r="F173" i="1"/>
  <c r="G173" i="1"/>
  <c r="H173" i="1"/>
  <c r="D127" i="1"/>
  <c r="E127" i="1"/>
  <c r="F127" i="1"/>
  <c r="G127" i="1"/>
  <c r="H127" i="1"/>
  <c r="D147" i="1"/>
  <c r="E147" i="1"/>
  <c r="F147" i="1"/>
  <c r="G147" i="1"/>
  <c r="H147" i="1"/>
  <c r="D116" i="1"/>
  <c r="E116" i="1"/>
  <c r="F116" i="1"/>
  <c r="G116" i="1"/>
  <c r="H116" i="1"/>
  <c r="D163" i="1"/>
  <c r="E163" i="1"/>
  <c r="F163" i="1"/>
  <c r="G163" i="1"/>
  <c r="H163" i="1"/>
  <c r="D104" i="1"/>
  <c r="E104" i="1"/>
  <c r="F104" i="1"/>
  <c r="G104" i="1"/>
  <c r="H104" i="1"/>
  <c r="D161" i="1"/>
  <c r="E161" i="1"/>
  <c r="F161" i="1"/>
  <c r="G161" i="1"/>
  <c r="H161" i="1"/>
  <c r="D167" i="1"/>
  <c r="E167" i="1"/>
  <c r="F167" i="1"/>
  <c r="G167" i="1"/>
  <c r="H167" i="1"/>
  <c r="D154" i="1"/>
  <c r="E154" i="1"/>
  <c r="F154" i="1"/>
  <c r="G154" i="1"/>
  <c r="H154" i="1"/>
  <c r="D157" i="1"/>
  <c r="E157" i="1"/>
  <c r="F157" i="1"/>
  <c r="G157" i="1"/>
  <c r="H157" i="1"/>
  <c r="D166" i="1"/>
  <c r="E166" i="1"/>
  <c r="F166" i="1"/>
  <c r="G166" i="1"/>
  <c r="H166" i="1"/>
  <c r="D107" i="1"/>
  <c r="E107" i="1"/>
  <c r="F107" i="1"/>
  <c r="G107" i="1"/>
  <c r="H107" i="1"/>
  <c r="D117" i="1"/>
  <c r="E117" i="1"/>
  <c r="F117" i="1"/>
  <c r="G117" i="1"/>
  <c r="H117" i="1"/>
  <c r="D99" i="1"/>
  <c r="E99" i="1"/>
  <c r="F99" i="1"/>
  <c r="G99" i="1"/>
  <c r="H99" i="1"/>
  <c r="D158" i="1"/>
  <c r="E158" i="1"/>
  <c r="F158" i="1"/>
  <c r="G158" i="1"/>
  <c r="H158" i="1"/>
  <c r="D162" i="1"/>
  <c r="E162" i="1"/>
  <c r="F162" i="1"/>
  <c r="G162" i="1"/>
  <c r="H162" i="1"/>
  <c r="D134" i="1"/>
  <c r="E134" i="1"/>
  <c r="F134" i="1"/>
  <c r="G134" i="1"/>
  <c r="H134" i="1"/>
  <c r="D135" i="1"/>
  <c r="E135" i="1"/>
  <c r="F135" i="1"/>
  <c r="G135" i="1"/>
  <c r="H135" i="1"/>
  <c r="D195" i="1"/>
  <c r="E195" i="1"/>
  <c r="F195" i="1"/>
  <c r="G195" i="1"/>
  <c r="H195" i="1"/>
  <c r="D140" i="1"/>
  <c r="E140" i="1"/>
  <c r="F140" i="1"/>
  <c r="G140" i="1"/>
  <c r="H140" i="1"/>
  <c r="D164" i="1"/>
  <c r="E164" i="1"/>
  <c r="F164" i="1"/>
  <c r="G164" i="1"/>
  <c r="H164" i="1"/>
  <c r="D141" i="1"/>
  <c r="E141" i="1"/>
  <c r="F141" i="1"/>
  <c r="G141" i="1"/>
  <c r="H141" i="1"/>
  <c r="D170" i="1"/>
  <c r="E170" i="1"/>
  <c r="F170" i="1"/>
  <c r="G170" i="1"/>
  <c r="H170" i="1"/>
  <c r="D142" i="1"/>
  <c r="E142" i="1"/>
  <c r="F142" i="1"/>
  <c r="G142" i="1"/>
  <c r="H142" i="1"/>
  <c r="D118" i="1"/>
  <c r="E118" i="1"/>
  <c r="F118" i="1"/>
  <c r="G118" i="1"/>
  <c r="H118" i="1"/>
  <c r="D136" i="1"/>
  <c r="E136" i="1"/>
  <c r="F136" i="1"/>
  <c r="G136" i="1"/>
  <c r="H136" i="1"/>
  <c r="D119" i="1"/>
  <c r="E119" i="1"/>
  <c r="F119" i="1"/>
  <c r="G119" i="1"/>
  <c r="H119" i="1"/>
  <c r="D143" i="1"/>
  <c r="E143" i="1"/>
  <c r="F143" i="1"/>
  <c r="G143" i="1"/>
  <c r="H143" i="1"/>
  <c r="D183" i="1"/>
  <c r="E183" i="1"/>
  <c r="F183" i="1"/>
  <c r="G183" i="1"/>
  <c r="H183" i="1"/>
  <c r="D144" i="1"/>
  <c r="E144" i="1"/>
  <c r="F144" i="1"/>
  <c r="G144" i="1"/>
  <c r="H144" i="1"/>
  <c r="D174" i="1"/>
  <c r="E174" i="1"/>
  <c r="F174" i="1"/>
  <c r="G174" i="1"/>
  <c r="H174" i="1"/>
  <c r="D113" i="1"/>
  <c r="E113" i="1"/>
  <c r="F113" i="1"/>
  <c r="G113" i="1"/>
  <c r="H113" i="1"/>
  <c r="D190" i="1"/>
  <c r="E190" i="1"/>
  <c r="F190" i="1"/>
  <c r="G190" i="1"/>
  <c r="H190" i="1"/>
  <c r="D137" i="1"/>
  <c r="E137" i="1"/>
  <c r="F137" i="1"/>
  <c r="G137" i="1"/>
  <c r="H137" i="1"/>
  <c r="D120" i="1"/>
  <c r="E120" i="1"/>
  <c r="F120" i="1"/>
  <c r="G120" i="1"/>
  <c r="H120" i="1"/>
  <c r="D105" i="1"/>
  <c r="E105" i="1"/>
  <c r="F105" i="1"/>
  <c r="G105" i="1"/>
  <c r="H105" i="1"/>
  <c r="D148" i="1"/>
  <c r="E148" i="1"/>
  <c r="F148" i="1"/>
  <c r="G148" i="1"/>
  <c r="H148" i="1"/>
  <c r="D108" i="1"/>
  <c r="E108" i="1"/>
  <c r="F108" i="1"/>
  <c r="G108" i="1"/>
  <c r="H108" i="1"/>
  <c r="D145" i="1"/>
  <c r="E145" i="1"/>
  <c r="F145" i="1"/>
  <c r="G145" i="1"/>
  <c r="H145" i="1"/>
  <c r="D121" i="1"/>
  <c r="E121" i="1"/>
  <c r="F121" i="1"/>
  <c r="G121" i="1"/>
  <c r="H121" i="1"/>
  <c r="D176" i="1"/>
  <c r="E176" i="1"/>
  <c r="F176" i="1"/>
  <c r="G176" i="1"/>
  <c r="H176" i="1"/>
  <c r="D180" i="1"/>
  <c r="E180" i="1"/>
  <c r="F180" i="1"/>
  <c r="G180" i="1"/>
  <c r="H180" i="1"/>
  <c r="D128" i="1"/>
  <c r="E128" i="1"/>
  <c r="F128" i="1"/>
  <c r="G128" i="1"/>
  <c r="H128" i="1"/>
  <c r="D184" i="1"/>
  <c r="E184" i="1"/>
  <c r="F184" i="1"/>
  <c r="G184" i="1"/>
  <c r="H184" i="1"/>
  <c r="D146" i="1"/>
  <c r="E146" i="1"/>
  <c r="F146" i="1"/>
  <c r="G146" i="1"/>
  <c r="H146" i="1"/>
  <c r="D185" i="1"/>
  <c r="E185" i="1"/>
  <c r="F185" i="1"/>
  <c r="G185" i="1"/>
  <c r="H185" i="1"/>
  <c r="D109" i="1"/>
  <c r="E109" i="1"/>
  <c r="F109" i="1"/>
  <c r="G109" i="1"/>
  <c r="H109" i="1"/>
  <c r="D155" i="1"/>
  <c r="E155" i="1"/>
  <c r="F155" i="1"/>
  <c r="G155" i="1"/>
  <c r="H155" i="1"/>
  <c r="D149" i="1"/>
  <c r="E149" i="1"/>
  <c r="F149" i="1"/>
  <c r="G149" i="1"/>
  <c r="H149" i="1"/>
  <c r="D122" i="1"/>
  <c r="E122" i="1"/>
  <c r="F122" i="1"/>
  <c r="G122" i="1"/>
  <c r="H122" i="1"/>
  <c r="D186" i="1"/>
  <c r="E186" i="1"/>
  <c r="F186" i="1"/>
  <c r="G186" i="1"/>
  <c r="H186" i="1"/>
  <c r="D110" i="1"/>
  <c r="E110" i="1"/>
  <c r="F110" i="1"/>
  <c r="G110" i="1"/>
  <c r="H110" i="1"/>
  <c r="D123" i="1"/>
  <c r="E123" i="1"/>
  <c r="F123" i="1"/>
  <c r="G123" i="1"/>
  <c r="H123" i="1"/>
  <c r="D124" i="1"/>
  <c r="E124" i="1"/>
  <c r="F124" i="1"/>
  <c r="G124" i="1"/>
  <c r="H124" i="1"/>
  <c r="D150" i="1"/>
  <c r="E150" i="1"/>
  <c r="F150" i="1"/>
  <c r="G150" i="1"/>
  <c r="H150" i="1"/>
  <c r="D160" i="1"/>
  <c r="E160" i="1"/>
  <c r="F160" i="1"/>
  <c r="G160" i="1"/>
  <c r="H160" i="1"/>
  <c r="D196" i="1"/>
  <c r="E196" i="1"/>
  <c r="F196" i="1"/>
  <c r="G196" i="1"/>
  <c r="H196" i="1"/>
  <c r="D125" i="1"/>
  <c r="E125" i="1"/>
  <c r="F125" i="1"/>
  <c r="G125" i="1"/>
  <c r="H125" i="1"/>
  <c r="D159" i="1"/>
  <c r="E159" i="1"/>
  <c r="F159" i="1"/>
  <c r="G159" i="1"/>
  <c r="H159" i="1"/>
  <c r="D197" i="1"/>
  <c r="E197" i="1"/>
  <c r="F197" i="1"/>
  <c r="G197" i="1"/>
  <c r="H197" i="1"/>
  <c r="D187" i="1"/>
  <c r="E187" i="1"/>
  <c r="F187" i="1"/>
  <c r="G187" i="1"/>
  <c r="H187" i="1"/>
  <c r="D191" i="1"/>
  <c r="E191" i="1"/>
  <c r="F191" i="1"/>
  <c r="G191" i="1"/>
  <c r="H191" i="1"/>
  <c r="D188" i="1"/>
  <c r="E188" i="1"/>
  <c r="F188" i="1"/>
  <c r="G188" i="1"/>
  <c r="H188" i="1"/>
  <c r="D156" i="1"/>
  <c r="E156" i="1"/>
  <c r="F156" i="1"/>
  <c r="G156" i="1"/>
  <c r="H156" i="1"/>
  <c r="D111" i="1"/>
  <c r="E111" i="1"/>
  <c r="F111" i="1"/>
  <c r="G111" i="1"/>
  <c r="H111" i="1"/>
  <c r="D151" i="1"/>
  <c r="E151" i="1"/>
  <c r="F151" i="1"/>
  <c r="G151" i="1"/>
  <c r="H151" i="1"/>
  <c r="D194" i="1"/>
  <c r="E194" i="1"/>
  <c r="F194" i="1"/>
  <c r="G194" i="1"/>
  <c r="H194" i="1"/>
  <c r="D198" i="1"/>
  <c r="E198" i="1"/>
  <c r="F198" i="1"/>
  <c r="G198" i="1"/>
  <c r="H198" i="1"/>
  <c r="D199" i="1"/>
  <c r="E199" i="1"/>
  <c r="F199" i="1"/>
  <c r="G199" i="1"/>
  <c r="H199" i="1"/>
  <c r="D152" i="1"/>
  <c r="E152" i="1"/>
  <c r="F152" i="1"/>
  <c r="G152" i="1"/>
  <c r="H152" i="1"/>
  <c r="D181" i="1"/>
  <c r="E181" i="1"/>
  <c r="F181" i="1"/>
  <c r="G181" i="1"/>
  <c r="H181" i="1"/>
  <c r="D126" i="1"/>
  <c r="E126" i="1"/>
  <c r="F126" i="1"/>
  <c r="G126" i="1"/>
  <c r="H126" i="1"/>
  <c r="D192" i="1"/>
  <c r="E192" i="1"/>
  <c r="F192" i="1"/>
  <c r="G192" i="1"/>
  <c r="H192" i="1"/>
  <c r="D193" i="1"/>
  <c r="E193" i="1"/>
  <c r="F193" i="1"/>
  <c r="G193" i="1"/>
  <c r="H193" i="1"/>
  <c r="D200" i="1"/>
  <c r="E200" i="1"/>
  <c r="F200" i="1"/>
  <c r="G200" i="1"/>
  <c r="H200" i="1"/>
  <c r="D153" i="1"/>
  <c r="E153" i="1"/>
  <c r="F153" i="1"/>
  <c r="G153" i="1"/>
  <c r="H153" i="1"/>
  <c r="D201" i="1"/>
  <c r="E201" i="1"/>
  <c r="F201" i="1"/>
  <c r="G201" i="1"/>
  <c r="H201" i="1"/>
  <c r="D202" i="1"/>
  <c r="E202" i="1"/>
  <c r="F202" i="1"/>
  <c r="G202" i="1"/>
  <c r="H202" i="1"/>
  <c r="D189" i="1"/>
  <c r="E189" i="1"/>
  <c r="F189" i="1"/>
  <c r="G189" i="1"/>
  <c r="H189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4" i="1"/>
  <c r="E224" i="1"/>
  <c r="F224" i="1"/>
  <c r="G224" i="1"/>
  <c r="H224" i="1"/>
  <c r="D225" i="1"/>
  <c r="E225" i="1"/>
  <c r="F225" i="1"/>
  <c r="G225" i="1"/>
  <c r="H225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6" i="1"/>
  <c r="E226" i="1"/>
  <c r="F226" i="1"/>
  <c r="G226" i="1"/>
  <c r="H226" i="1"/>
  <c r="D223" i="1"/>
  <c r="E223" i="1"/>
  <c r="F223" i="1"/>
  <c r="G223" i="1"/>
  <c r="H223" i="1"/>
  <c r="D227" i="1"/>
  <c r="E227" i="1"/>
  <c r="F227" i="1"/>
  <c r="G227" i="1"/>
  <c r="H227" i="1"/>
  <c r="D230" i="1"/>
  <c r="E230" i="1"/>
  <c r="F230" i="1"/>
  <c r="G230" i="1"/>
  <c r="H230" i="1"/>
  <c r="D231" i="1"/>
  <c r="E231" i="1"/>
  <c r="F231" i="1"/>
  <c r="G231" i="1"/>
  <c r="H231" i="1"/>
  <c r="D234" i="1"/>
  <c r="E234" i="1"/>
  <c r="F234" i="1"/>
  <c r="G234" i="1"/>
  <c r="H234" i="1"/>
  <c r="D232" i="1"/>
  <c r="E232" i="1"/>
  <c r="F232" i="1"/>
  <c r="G232" i="1"/>
  <c r="H232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33" i="1"/>
  <c r="E233" i="1"/>
  <c r="F233" i="1"/>
  <c r="G233" i="1"/>
  <c r="H233" i="1"/>
  <c r="D240" i="1"/>
  <c r="E240" i="1"/>
  <c r="F240" i="1"/>
  <c r="G240" i="1"/>
  <c r="H240" i="1"/>
  <c r="D248" i="1"/>
  <c r="E248" i="1"/>
  <c r="F248" i="1"/>
  <c r="G248" i="1"/>
  <c r="H248" i="1"/>
  <c r="D242" i="1"/>
  <c r="E242" i="1"/>
  <c r="F242" i="1"/>
  <c r="G242" i="1"/>
  <c r="H242" i="1"/>
  <c r="D245" i="1"/>
  <c r="E245" i="1"/>
  <c r="F245" i="1"/>
  <c r="G245" i="1"/>
  <c r="H245" i="1"/>
  <c r="D246" i="1"/>
  <c r="E246" i="1"/>
  <c r="F246" i="1"/>
  <c r="G246" i="1"/>
  <c r="H246" i="1"/>
  <c r="D228" i="1"/>
  <c r="E228" i="1"/>
  <c r="F228" i="1"/>
  <c r="G228" i="1"/>
  <c r="H228" i="1"/>
  <c r="D250" i="1"/>
  <c r="E250" i="1"/>
  <c r="F250" i="1"/>
  <c r="G250" i="1"/>
  <c r="H250" i="1"/>
  <c r="D249" i="1"/>
  <c r="E249" i="1"/>
  <c r="F249" i="1"/>
  <c r="G249" i="1"/>
  <c r="H249" i="1"/>
  <c r="D251" i="1"/>
  <c r="E251" i="1"/>
  <c r="F251" i="1"/>
  <c r="G251" i="1"/>
  <c r="H251" i="1"/>
  <c r="D247" i="1"/>
  <c r="E247" i="1"/>
  <c r="F247" i="1"/>
  <c r="G247" i="1"/>
  <c r="H247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41" i="1"/>
  <c r="E241" i="1"/>
  <c r="F241" i="1"/>
  <c r="G241" i="1"/>
  <c r="H241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4" i="1"/>
  <c r="E264" i="1"/>
  <c r="F264" i="1"/>
  <c r="G264" i="1"/>
  <c r="H264" i="1"/>
  <c r="D262" i="1"/>
  <c r="E262" i="1"/>
  <c r="F262" i="1"/>
  <c r="G262" i="1"/>
  <c r="H262" i="1"/>
  <c r="D263" i="1"/>
  <c r="E263" i="1"/>
  <c r="F263" i="1"/>
  <c r="G263" i="1"/>
  <c r="H263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3" i="1"/>
  <c r="E273" i="1"/>
  <c r="F273" i="1"/>
  <c r="G273" i="1"/>
  <c r="H273" i="1"/>
  <c r="D274" i="1"/>
  <c r="E274" i="1"/>
  <c r="F274" i="1"/>
  <c r="G274" i="1"/>
  <c r="H274" i="1"/>
  <c r="D270" i="1"/>
  <c r="E270" i="1"/>
  <c r="F270" i="1"/>
  <c r="G270" i="1"/>
  <c r="H270" i="1"/>
  <c r="D271" i="1"/>
  <c r="E271" i="1"/>
  <c r="F271" i="1"/>
  <c r="G271" i="1"/>
  <c r="H271" i="1"/>
  <c r="D275" i="1"/>
  <c r="E275" i="1"/>
  <c r="F275" i="1"/>
  <c r="G275" i="1"/>
  <c r="H275" i="1"/>
  <c r="D278" i="1"/>
  <c r="E278" i="1"/>
  <c r="F278" i="1"/>
  <c r="G278" i="1"/>
  <c r="H278" i="1"/>
  <c r="D276" i="1"/>
  <c r="E276" i="1"/>
  <c r="F276" i="1"/>
  <c r="G276" i="1"/>
  <c r="H276" i="1"/>
  <c r="D279" i="1"/>
  <c r="E279" i="1"/>
  <c r="F279" i="1"/>
  <c r="G279" i="1"/>
  <c r="H279" i="1"/>
  <c r="D277" i="1"/>
  <c r="E277" i="1"/>
  <c r="F277" i="1"/>
  <c r="G277" i="1"/>
  <c r="H277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9" i="1"/>
  <c r="E289" i="1"/>
  <c r="F289" i="1"/>
  <c r="G289" i="1"/>
  <c r="H289" i="1"/>
  <c r="D291" i="1"/>
  <c r="E291" i="1"/>
  <c r="F291" i="1"/>
  <c r="G291" i="1"/>
  <c r="H291" i="1"/>
  <c r="D290" i="1"/>
  <c r="E290" i="1"/>
  <c r="F290" i="1"/>
  <c r="G290" i="1"/>
  <c r="H290" i="1"/>
  <c r="D293" i="1"/>
  <c r="E293" i="1"/>
  <c r="F293" i="1"/>
  <c r="G293" i="1"/>
  <c r="H293" i="1"/>
  <c r="D292" i="1"/>
  <c r="E292" i="1"/>
  <c r="F292" i="1"/>
  <c r="G292" i="1"/>
  <c r="H292" i="1"/>
  <c r="D288" i="1"/>
  <c r="E288" i="1"/>
  <c r="F288" i="1"/>
  <c r="G288" i="1"/>
  <c r="H288" i="1"/>
  <c r="D294" i="1"/>
  <c r="E294" i="1"/>
  <c r="F294" i="1"/>
  <c r="G294" i="1"/>
  <c r="H294" i="1"/>
  <c r="D296" i="1"/>
  <c r="E296" i="1"/>
  <c r="F296" i="1"/>
  <c r="G296" i="1"/>
  <c r="H296" i="1"/>
  <c r="D298" i="1"/>
  <c r="E298" i="1"/>
  <c r="F298" i="1"/>
  <c r="G298" i="1"/>
  <c r="H298" i="1"/>
  <c r="D300" i="1"/>
  <c r="E300" i="1"/>
  <c r="F300" i="1"/>
  <c r="G300" i="1"/>
  <c r="H300" i="1"/>
  <c r="D299" i="1"/>
  <c r="E299" i="1"/>
  <c r="F299" i="1"/>
  <c r="G299" i="1"/>
  <c r="H299" i="1"/>
  <c r="D295" i="1"/>
  <c r="E295" i="1"/>
  <c r="F295" i="1"/>
  <c r="G295" i="1"/>
  <c r="H295" i="1"/>
  <c r="D301" i="1"/>
  <c r="E301" i="1"/>
  <c r="F301" i="1"/>
  <c r="G301" i="1"/>
  <c r="H301" i="1"/>
  <c r="D297" i="1"/>
  <c r="E297" i="1"/>
  <c r="F297" i="1"/>
  <c r="G297" i="1"/>
  <c r="H297" i="1"/>
  <c r="D303" i="1"/>
  <c r="E303" i="1"/>
  <c r="F303" i="1"/>
  <c r="G303" i="1"/>
  <c r="H303" i="1"/>
  <c r="D302" i="1"/>
  <c r="E302" i="1"/>
  <c r="F302" i="1"/>
  <c r="G302" i="1"/>
  <c r="H302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27" i="1"/>
  <c r="E327" i="1"/>
  <c r="F327" i="1"/>
  <c r="G327" i="1"/>
  <c r="H327" i="1"/>
  <c r="D335" i="1"/>
  <c r="E335" i="1"/>
  <c r="F335" i="1"/>
  <c r="G335" i="1"/>
  <c r="H335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0" i="1"/>
  <c r="E340" i="1"/>
  <c r="F340" i="1"/>
  <c r="G340" i="1"/>
  <c r="H340" i="1"/>
  <c r="D344" i="1"/>
  <c r="E344" i="1"/>
  <c r="F344" i="1"/>
  <c r="G344" i="1"/>
  <c r="H344" i="1"/>
  <c r="D345" i="1"/>
  <c r="E345" i="1"/>
  <c r="F345" i="1"/>
  <c r="G345" i="1"/>
  <c r="H345" i="1"/>
  <c r="D348" i="1"/>
  <c r="E348" i="1"/>
  <c r="F348" i="1"/>
  <c r="G348" i="1"/>
  <c r="H348" i="1"/>
  <c r="D346" i="1"/>
  <c r="E346" i="1"/>
  <c r="F346" i="1"/>
  <c r="G346" i="1"/>
  <c r="H346" i="1"/>
  <c r="D347" i="1"/>
  <c r="E347" i="1"/>
  <c r="F347" i="1"/>
  <c r="G347" i="1"/>
  <c r="H347" i="1"/>
  <c r="D349" i="1"/>
  <c r="E349" i="1"/>
  <c r="F349" i="1"/>
  <c r="G349" i="1"/>
  <c r="H349" i="1"/>
  <c r="D351" i="1"/>
  <c r="E351" i="1"/>
  <c r="F351" i="1"/>
  <c r="G351" i="1"/>
  <c r="H351" i="1"/>
  <c r="D350" i="1"/>
  <c r="E350" i="1"/>
  <c r="F350" i="1"/>
  <c r="G350" i="1"/>
  <c r="H350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61" i="1"/>
  <c r="E361" i="1"/>
  <c r="F361" i="1"/>
  <c r="G361" i="1"/>
  <c r="H361" i="1"/>
  <c r="D362" i="1"/>
  <c r="E362" i="1"/>
  <c r="F362" i="1"/>
  <c r="G362" i="1"/>
  <c r="H362" i="1"/>
  <c r="D358" i="1"/>
  <c r="E358" i="1"/>
  <c r="F358" i="1"/>
  <c r="G358" i="1"/>
  <c r="H358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</calcChain>
</file>

<file path=xl/sharedStrings.xml><?xml version="1.0" encoding="utf-8"?>
<sst xmlns="http://schemas.openxmlformats.org/spreadsheetml/2006/main" count="33" uniqueCount="29">
  <si>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</si>
  <si>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</si>
  <si>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</si>
  <si>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</si>
  <si>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</si>
  <si>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</si>
  <si>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</si>
  <si>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</si>
  <si>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</si>
  <si>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</si>
  <si>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Расходы по операциям "РЕПО" с ценными бумагами</t>
  </si>
  <si>
    <t>Начисленные доходы по операциям "РЕПО" с ценными бумагами</t>
  </si>
  <si>
    <t>Приложение 2 к постановлению Правления
 Национального Банка Республики Казахстан от 21.04.2020г. №54</t>
  </si>
  <si>
    <t>Отчет об остатках на балансовых и внебалансовых счетах</t>
  </si>
  <si>
    <t>АО 'Банк ' RBK'</t>
  </si>
  <si>
    <t>по состоянию на 01.04.2023 года</t>
  </si>
  <si>
    <t>Адрес</t>
  </si>
  <si>
    <t>г.Алматы  Площадь Республики 15</t>
  </si>
  <si>
    <t>Телефон</t>
  </si>
  <si>
    <t>8(727) 330 90 30</t>
  </si>
  <si>
    <t>Адрес электронной почты</t>
  </si>
  <si>
    <t>UGB@bankrbk.kz</t>
  </si>
  <si>
    <t>Исполнитель</t>
  </si>
  <si>
    <t>Дадамбаев А.А.                      330 90 30 (1646)</t>
  </si>
  <si>
    <t>ФИО     Подпись   Телефон</t>
  </si>
  <si>
    <t>Главный бухгалтер или лицо, уполномоченное на подписание отчета:</t>
  </si>
  <si>
    <t>Толепбергенова Б.К.                      +7 (727) 330-90-30*1026</t>
  </si>
  <si>
    <t>Первый руководитель или лицо, уполномоченное на подписание отчета:</t>
  </si>
  <si>
    <t>Есмуканова А.К.                      +7 (727) 330-90-30*1039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</si>
</sst>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0" fontId="0" fillId="0" borderId="0" xfId="0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7"/>
  <sheetViews>
    <sheetView tabSelected="1" workbookViewId="0">
      <selection activeCell="L3" sqref="L3:L4"/>
    </sheetView>
  </sheetViews>
  <sheetFormatPr defaultRowHeight="15" x14ac:dyDescent="0.25"/>
  <cols>
    <col min="2" max="2" width="12.85546875" customWidth="1"/>
    <col min="5" max="5" width="15" customWidth="1"/>
    <col min="9" max="9" width="18.5703125" style="1" bestFit="1" customWidth="1"/>
  </cols>
  <sheetData>
    <row r="1" spans="1:9" x14ac:dyDescent="0.25">
      <c r="A1" s="2" t="s">
        <v>12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4" t="s">
        <v>13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4" t="s">
        <v>14</v>
      </c>
      <c r="B3" s="5"/>
      <c r="C3" s="5"/>
      <c r="D3" s="5"/>
      <c r="E3" s="5"/>
      <c r="F3" s="5"/>
      <c r="G3" s="5"/>
      <c r="H3" s="5"/>
      <c r="I3" s="5"/>
    </row>
    <row r="4" spans="1:9" x14ac:dyDescent="0.25">
      <c r="E4" t="s">
        <v>15</v>
      </c>
      <c r="I4" s="6"/>
    </row>
    <row r="5" spans="1:9" x14ac:dyDescent="0.25">
      <c r="I5" s="6"/>
    </row>
    <row r="6" spans="1:9" x14ac:dyDescent="0.25">
      <c r="I6" s="6"/>
    </row>
    <row r="7" spans="1:9" x14ac:dyDescent="0.25">
      <c r="I7" s="6"/>
    </row>
    <row r="9" spans="1:9" ht="60" x14ac:dyDescent="0.2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8" t="s">
        <v>8</v>
      </c>
    </row>
    <row r="10" spans="1:9" x14ac:dyDescent="0.25">
      <c r="A10" s="9">
        <v>366</v>
      </c>
      <c r="B10" s="10">
        <v>45016</v>
      </c>
      <c r="C10" s="9">
        <v>8</v>
      </c>
      <c r="D10" s="9" t="str">
        <f>"1001"</f>
        <v>1001</v>
      </c>
      <c r="E10" s="9" t="str">
        <f>"Наличность в кассе"</f>
        <v>Наличность в кассе</v>
      </c>
      <c r="F10" s="9" t="str">
        <f>"2"</f>
        <v>2</v>
      </c>
      <c r="G10" s="9" t="str">
        <f>"3"</f>
        <v>3</v>
      </c>
      <c r="H10" s="9" t="str">
        <f>"3"</f>
        <v>3</v>
      </c>
      <c r="I10" s="11">
        <v>22226511.199999999</v>
      </c>
    </row>
    <row r="11" spans="1:9" x14ac:dyDescent="0.25">
      <c r="A11" s="9">
        <v>367</v>
      </c>
      <c r="B11" s="10">
        <v>45016</v>
      </c>
      <c r="C11" s="9">
        <v>8</v>
      </c>
      <c r="D11" s="9" t="str">
        <f>"1001"</f>
        <v>1001</v>
      </c>
      <c r="E11" s="9" t="str">
        <f>"Наличность в кассе"</f>
        <v>Наличность в кассе</v>
      </c>
      <c r="F11" s="9" t="str">
        <f>"1"</f>
        <v>1</v>
      </c>
      <c r="G11" s="9" t="str">
        <f>"3"</f>
        <v>3</v>
      </c>
      <c r="H11" s="9" t="str">
        <f>"1"</f>
        <v>1</v>
      </c>
      <c r="I11" s="11">
        <v>5700420544</v>
      </c>
    </row>
    <row r="12" spans="1:9" x14ac:dyDescent="0.25">
      <c r="A12" s="9">
        <v>370</v>
      </c>
      <c r="B12" s="10">
        <v>45016</v>
      </c>
      <c r="C12" s="9">
        <v>8</v>
      </c>
      <c r="D12" s="9" t="str">
        <f>"1001"</f>
        <v>1001</v>
      </c>
      <c r="E12" s="9" t="str">
        <f>"Наличность в кассе"</f>
        <v>Наличность в кассе</v>
      </c>
      <c r="F12" s="9" t="str">
        <f>"2"</f>
        <v>2</v>
      </c>
      <c r="G12" s="9" t="str">
        <f>"3"</f>
        <v>3</v>
      </c>
      <c r="H12" s="9" t="str">
        <f>"2"</f>
        <v>2</v>
      </c>
      <c r="I12" s="11">
        <v>6812761715.0100002</v>
      </c>
    </row>
    <row r="13" spans="1:9" x14ac:dyDescent="0.25">
      <c r="A13" s="9">
        <v>368</v>
      </c>
      <c r="B13" s="10">
        <v>45016</v>
      </c>
      <c r="C13" s="9">
        <v>8</v>
      </c>
      <c r="D13" s="9" t="str">
        <f>"1002"</f>
        <v>1002</v>
      </c>
      <c r="E13" s="9" t="str">
        <f>"Банкноты и монеты в пути"</f>
        <v>Банкноты и монеты в пути</v>
      </c>
      <c r="F13" s="9" t="str">
        <f>"2"</f>
        <v>2</v>
      </c>
      <c r="G13" s="9" t="str">
        <f>"3"</f>
        <v>3</v>
      </c>
      <c r="H13" s="9" t="str">
        <f>"3"</f>
        <v>3</v>
      </c>
      <c r="I13" s="11">
        <v>1432770</v>
      </c>
    </row>
    <row r="14" spans="1:9" x14ac:dyDescent="0.25">
      <c r="A14" s="9">
        <v>369</v>
      </c>
      <c r="B14" s="10">
        <v>45016</v>
      </c>
      <c r="C14" s="9">
        <v>8</v>
      </c>
      <c r="D14" s="9" t="str">
        <f>"1002"</f>
        <v>1002</v>
      </c>
      <c r="E14" s="9" t="str">
        <f>"Банкноты и монеты в пути"</f>
        <v>Банкноты и монеты в пути</v>
      </c>
      <c r="F14" s="9" t="str">
        <f>"1"</f>
        <v>1</v>
      </c>
      <c r="G14" s="9" t="str">
        <f>"3"</f>
        <v>3</v>
      </c>
      <c r="H14" s="9" t="str">
        <f>"1"</f>
        <v>1</v>
      </c>
      <c r="I14" s="11">
        <v>889239200</v>
      </c>
    </row>
    <row r="15" spans="1:9" x14ac:dyDescent="0.25">
      <c r="A15" s="9">
        <v>377</v>
      </c>
      <c r="B15" s="10">
        <v>45016</v>
      </c>
      <c r="C15" s="9">
        <v>8</v>
      </c>
      <c r="D15" s="9" t="str">
        <f>"1002"</f>
        <v>1002</v>
      </c>
      <c r="E15" s="9" t="str">
        <f>"Банкноты и монеты в пути"</f>
        <v>Банкноты и монеты в пути</v>
      </c>
      <c r="F15" s="9" t="str">
        <f>"2"</f>
        <v>2</v>
      </c>
      <c r="G15" s="9" t="str">
        <f>"3"</f>
        <v>3</v>
      </c>
      <c r="H15" s="9" t="str">
        <f>"2"</f>
        <v>2</v>
      </c>
      <c r="I15" s="11">
        <v>1006181223.54</v>
      </c>
    </row>
    <row r="16" spans="1:9" x14ac:dyDescent="0.25">
      <c r="A16" s="9">
        <v>375</v>
      </c>
      <c r="B16" s="10">
        <v>45016</v>
      </c>
      <c r="C16" s="9">
        <v>8</v>
      </c>
      <c r="D16" s="9" t="str">
        <f>"1005"</f>
        <v>1005</v>
      </c>
      <c r="E16" s="9" t="str">
        <f>"Наличность в банкоматах и электронных терминалах"</f>
        <v>Наличность в банкоматах и электронных терминалах</v>
      </c>
      <c r="F16" s="9" t="str">
        <f>"1"</f>
        <v>1</v>
      </c>
      <c r="G16" s="9" t="str">
        <f>"3"</f>
        <v>3</v>
      </c>
      <c r="H16" s="9" t="str">
        <f>"1"</f>
        <v>1</v>
      </c>
      <c r="I16" s="11">
        <v>6520871000</v>
      </c>
    </row>
    <row r="17" spans="1:9" x14ac:dyDescent="0.25">
      <c r="A17" s="9">
        <v>371</v>
      </c>
      <c r="B17" s="10">
        <v>45016</v>
      </c>
      <c r="C17" s="9">
        <v>8</v>
      </c>
      <c r="D17" s="9" t="str">
        <f>"1013"</f>
        <v>1013</v>
      </c>
      <c r="E17" s="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7" s="9" t="str">
        <f>"2"</f>
        <v>2</v>
      </c>
      <c r="G17" s="9" t="str">
        <f>"4"</f>
        <v>4</v>
      </c>
      <c r="H17" s="9" t="str">
        <f>""</f>
        <v/>
      </c>
      <c r="I17" s="11">
        <v>535446826.56</v>
      </c>
    </row>
    <row r="18" spans="1:9" x14ac:dyDescent="0.25">
      <c r="A18" s="9">
        <v>373</v>
      </c>
      <c r="B18" s="10">
        <v>45016</v>
      </c>
      <c r="C18" s="9">
        <v>8</v>
      </c>
      <c r="D18" s="9" t="str">
        <f>"1051"</f>
        <v>1051</v>
      </c>
      <c r="E18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8" s="9" t="str">
        <f>"1"</f>
        <v>1</v>
      </c>
      <c r="G18" s="9" t="str">
        <f>"3"</f>
        <v>3</v>
      </c>
      <c r="H18" s="9" t="str">
        <f>"1"</f>
        <v>1</v>
      </c>
      <c r="I18" s="11">
        <v>21502810856.139999</v>
      </c>
    </row>
    <row r="19" spans="1:9" x14ac:dyDescent="0.25">
      <c r="A19" s="9">
        <v>374</v>
      </c>
      <c r="B19" s="10">
        <v>45016</v>
      </c>
      <c r="C19" s="9">
        <v>8</v>
      </c>
      <c r="D19" s="9" t="str">
        <f>"1051"</f>
        <v>1051</v>
      </c>
      <c r="E19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s="9" t="str">
        <f>"1"</f>
        <v>1</v>
      </c>
      <c r="G19" s="9" t="str">
        <f>"3"</f>
        <v>3</v>
      </c>
      <c r="H19" s="9" t="str">
        <f>"2"</f>
        <v>2</v>
      </c>
      <c r="I19" s="11">
        <v>457359094.20999998</v>
      </c>
    </row>
    <row r="20" spans="1:9" x14ac:dyDescent="0.25">
      <c r="A20" s="9">
        <v>376</v>
      </c>
      <c r="B20" s="10">
        <v>45016</v>
      </c>
      <c r="C20" s="9">
        <v>8</v>
      </c>
      <c r="D20" s="9" t="str">
        <f>"1051"</f>
        <v>1051</v>
      </c>
      <c r="E20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s="9" t="str">
        <f>"1"</f>
        <v>1</v>
      </c>
      <c r="G20" s="9" t="str">
        <f>"3"</f>
        <v>3</v>
      </c>
      <c r="H20" s="9" t="str">
        <f>"3"</f>
        <v>3</v>
      </c>
      <c r="I20" s="11">
        <v>5817949.4000000004</v>
      </c>
    </row>
    <row r="21" spans="1:9" x14ac:dyDescent="0.25">
      <c r="A21" s="9">
        <v>372</v>
      </c>
      <c r="B21" s="10">
        <v>45016</v>
      </c>
      <c r="C21" s="9">
        <v>8</v>
      </c>
      <c r="D21" s="9" t="str">
        <f>"1052"</f>
        <v>1052</v>
      </c>
      <c r="E21" s="9" t="str">
        <f>"Корреспондентские счета в других банках"</f>
        <v>Корреспондентские счета в других банках</v>
      </c>
      <c r="F21" s="9" t="str">
        <f>"1"</f>
        <v>1</v>
      </c>
      <c r="G21" s="9" t="str">
        <f>"4"</f>
        <v>4</v>
      </c>
      <c r="H21" s="9" t="str">
        <f>"2"</f>
        <v>2</v>
      </c>
      <c r="I21" s="11">
        <v>6412355308.3299999</v>
      </c>
    </row>
    <row r="22" spans="1:9" x14ac:dyDescent="0.25">
      <c r="A22" s="9">
        <v>378</v>
      </c>
      <c r="B22" s="10">
        <v>45016</v>
      </c>
      <c r="C22" s="9">
        <v>8</v>
      </c>
      <c r="D22" s="9" t="str">
        <f>"1052"</f>
        <v>1052</v>
      </c>
      <c r="E22" s="9" t="str">
        <f>"Корреспондентские счета в других банках"</f>
        <v>Корреспондентские счета в других банках</v>
      </c>
      <c r="F22" s="9" t="str">
        <f>"2"</f>
        <v>2</v>
      </c>
      <c r="G22" s="9" t="str">
        <f>"3"</f>
        <v>3</v>
      </c>
      <c r="H22" s="9" t="str">
        <f>"2"</f>
        <v>2</v>
      </c>
      <c r="I22" s="11">
        <v>1090801.67</v>
      </c>
    </row>
    <row r="23" spans="1:9" x14ac:dyDescent="0.25">
      <c r="A23" s="9">
        <v>379</v>
      </c>
      <c r="B23" s="10">
        <v>45016</v>
      </c>
      <c r="C23" s="9">
        <v>8</v>
      </c>
      <c r="D23" s="9" t="str">
        <f>"1052"</f>
        <v>1052</v>
      </c>
      <c r="E23" s="9" t="str">
        <f>"Корреспондентские счета в других банках"</f>
        <v>Корреспондентские счета в других банках</v>
      </c>
      <c r="F23" s="9" t="str">
        <f>"2"</f>
        <v>2</v>
      </c>
      <c r="G23" s="9" t="str">
        <f>"4"</f>
        <v>4</v>
      </c>
      <c r="H23" s="9" t="str">
        <f>"3"</f>
        <v>3</v>
      </c>
      <c r="I23" s="11">
        <v>580845980.69000006</v>
      </c>
    </row>
    <row r="24" spans="1:9" x14ac:dyDescent="0.25">
      <c r="A24" s="9">
        <v>380</v>
      </c>
      <c r="B24" s="10">
        <v>45016</v>
      </c>
      <c r="C24" s="9">
        <v>8</v>
      </c>
      <c r="D24" s="9" t="str">
        <f>"1052"</f>
        <v>1052</v>
      </c>
      <c r="E24" s="9" t="str">
        <f>"Корреспондентские счета в других банках"</f>
        <v>Корреспондентские счета в других банках</v>
      </c>
      <c r="F24" s="9" t="str">
        <f>"1"</f>
        <v>1</v>
      </c>
      <c r="G24" s="9" t="str">
        <f>"5"</f>
        <v>5</v>
      </c>
      <c r="H24" s="9" t="str">
        <f>"2"</f>
        <v>2</v>
      </c>
      <c r="I24" s="11">
        <v>48456928202.43</v>
      </c>
    </row>
    <row r="25" spans="1:9" x14ac:dyDescent="0.25">
      <c r="A25" s="9">
        <v>381</v>
      </c>
      <c r="B25" s="10">
        <v>45016</v>
      </c>
      <c r="C25" s="9">
        <v>8</v>
      </c>
      <c r="D25" s="9" t="str">
        <f>"1052"</f>
        <v>1052</v>
      </c>
      <c r="E25" s="9" t="str">
        <f>"Корреспондентские счета в других банках"</f>
        <v>Корреспондентские счета в других банках</v>
      </c>
      <c r="F25" s="9" t="str">
        <f>"2"</f>
        <v>2</v>
      </c>
      <c r="G25" s="9" t="str">
        <f>"3"</f>
        <v>3</v>
      </c>
      <c r="H25" s="9" t="str">
        <f>"3"</f>
        <v>3</v>
      </c>
      <c r="I25" s="11">
        <v>6654905894.8999996</v>
      </c>
    </row>
    <row r="26" spans="1:9" x14ac:dyDescent="0.25">
      <c r="A26" s="9">
        <v>382</v>
      </c>
      <c r="B26" s="10">
        <v>45016</v>
      </c>
      <c r="C26" s="9">
        <v>8</v>
      </c>
      <c r="D26" s="9" t="str">
        <f>"1052"</f>
        <v>1052</v>
      </c>
      <c r="E26" s="9" t="str">
        <f>"Корреспондентские счета в других банках"</f>
        <v>Корреспондентские счета в других банках</v>
      </c>
      <c r="F26" s="9" t="str">
        <f>"2"</f>
        <v>2</v>
      </c>
      <c r="G26" s="9" t="str">
        <f>"4"</f>
        <v>4</v>
      </c>
      <c r="H26" s="9" t="str">
        <f>"2"</f>
        <v>2</v>
      </c>
      <c r="I26" s="11">
        <v>56217645375.260002</v>
      </c>
    </row>
    <row r="27" spans="1:9" x14ac:dyDescent="0.25">
      <c r="A27" s="9">
        <v>383</v>
      </c>
      <c r="B27" s="10">
        <v>45016</v>
      </c>
      <c r="C27" s="9">
        <v>8</v>
      </c>
      <c r="D27" s="9" t="str">
        <f>"1052"</f>
        <v>1052</v>
      </c>
      <c r="E27" s="9" t="str">
        <f>"Корреспондентские счета в других банках"</f>
        <v>Корреспондентские счета в других банках</v>
      </c>
      <c r="F27" s="9" t="str">
        <f>"2"</f>
        <v>2</v>
      </c>
      <c r="G27" s="9" t="str">
        <f>"5"</f>
        <v>5</v>
      </c>
      <c r="H27" s="9" t="str">
        <f>"1"</f>
        <v>1</v>
      </c>
      <c r="I27" s="11">
        <v>31400965.309999999</v>
      </c>
    </row>
    <row r="28" spans="1:9" x14ac:dyDescent="0.25">
      <c r="A28" s="9">
        <v>384</v>
      </c>
      <c r="B28" s="10">
        <v>45016</v>
      </c>
      <c r="C28" s="9">
        <v>8</v>
      </c>
      <c r="D28" s="9" t="str">
        <f>"1052"</f>
        <v>1052</v>
      </c>
      <c r="E28" s="9" t="str">
        <f>"Корреспондентские счета в других банках"</f>
        <v>Корреспондентские счета в других банках</v>
      </c>
      <c r="F28" s="9" t="str">
        <f>"2"</f>
        <v>2</v>
      </c>
      <c r="G28" s="9" t="str">
        <f>"5"</f>
        <v>5</v>
      </c>
      <c r="H28" s="9" t="str">
        <f>"3"</f>
        <v>3</v>
      </c>
      <c r="I28" s="11">
        <v>64139499.079999998</v>
      </c>
    </row>
    <row r="29" spans="1:9" x14ac:dyDescent="0.25">
      <c r="A29" s="9">
        <v>387</v>
      </c>
      <c r="B29" s="10">
        <v>45016</v>
      </c>
      <c r="C29" s="9">
        <v>8</v>
      </c>
      <c r="D29" s="9" t="str">
        <f>"1052"</f>
        <v>1052</v>
      </c>
      <c r="E29" s="9" t="str">
        <f>"Корреспондентские счета в других банках"</f>
        <v>Корреспондентские счета в других банках</v>
      </c>
      <c r="F29" s="9" t="str">
        <f>"2"</f>
        <v>2</v>
      </c>
      <c r="G29" s="9" t="str">
        <f>"5"</f>
        <v>5</v>
      </c>
      <c r="H29" s="9" t="str">
        <f>"2"</f>
        <v>2</v>
      </c>
      <c r="I29" s="11">
        <v>74355786.579999998</v>
      </c>
    </row>
    <row r="30" spans="1:9" x14ac:dyDescent="0.25">
      <c r="A30" s="9">
        <v>385</v>
      </c>
      <c r="B30" s="10">
        <v>45016</v>
      </c>
      <c r="C30" s="9">
        <v>8</v>
      </c>
      <c r="D30" s="9" t="str">
        <f>"1054"</f>
        <v>1054</v>
      </c>
      <c r="E30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9" t="str">
        <f>"1"</f>
        <v>1</v>
      </c>
      <c r="G30" s="9" t="str">
        <f>"3"</f>
        <v>3</v>
      </c>
      <c r="H30" s="9" t="str">
        <f>"2"</f>
        <v>2</v>
      </c>
      <c r="I30" s="11">
        <v>-6342.88</v>
      </c>
    </row>
    <row r="31" spans="1:9" x14ac:dyDescent="0.25">
      <c r="A31" s="9">
        <v>386</v>
      </c>
      <c r="B31" s="10">
        <v>45016</v>
      </c>
      <c r="C31" s="9">
        <v>8</v>
      </c>
      <c r="D31" s="9" t="str">
        <f>"1054"</f>
        <v>1054</v>
      </c>
      <c r="E31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9" t="str">
        <f>"1"</f>
        <v>1</v>
      </c>
      <c r="G31" s="9" t="str">
        <f>"3"</f>
        <v>3</v>
      </c>
      <c r="H31" s="9" t="str">
        <f>"1"</f>
        <v>1</v>
      </c>
      <c r="I31" s="11">
        <v>-505806.88</v>
      </c>
    </row>
    <row r="32" spans="1:9" x14ac:dyDescent="0.25">
      <c r="A32" s="9">
        <v>388</v>
      </c>
      <c r="B32" s="10">
        <v>45016</v>
      </c>
      <c r="C32" s="9">
        <v>8</v>
      </c>
      <c r="D32" s="9" t="str">
        <f>"1054"</f>
        <v>1054</v>
      </c>
      <c r="E32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9" t="str">
        <f>"1"</f>
        <v>1</v>
      </c>
      <c r="G32" s="9" t="str">
        <f>"4"</f>
        <v>4</v>
      </c>
      <c r="H32" s="9" t="str">
        <f>"2"</f>
        <v>2</v>
      </c>
      <c r="I32" s="11">
        <v>-73686.98</v>
      </c>
    </row>
    <row r="33" spans="1:9" x14ac:dyDescent="0.25">
      <c r="A33" s="9">
        <v>389</v>
      </c>
      <c r="B33" s="10">
        <v>45016</v>
      </c>
      <c r="C33" s="9">
        <v>8</v>
      </c>
      <c r="D33" s="9" t="str">
        <f>"1054"</f>
        <v>1054</v>
      </c>
      <c r="E33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9" t="str">
        <f>"2"</f>
        <v>2</v>
      </c>
      <c r="G33" s="9" t="str">
        <f>"4"</f>
        <v>4</v>
      </c>
      <c r="H33" s="9" t="str">
        <f>"2"</f>
        <v>2</v>
      </c>
      <c r="I33" s="11">
        <v>-173683.84</v>
      </c>
    </row>
    <row r="34" spans="1:9" x14ac:dyDescent="0.25">
      <c r="A34" s="9">
        <v>390</v>
      </c>
      <c r="B34" s="10">
        <v>45016</v>
      </c>
      <c r="C34" s="9">
        <v>8</v>
      </c>
      <c r="D34" s="9" t="str">
        <f>"1054"</f>
        <v>1054</v>
      </c>
      <c r="E34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9" t="str">
        <f>"2"</f>
        <v>2</v>
      </c>
      <c r="G34" s="9" t="str">
        <f>"3"</f>
        <v>3</v>
      </c>
      <c r="H34" s="9" t="str">
        <f>"3"</f>
        <v>3</v>
      </c>
      <c r="I34" s="11">
        <v>-117539.94</v>
      </c>
    </row>
    <row r="35" spans="1:9" x14ac:dyDescent="0.25">
      <c r="A35" s="9">
        <v>391</v>
      </c>
      <c r="B35" s="10">
        <v>45016</v>
      </c>
      <c r="C35" s="9">
        <v>8</v>
      </c>
      <c r="D35" s="9" t="str">
        <f>"1054"</f>
        <v>1054</v>
      </c>
      <c r="E35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9" t="str">
        <f>"2"</f>
        <v>2</v>
      </c>
      <c r="G35" s="9" t="str">
        <f>"4"</f>
        <v>4</v>
      </c>
      <c r="H35" s="9" t="str">
        <f>"3"</f>
        <v>3</v>
      </c>
      <c r="I35" s="11">
        <v>-3098913.74</v>
      </c>
    </row>
    <row r="36" spans="1:9" x14ac:dyDescent="0.25">
      <c r="A36" s="9">
        <v>392</v>
      </c>
      <c r="B36" s="10">
        <v>45016</v>
      </c>
      <c r="C36" s="9">
        <v>8</v>
      </c>
      <c r="D36" s="9" t="str">
        <f>"1054"</f>
        <v>1054</v>
      </c>
      <c r="E36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s="9" t="str">
        <f>"1"</f>
        <v>1</v>
      </c>
      <c r="G36" s="9" t="str">
        <f>"5"</f>
        <v>5</v>
      </c>
      <c r="H36" s="9" t="str">
        <f>"2"</f>
        <v>2</v>
      </c>
      <c r="I36" s="11">
        <v>-672144.7</v>
      </c>
    </row>
    <row r="37" spans="1:9" x14ac:dyDescent="0.25">
      <c r="A37" s="9">
        <v>393</v>
      </c>
      <c r="B37" s="10">
        <v>45016</v>
      </c>
      <c r="C37" s="9">
        <v>8</v>
      </c>
      <c r="D37" s="9" t="str">
        <f>"1054"</f>
        <v>1054</v>
      </c>
      <c r="E37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s="9" t="str">
        <f>"1"</f>
        <v>1</v>
      </c>
      <c r="G37" s="9" t="str">
        <f>"3"</f>
        <v>3</v>
      </c>
      <c r="H37" s="9" t="str">
        <f>"3"</f>
        <v>3</v>
      </c>
      <c r="I37" s="11">
        <v>-80.69</v>
      </c>
    </row>
    <row r="38" spans="1:9" x14ac:dyDescent="0.25">
      <c r="A38" s="9">
        <v>394</v>
      </c>
      <c r="B38" s="10">
        <v>45016</v>
      </c>
      <c r="C38" s="9">
        <v>8</v>
      </c>
      <c r="D38" s="9" t="str">
        <f>"1054"</f>
        <v>1054</v>
      </c>
      <c r="E38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s="9" t="str">
        <f>"2"</f>
        <v>2</v>
      </c>
      <c r="G38" s="9" t="str">
        <f>"5"</f>
        <v>5</v>
      </c>
      <c r="H38" s="9" t="str">
        <f>"3"</f>
        <v>3</v>
      </c>
      <c r="I38" s="11">
        <v>-342195.34</v>
      </c>
    </row>
    <row r="39" spans="1:9" x14ac:dyDescent="0.25">
      <c r="A39" s="9">
        <v>395</v>
      </c>
      <c r="B39" s="10">
        <v>45016</v>
      </c>
      <c r="C39" s="9">
        <v>8</v>
      </c>
      <c r="D39" s="9" t="str">
        <f>"1054"</f>
        <v>1054</v>
      </c>
      <c r="E39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s="9" t="str">
        <f>"2"</f>
        <v>2</v>
      </c>
      <c r="G39" s="9" t="str">
        <f>"3"</f>
        <v>3</v>
      </c>
      <c r="H39" s="9" t="str">
        <f>"2"</f>
        <v>2</v>
      </c>
      <c r="I39" s="11">
        <v>-19.670000000000002</v>
      </c>
    </row>
    <row r="40" spans="1:9" x14ac:dyDescent="0.25">
      <c r="A40" s="9">
        <v>396</v>
      </c>
      <c r="B40" s="10">
        <v>45016</v>
      </c>
      <c r="C40" s="9">
        <v>8</v>
      </c>
      <c r="D40" s="9" t="str">
        <f>"1054"</f>
        <v>1054</v>
      </c>
      <c r="E40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0" s="9" t="str">
        <f>"2"</f>
        <v>2</v>
      </c>
      <c r="G40" s="9" t="str">
        <f>"5"</f>
        <v>5</v>
      </c>
      <c r="H40" s="9" t="str">
        <f>"1"</f>
        <v>1</v>
      </c>
      <c r="I40" s="11">
        <v>-167529.57999999999</v>
      </c>
    </row>
    <row r="41" spans="1:9" x14ac:dyDescent="0.25">
      <c r="A41" s="9">
        <v>397</v>
      </c>
      <c r="B41" s="10">
        <v>45016</v>
      </c>
      <c r="C41" s="9">
        <v>8</v>
      </c>
      <c r="D41" s="9" t="str">
        <f>"1054"</f>
        <v>1054</v>
      </c>
      <c r="E41" s="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1" s="9" t="str">
        <f>"2"</f>
        <v>2</v>
      </c>
      <c r="G41" s="9" t="str">
        <f>"5"</f>
        <v>5</v>
      </c>
      <c r="H41" s="9" t="str">
        <f>"2"</f>
        <v>2</v>
      </c>
      <c r="I41" s="11">
        <v>-396703.78</v>
      </c>
    </row>
    <row r="42" spans="1:9" x14ac:dyDescent="0.25">
      <c r="A42" s="9">
        <v>398</v>
      </c>
      <c r="B42" s="10">
        <v>45016</v>
      </c>
      <c r="C42" s="9">
        <v>8</v>
      </c>
      <c r="D42" s="9" t="str">
        <f>"1055"</f>
        <v>1055</v>
      </c>
      <c r="E42" s="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2" s="9" t="str">
        <f>"1"</f>
        <v>1</v>
      </c>
      <c r="G42" s="9" t="str">
        <f>"3"</f>
        <v>3</v>
      </c>
      <c r="H42" s="9" t="str">
        <f>"1"</f>
        <v>1</v>
      </c>
      <c r="I42" s="11">
        <v>1060777740.24</v>
      </c>
    </row>
    <row r="43" spans="1:9" x14ac:dyDescent="0.25">
      <c r="A43" s="9">
        <v>399</v>
      </c>
      <c r="B43" s="10">
        <v>45016</v>
      </c>
      <c r="C43" s="9">
        <v>8</v>
      </c>
      <c r="D43" s="9" t="str">
        <f>"1201"</f>
        <v>1201</v>
      </c>
      <c r="E43" s="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9" t="str">
        <f>"1"</f>
        <v>1</v>
      </c>
      <c r="G43" s="9" t="str">
        <f>"1"</f>
        <v>1</v>
      </c>
      <c r="H43" s="9" t="str">
        <f>"2"</f>
        <v>2</v>
      </c>
      <c r="I43" s="11">
        <v>2187179820</v>
      </c>
    </row>
    <row r="44" spans="1:9" x14ac:dyDescent="0.25">
      <c r="A44" s="9">
        <v>400</v>
      </c>
      <c r="B44" s="10">
        <v>45016</v>
      </c>
      <c r="C44" s="9">
        <v>8</v>
      </c>
      <c r="D44" s="9" t="str">
        <f>"1205"</f>
        <v>1205</v>
      </c>
      <c r="E44" s="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4" s="9" t="str">
        <f>"1"</f>
        <v>1</v>
      </c>
      <c r="G44" s="9" t="str">
        <f>"1"</f>
        <v>1</v>
      </c>
      <c r="H44" s="9" t="str">
        <f>"2"</f>
        <v>2</v>
      </c>
      <c r="I44" s="11">
        <v>-39786056.68</v>
      </c>
    </row>
    <row r="45" spans="1:9" x14ac:dyDescent="0.25">
      <c r="A45" s="9">
        <v>402</v>
      </c>
      <c r="B45" s="10">
        <v>45016</v>
      </c>
      <c r="C45" s="9">
        <v>8</v>
      </c>
      <c r="D45" s="9" t="str">
        <f>"1208"</f>
        <v>1208</v>
      </c>
      <c r="E45" s="9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5" s="9" t="str">
        <f>"1"</f>
        <v>1</v>
      </c>
      <c r="G45" s="9" t="str">
        <f>"1"</f>
        <v>1</v>
      </c>
      <c r="H45" s="9" t="str">
        <f>"2"</f>
        <v>2</v>
      </c>
      <c r="I45" s="11">
        <v>107194938.73</v>
      </c>
    </row>
    <row r="46" spans="1:9" x14ac:dyDescent="0.25">
      <c r="A46" s="9">
        <v>403</v>
      </c>
      <c r="B46" s="10">
        <v>45016</v>
      </c>
      <c r="C46" s="9">
        <v>8</v>
      </c>
      <c r="D46" s="9" t="str">
        <f>"1253"</f>
        <v>1253</v>
      </c>
      <c r="E46" s="9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46" s="9" t="str">
        <f>"2"</f>
        <v>2</v>
      </c>
      <c r="G46" s="9" t="str">
        <f>"4"</f>
        <v>4</v>
      </c>
      <c r="H46" s="9" t="str">
        <f>"3"</f>
        <v>3</v>
      </c>
      <c r="I46" s="11">
        <v>5860000000</v>
      </c>
    </row>
    <row r="47" spans="1:9" x14ac:dyDescent="0.25">
      <c r="A47" s="9">
        <v>401</v>
      </c>
      <c r="B47" s="10">
        <v>45016</v>
      </c>
      <c r="C47" s="9">
        <v>8</v>
      </c>
      <c r="D47" s="9" t="str">
        <f>"1254"</f>
        <v>1254</v>
      </c>
      <c r="E47" s="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7" s="9" t="str">
        <f>"2"</f>
        <v>2</v>
      </c>
      <c r="G47" s="9" t="str">
        <f>"4"</f>
        <v>4</v>
      </c>
      <c r="H47" s="9" t="str">
        <f>"3"</f>
        <v>3</v>
      </c>
      <c r="I47" s="11">
        <v>2930000000</v>
      </c>
    </row>
    <row r="48" spans="1:9" x14ac:dyDescent="0.25">
      <c r="A48" s="9">
        <v>404</v>
      </c>
      <c r="B48" s="10">
        <v>45016</v>
      </c>
      <c r="C48" s="9">
        <v>8</v>
      </c>
      <c r="D48" s="9" t="str">
        <f>"1259"</f>
        <v>1259</v>
      </c>
      <c r="E48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8" s="9" t="str">
        <f>"1"</f>
        <v>1</v>
      </c>
      <c r="G48" s="9" t="str">
        <f>"5"</f>
        <v>5</v>
      </c>
      <c r="H48" s="9" t="str">
        <f>"1"</f>
        <v>1</v>
      </c>
      <c r="I48" s="11">
        <v>-78197.62</v>
      </c>
    </row>
    <row r="49" spans="1:9" x14ac:dyDescent="0.25">
      <c r="A49" s="9">
        <v>405</v>
      </c>
      <c r="B49" s="10">
        <v>45016</v>
      </c>
      <c r="C49" s="9">
        <v>8</v>
      </c>
      <c r="D49" s="9" t="str">
        <f>"1259"</f>
        <v>1259</v>
      </c>
      <c r="E49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9" s="9" t="str">
        <f>"2"</f>
        <v>2</v>
      </c>
      <c r="G49" s="9" t="str">
        <f>"4"</f>
        <v>4</v>
      </c>
      <c r="H49" s="9" t="str">
        <f>"2"</f>
        <v>2</v>
      </c>
      <c r="I49" s="11">
        <v>-5560.55</v>
      </c>
    </row>
    <row r="50" spans="1:9" x14ac:dyDescent="0.25">
      <c r="A50" s="9">
        <v>407</v>
      </c>
      <c r="B50" s="10">
        <v>45016</v>
      </c>
      <c r="C50" s="9">
        <v>8</v>
      </c>
      <c r="D50" s="9" t="str">
        <f>"1259"</f>
        <v>1259</v>
      </c>
      <c r="E50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0" s="9" t="str">
        <f>"1"</f>
        <v>1</v>
      </c>
      <c r="G50" s="9" t="str">
        <f>"5"</f>
        <v>5</v>
      </c>
      <c r="H50" s="9" t="str">
        <f>"2"</f>
        <v>2</v>
      </c>
      <c r="I50" s="11">
        <v>-319666.14</v>
      </c>
    </row>
    <row r="51" spans="1:9" x14ac:dyDescent="0.25">
      <c r="A51" s="9">
        <v>408</v>
      </c>
      <c r="B51" s="10">
        <v>45016</v>
      </c>
      <c r="C51" s="9">
        <v>8</v>
      </c>
      <c r="D51" s="9" t="str">
        <f>"1259"</f>
        <v>1259</v>
      </c>
      <c r="E51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1" s="9" t="str">
        <f>"2"</f>
        <v>2</v>
      </c>
      <c r="G51" s="9" t="str">
        <f>"5"</f>
        <v>5</v>
      </c>
      <c r="H51" s="9" t="str">
        <f>"2"</f>
        <v>2</v>
      </c>
      <c r="I51" s="11">
        <v>-33101.31</v>
      </c>
    </row>
    <row r="52" spans="1:9" x14ac:dyDescent="0.25">
      <c r="A52" s="9">
        <v>419</v>
      </c>
      <c r="B52" s="10">
        <v>45016</v>
      </c>
      <c r="C52" s="9">
        <v>8</v>
      </c>
      <c r="D52" s="9" t="str">
        <f>"1259"</f>
        <v>1259</v>
      </c>
      <c r="E52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2" s="9" t="str">
        <f>"2"</f>
        <v>2</v>
      </c>
      <c r="G52" s="9" t="str">
        <f>"4"</f>
        <v>4</v>
      </c>
      <c r="H52" s="9" t="str">
        <f>"3"</f>
        <v>3</v>
      </c>
      <c r="I52" s="11">
        <v>-36982.28</v>
      </c>
    </row>
    <row r="53" spans="1:9" x14ac:dyDescent="0.25">
      <c r="A53" s="9">
        <v>406</v>
      </c>
      <c r="B53" s="10">
        <v>45016</v>
      </c>
      <c r="C53" s="9">
        <v>8</v>
      </c>
      <c r="D53" s="9" t="str">
        <f>"1267"</f>
        <v>1267</v>
      </c>
      <c r="E53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3" s="9" t="str">
        <f>"1"</f>
        <v>1</v>
      </c>
      <c r="G53" s="9" t="str">
        <f>"5"</f>
        <v>5</v>
      </c>
      <c r="H53" s="9" t="str">
        <f>"1"</f>
        <v>1</v>
      </c>
      <c r="I53" s="11">
        <v>4407412477.1700001</v>
      </c>
    </row>
    <row r="54" spans="1:9" x14ac:dyDescent="0.25">
      <c r="A54" s="9">
        <v>409</v>
      </c>
      <c r="B54" s="10">
        <v>45016</v>
      </c>
      <c r="C54" s="9">
        <v>8</v>
      </c>
      <c r="D54" s="9" t="str">
        <f>"1267"</f>
        <v>1267</v>
      </c>
      <c r="E54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s="9" t="str">
        <f>"1"</f>
        <v>1</v>
      </c>
      <c r="G54" s="9" t="str">
        <f>"7"</f>
        <v>7</v>
      </c>
      <c r="H54" s="9" t="str">
        <f>"1"</f>
        <v>1</v>
      </c>
      <c r="I54" s="11">
        <v>20000000</v>
      </c>
    </row>
    <row r="55" spans="1:9" x14ac:dyDescent="0.25">
      <c r="A55" s="9">
        <v>410</v>
      </c>
      <c r="B55" s="10">
        <v>45016</v>
      </c>
      <c r="C55" s="9">
        <v>8</v>
      </c>
      <c r="D55" s="9" t="str">
        <f>"1267"</f>
        <v>1267</v>
      </c>
      <c r="E55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" s="9" t="str">
        <f>"2"</f>
        <v>2</v>
      </c>
      <c r="G55" s="9" t="str">
        <f>"5"</f>
        <v>5</v>
      </c>
      <c r="H55" s="9" t="str">
        <f>"2"</f>
        <v>2</v>
      </c>
      <c r="I55" s="11">
        <v>7868061403.1300001</v>
      </c>
    </row>
    <row r="56" spans="1:9" x14ac:dyDescent="0.25">
      <c r="A56" s="9">
        <v>412</v>
      </c>
      <c r="B56" s="10">
        <v>45016</v>
      </c>
      <c r="C56" s="9">
        <v>8</v>
      </c>
      <c r="D56" s="9" t="str">
        <f>"1267"</f>
        <v>1267</v>
      </c>
      <c r="E56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6" s="9" t="str">
        <f>"2"</f>
        <v>2</v>
      </c>
      <c r="G56" s="9" t="str">
        <f>"4"</f>
        <v>4</v>
      </c>
      <c r="H56" s="9" t="str">
        <f>"2"</f>
        <v>2</v>
      </c>
      <c r="I56" s="11">
        <v>513594270</v>
      </c>
    </row>
    <row r="57" spans="1:9" x14ac:dyDescent="0.25">
      <c r="A57" s="9">
        <v>421</v>
      </c>
      <c r="B57" s="10">
        <v>45016</v>
      </c>
      <c r="C57" s="9">
        <v>8</v>
      </c>
      <c r="D57" s="9" t="str">
        <f>"1267"</f>
        <v>1267</v>
      </c>
      <c r="E57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7" s="9" t="str">
        <f>"1"</f>
        <v>1</v>
      </c>
      <c r="G57" s="9" t="str">
        <f>"5"</f>
        <v>5</v>
      </c>
      <c r="H57" s="9" t="str">
        <f>"2"</f>
        <v>2</v>
      </c>
      <c r="I57" s="11">
        <v>18098942335.509998</v>
      </c>
    </row>
    <row r="58" spans="1:9" x14ac:dyDescent="0.25">
      <c r="A58" s="9">
        <v>414</v>
      </c>
      <c r="B58" s="10">
        <v>45016</v>
      </c>
      <c r="C58" s="9">
        <v>8</v>
      </c>
      <c r="D58" s="9" t="str">
        <f>"1403"</f>
        <v>1403</v>
      </c>
      <c r="E58" s="9" t="str">
        <f>"Счета по кредитным карточкам клиентов"</f>
        <v>Счета по кредитным карточкам клиентов</v>
      </c>
      <c r="F58" s="9" t="str">
        <f>"1"</f>
        <v>1</v>
      </c>
      <c r="G58" s="9" t="str">
        <f>"9"</f>
        <v>9</v>
      </c>
      <c r="H58" s="9" t="str">
        <f>"1"</f>
        <v>1</v>
      </c>
      <c r="I58" s="11">
        <v>49375040.689999998</v>
      </c>
    </row>
    <row r="59" spans="1:9" x14ac:dyDescent="0.25">
      <c r="A59" s="9">
        <v>415</v>
      </c>
      <c r="B59" s="10">
        <v>45016</v>
      </c>
      <c r="C59" s="9">
        <v>8</v>
      </c>
      <c r="D59" s="9" t="str">
        <f>"1403"</f>
        <v>1403</v>
      </c>
      <c r="E59" s="9" t="str">
        <f>"Счета по кредитным карточкам клиентов"</f>
        <v>Счета по кредитным карточкам клиентов</v>
      </c>
      <c r="F59" s="9" t="str">
        <f>"1"</f>
        <v>1</v>
      </c>
      <c r="G59" s="9" t="str">
        <f>"9"</f>
        <v>9</v>
      </c>
      <c r="H59" s="9" t="str">
        <f>"2"</f>
        <v>2</v>
      </c>
      <c r="I59" s="11">
        <v>12147444.039999999</v>
      </c>
    </row>
    <row r="60" spans="1:9" x14ac:dyDescent="0.25">
      <c r="A60" s="9">
        <v>411</v>
      </c>
      <c r="B60" s="10">
        <v>45016</v>
      </c>
      <c r="C60" s="9">
        <v>8</v>
      </c>
      <c r="D60" s="9" t="str">
        <f>"1411"</f>
        <v>1411</v>
      </c>
      <c r="E60" s="9" t="str">
        <f>"Краткосрочные займы, предоставленные клиентам"</f>
        <v>Краткосрочные займы, предоставленные клиентам</v>
      </c>
      <c r="F60" s="9" t="str">
        <f>"1"</f>
        <v>1</v>
      </c>
      <c r="G60" s="9" t="str">
        <f>"7"</f>
        <v>7</v>
      </c>
      <c r="H60" s="9" t="str">
        <f>"1"</f>
        <v>1</v>
      </c>
      <c r="I60" s="11">
        <v>97642209747.240005</v>
      </c>
    </row>
    <row r="61" spans="1:9" x14ac:dyDescent="0.25">
      <c r="A61" s="9">
        <v>413</v>
      </c>
      <c r="B61" s="10">
        <v>45016</v>
      </c>
      <c r="C61" s="9">
        <v>8</v>
      </c>
      <c r="D61" s="9" t="str">
        <f>"1411"</f>
        <v>1411</v>
      </c>
      <c r="E61" s="9" t="str">
        <f>"Краткосрочные займы, предоставленные клиентам"</f>
        <v>Краткосрочные займы, предоставленные клиентам</v>
      </c>
      <c r="F61" s="9" t="str">
        <f>"1"</f>
        <v>1</v>
      </c>
      <c r="G61" s="9" t="str">
        <f>"7"</f>
        <v>7</v>
      </c>
      <c r="H61" s="9" t="str">
        <f>"2"</f>
        <v>2</v>
      </c>
      <c r="I61" s="11">
        <v>16180265738.209999</v>
      </c>
    </row>
    <row r="62" spans="1:9" x14ac:dyDescent="0.25">
      <c r="A62" s="9">
        <v>416</v>
      </c>
      <c r="B62" s="10">
        <v>45016</v>
      </c>
      <c r="C62" s="9">
        <v>8</v>
      </c>
      <c r="D62" s="9" t="str">
        <f>"1411"</f>
        <v>1411</v>
      </c>
      <c r="E62" s="9" t="str">
        <f>"Краткосрочные займы, предоставленные клиентам"</f>
        <v>Краткосрочные займы, предоставленные клиентам</v>
      </c>
      <c r="F62" s="9" t="str">
        <f>"1"</f>
        <v>1</v>
      </c>
      <c r="G62" s="9" t="str">
        <f>"9"</f>
        <v>9</v>
      </c>
      <c r="H62" s="9" t="str">
        <f>"1"</f>
        <v>1</v>
      </c>
      <c r="I62" s="11">
        <v>1927832834.7</v>
      </c>
    </row>
    <row r="63" spans="1:9" x14ac:dyDescent="0.25">
      <c r="A63" s="9">
        <v>417</v>
      </c>
      <c r="B63" s="10">
        <v>45016</v>
      </c>
      <c r="C63" s="9">
        <v>8</v>
      </c>
      <c r="D63" s="9" t="str">
        <f>"1411"</f>
        <v>1411</v>
      </c>
      <c r="E63" s="9" t="str">
        <f>"Краткосрочные займы, предоставленные клиентам"</f>
        <v>Краткосрочные займы, предоставленные клиентам</v>
      </c>
      <c r="F63" s="9" t="str">
        <f>"2"</f>
        <v>2</v>
      </c>
      <c r="G63" s="9" t="str">
        <f>"9"</f>
        <v>9</v>
      </c>
      <c r="H63" s="9" t="str">
        <f>"2"</f>
        <v>2</v>
      </c>
      <c r="I63" s="11">
        <v>2101761000</v>
      </c>
    </row>
    <row r="64" spans="1:9" x14ac:dyDescent="0.25">
      <c r="A64" s="9">
        <v>418</v>
      </c>
      <c r="B64" s="10">
        <v>45016</v>
      </c>
      <c r="C64" s="9">
        <v>8</v>
      </c>
      <c r="D64" s="9" t="str">
        <f>"1417"</f>
        <v>1417</v>
      </c>
      <c r="E64" s="9" t="str">
        <f>"Долгосрочные займы, предоставленные клиентам"</f>
        <v>Долгосрочные займы, предоставленные клиентам</v>
      </c>
      <c r="F64" s="9" t="str">
        <f>"1"</f>
        <v>1</v>
      </c>
      <c r="G64" s="9" t="str">
        <f>"7"</f>
        <v>7</v>
      </c>
      <c r="H64" s="9" t="str">
        <f>"1"</f>
        <v>1</v>
      </c>
      <c r="I64" s="11">
        <v>267629588107.09</v>
      </c>
    </row>
    <row r="65" spans="1:9" x14ac:dyDescent="0.25">
      <c r="A65" s="9">
        <v>420</v>
      </c>
      <c r="B65" s="10">
        <v>45016</v>
      </c>
      <c r="C65" s="9">
        <v>8</v>
      </c>
      <c r="D65" s="9" t="str">
        <f>"1417"</f>
        <v>1417</v>
      </c>
      <c r="E65" s="9" t="str">
        <f>"Долгосрочные займы, предоставленные клиентам"</f>
        <v>Долгосрочные займы, предоставленные клиентам</v>
      </c>
      <c r="F65" s="9" t="str">
        <f>"1"</f>
        <v>1</v>
      </c>
      <c r="G65" s="9" t="str">
        <f>"5"</f>
        <v>5</v>
      </c>
      <c r="H65" s="9" t="str">
        <f>"1"</f>
        <v>1</v>
      </c>
      <c r="I65" s="11">
        <v>1100000000</v>
      </c>
    </row>
    <row r="66" spans="1:9" x14ac:dyDescent="0.25">
      <c r="A66" s="9">
        <v>422</v>
      </c>
      <c r="B66" s="10">
        <v>45016</v>
      </c>
      <c r="C66" s="9">
        <v>8</v>
      </c>
      <c r="D66" s="9" t="str">
        <f>"1417"</f>
        <v>1417</v>
      </c>
      <c r="E66" s="9" t="str">
        <f>"Долгосрочные займы, предоставленные клиентам"</f>
        <v>Долгосрочные займы, предоставленные клиентам</v>
      </c>
      <c r="F66" s="9" t="str">
        <f>"1"</f>
        <v>1</v>
      </c>
      <c r="G66" s="9" t="str">
        <f>"7"</f>
        <v>7</v>
      </c>
      <c r="H66" s="9" t="str">
        <f>"2"</f>
        <v>2</v>
      </c>
      <c r="I66" s="11">
        <v>208558798111.51999</v>
      </c>
    </row>
    <row r="67" spans="1:9" x14ac:dyDescent="0.25">
      <c r="A67" s="9">
        <v>423</v>
      </c>
      <c r="B67" s="10">
        <v>45016</v>
      </c>
      <c r="C67" s="9">
        <v>8</v>
      </c>
      <c r="D67" s="9" t="str">
        <f>"1417"</f>
        <v>1417</v>
      </c>
      <c r="E67" s="9" t="str">
        <f>"Долгосрочные займы, предоставленные клиентам"</f>
        <v>Долгосрочные займы, предоставленные клиентам</v>
      </c>
      <c r="F67" s="9" t="str">
        <f>"1"</f>
        <v>1</v>
      </c>
      <c r="G67" s="9" t="str">
        <f>"9"</f>
        <v>9</v>
      </c>
      <c r="H67" s="9" t="str">
        <f>"1"</f>
        <v>1</v>
      </c>
      <c r="I67" s="11">
        <v>235990835984.39999</v>
      </c>
    </row>
    <row r="68" spans="1:9" x14ac:dyDescent="0.25">
      <c r="A68" s="9">
        <v>424</v>
      </c>
      <c r="B68" s="10">
        <v>45016</v>
      </c>
      <c r="C68" s="9">
        <v>8</v>
      </c>
      <c r="D68" s="9" t="str">
        <f>"1417"</f>
        <v>1417</v>
      </c>
      <c r="E68" s="9" t="str">
        <f>"Долгосрочные займы, предоставленные клиентам"</f>
        <v>Долгосрочные займы, предоставленные клиентам</v>
      </c>
      <c r="F68" s="9" t="str">
        <f>"1"</f>
        <v>1</v>
      </c>
      <c r="G68" s="9" t="str">
        <f>"9"</f>
        <v>9</v>
      </c>
      <c r="H68" s="9" t="str">
        <f>"2"</f>
        <v>2</v>
      </c>
      <c r="I68" s="11">
        <v>1450169.78</v>
      </c>
    </row>
    <row r="69" spans="1:9" x14ac:dyDescent="0.25">
      <c r="A69" s="9">
        <v>427</v>
      </c>
      <c r="B69" s="10">
        <v>45016</v>
      </c>
      <c r="C69" s="9">
        <v>8</v>
      </c>
      <c r="D69" s="9" t="str">
        <f>"1417"</f>
        <v>1417</v>
      </c>
      <c r="E69" s="9" t="str">
        <f>"Долгосрочные займы, предоставленные клиентам"</f>
        <v>Долгосрочные займы, предоставленные клиентам</v>
      </c>
      <c r="F69" s="9" t="str">
        <f>"1"</f>
        <v>1</v>
      </c>
      <c r="G69" s="9" t="str">
        <f>"7"</f>
        <v>7</v>
      </c>
      <c r="H69" s="9" t="str">
        <f>"3"</f>
        <v>3</v>
      </c>
      <c r="I69" s="11">
        <v>455974569.85000002</v>
      </c>
    </row>
    <row r="70" spans="1:9" x14ac:dyDescent="0.25">
      <c r="A70" s="9">
        <v>425</v>
      </c>
      <c r="B70" s="10">
        <v>45016</v>
      </c>
      <c r="C70" s="9">
        <v>8</v>
      </c>
      <c r="D70" s="9" t="str">
        <f>"1424"</f>
        <v>1424</v>
      </c>
      <c r="E70" s="9" t="str">
        <f>"Просроченная задолженность клиентов по займам"</f>
        <v>Просроченная задолженность клиентов по займам</v>
      </c>
      <c r="F70" s="9" t="str">
        <f>"1"</f>
        <v>1</v>
      </c>
      <c r="G70" s="9" t="str">
        <f>"9"</f>
        <v>9</v>
      </c>
      <c r="H70" s="9" t="str">
        <f>"1"</f>
        <v>1</v>
      </c>
      <c r="I70" s="11">
        <v>8914712083.3500004</v>
      </c>
    </row>
    <row r="71" spans="1:9" x14ac:dyDescent="0.25">
      <c r="A71" s="9">
        <v>426</v>
      </c>
      <c r="B71" s="10">
        <v>45016</v>
      </c>
      <c r="C71" s="9">
        <v>8</v>
      </c>
      <c r="D71" s="9" t="str">
        <f>"1424"</f>
        <v>1424</v>
      </c>
      <c r="E71" s="9" t="str">
        <f>"Просроченная задолженность клиентов по займам"</f>
        <v>Просроченная задолженность клиентов по займам</v>
      </c>
      <c r="F71" s="9" t="str">
        <f>"1"</f>
        <v>1</v>
      </c>
      <c r="G71" s="9" t="str">
        <f>"7"</f>
        <v>7</v>
      </c>
      <c r="H71" s="9" t="str">
        <f>"1"</f>
        <v>1</v>
      </c>
      <c r="I71" s="11">
        <v>22367560457.75</v>
      </c>
    </row>
    <row r="72" spans="1:9" x14ac:dyDescent="0.25">
      <c r="A72" s="9">
        <v>428</v>
      </c>
      <c r="B72" s="10">
        <v>45016</v>
      </c>
      <c r="C72" s="9">
        <v>8</v>
      </c>
      <c r="D72" s="9" t="str">
        <f>"1428"</f>
        <v>1428</v>
      </c>
      <c r="E72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2" s="9" t="str">
        <f>"1"</f>
        <v>1</v>
      </c>
      <c r="G72" s="9" t="str">
        <f>"9"</f>
        <v>9</v>
      </c>
      <c r="H72" s="9" t="str">
        <f>"1"</f>
        <v>1</v>
      </c>
      <c r="I72" s="11">
        <v>-16917590908.719999</v>
      </c>
    </row>
    <row r="73" spans="1:9" x14ac:dyDescent="0.25">
      <c r="A73" s="9">
        <v>429</v>
      </c>
      <c r="B73" s="10">
        <v>45016</v>
      </c>
      <c r="C73" s="9">
        <v>8</v>
      </c>
      <c r="D73" s="9" t="str">
        <f>"1428"</f>
        <v>1428</v>
      </c>
      <c r="E73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3" s="9" t="str">
        <f>"1"</f>
        <v>1</v>
      </c>
      <c r="G73" s="9" t="str">
        <f>"9"</f>
        <v>9</v>
      </c>
      <c r="H73" s="9" t="str">
        <f>"2"</f>
        <v>2</v>
      </c>
      <c r="I73" s="11">
        <v>-1756117.49</v>
      </c>
    </row>
    <row r="74" spans="1:9" x14ac:dyDescent="0.25">
      <c r="A74" s="9">
        <v>430</v>
      </c>
      <c r="B74" s="10">
        <v>45016</v>
      </c>
      <c r="C74" s="9">
        <v>8</v>
      </c>
      <c r="D74" s="9" t="str">
        <f>"1428"</f>
        <v>1428</v>
      </c>
      <c r="E74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4" s="9" t="str">
        <f>"1"</f>
        <v>1</v>
      </c>
      <c r="G74" s="9" t="str">
        <f>"5"</f>
        <v>5</v>
      </c>
      <c r="H74" s="9" t="str">
        <f>"1"</f>
        <v>1</v>
      </c>
      <c r="I74" s="11">
        <v>-48484305.469999999</v>
      </c>
    </row>
    <row r="75" spans="1:9" x14ac:dyDescent="0.25">
      <c r="A75" s="9">
        <v>431</v>
      </c>
      <c r="B75" s="10">
        <v>45016</v>
      </c>
      <c r="C75" s="9">
        <v>8</v>
      </c>
      <c r="D75" s="9" t="str">
        <f>"1428"</f>
        <v>1428</v>
      </c>
      <c r="E75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5" s="9" t="str">
        <f>"1"</f>
        <v>1</v>
      </c>
      <c r="G75" s="9" t="str">
        <f>"7"</f>
        <v>7</v>
      </c>
      <c r="H75" s="9" t="str">
        <f>"2"</f>
        <v>2</v>
      </c>
      <c r="I75" s="11">
        <v>-5845990927.5699997</v>
      </c>
    </row>
    <row r="76" spans="1:9" x14ac:dyDescent="0.25">
      <c r="A76" s="9">
        <v>432</v>
      </c>
      <c r="B76" s="10">
        <v>45016</v>
      </c>
      <c r="C76" s="9">
        <v>8</v>
      </c>
      <c r="D76" s="9" t="str">
        <f>"1428"</f>
        <v>1428</v>
      </c>
      <c r="E76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6" s="9" t="str">
        <f>"1"</f>
        <v>1</v>
      </c>
      <c r="G76" s="9" t="str">
        <f>"7"</f>
        <v>7</v>
      </c>
      <c r="H76" s="9" t="str">
        <f>"3"</f>
        <v>3</v>
      </c>
      <c r="I76" s="11">
        <v>-17974015.629999999</v>
      </c>
    </row>
    <row r="77" spans="1:9" x14ac:dyDescent="0.25">
      <c r="A77" s="9">
        <v>433</v>
      </c>
      <c r="B77" s="10">
        <v>45016</v>
      </c>
      <c r="C77" s="9">
        <v>8</v>
      </c>
      <c r="D77" s="9" t="str">
        <f>"1428"</f>
        <v>1428</v>
      </c>
      <c r="E77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7" s="9" t="str">
        <f>"2"</f>
        <v>2</v>
      </c>
      <c r="G77" s="9" t="str">
        <f>"9"</f>
        <v>9</v>
      </c>
      <c r="H77" s="9" t="str">
        <f>"2"</f>
        <v>2</v>
      </c>
      <c r="I77" s="11">
        <v>-1047645.51</v>
      </c>
    </row>
    <row r="78" spans="1:9" x14ac:dyDescent="0.25">
      <c r="A78" s="9">
        <v>434</v>
      </c>
      <c r="B78" s="10">
        <v>45016</v>
      </c>
      <c r="C78" s="9">
        <v>8</v>
      </c>
      <c r="D78" s="9" t="str">
        <f>"1428"</f>
        <v>1428</v>
      </c>
      <c r="E78" s="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8" s="9" t="str">
        <f>"1"</f>
        <v>1</v>
      </c>
      <c r="G78" s="9" t="str">
        <f>"7"</f>
        <v>7</v>
      </c>
      <c r="H78" s="9" t="str">
        <f>"1"</f>
        <v>1</v>
      </c>
      <c r="I78" s="11">
        <v>-28273129701.950001</v>
      </c>
    </row>
    <row r="79" spans="1:9" x14ac:dyDescent="0.25">
      <c r="A79" s="9">
        <v>435</v>
      </c>
      <c r="B79" s="10">
        <v>45016</v>
      </c>
      <c r="C79" s="9">
        <v>8</v>
      </c>
      <c r="D79" s="9" t="str">
        <f>"1434"</f>
        <v>1434</v>
      </c>
      <c r="E79" s="9" t="str">
        <f>"Дисконт по займам, предоставленным клиентам"</f>
        <v>Дисконт по займам, предоставленным клиентам</v>
      </c>
      <c r="F79" s="9" t="str">
        <f>"1"</f>
        <v>1</v>
      </c>
      <c r="G79" s="9" t="str">
        <f>"5"</f>
        <v>5</v>
      </c>
      <c r="H79" s="9" t="str">
        <f>"1"</f>
        <v>1</v>
      </c>
      <c r="I79" s="11">
        <v>-2965975.75</v>
      </c>
    </row>
    <row r="80" spans="1:9" x14ac:dyDescent="0.25">
      <c r="A80" s="9">
        <v>436</v>
      </c>
      <c r="B80" s="10">
        <v>45016</v>
      </c>
      <c r="C80" s="9">
        <v>8</v>
      </c>
      <c r="D80" s="9" t="str">
        <f>"1434"</f>
        <v>1434</v>
      </c>
      <c r="E80" s="9" t="str">
        <f>"Дисконт по займам, предоставленным клиентам"</f>
        <v>Дисконт по займам, предоставленным клиентам</v>
      </c>
      <c r="F80" s="9" t="str">
        <f>"1"</f>
        <v>1</v>
      </c>
      <c r="G80" s="9" t="str">
        <f>"7"</f>
        <v>7</v>
      </c>
      <c r="H80" s="9" t="str">
        <f>"2"</f>
        <v>2</v>
      </c>
      <c r="I80" s="11">
        <v>-805326653.94000006</v>
      </c>
    </row>
    <row r="81" spans="1:9" x14ac:dyDescent="0.25">
      <c r="A81" s="9">
        <v>437</v>
      </c>
      <c r="B81" s="10">
        <v>45016</v>
      </c>
      <c r="C81" s="9">
        <v>8</v>
      </c>
      <c r="D81" s="9" t="str">
        <f>"1434"</f>
        <v>1434</v>
      </c>
      <c r="E81" s="9" t="str">
        <f>"Дисконт по займам, предоставленным клиентам"</f>
        <v>Дисконт по займам, предоставленным клиентам</v>
      </c>
      <c r="F81" s="9" t="str">
        <f>"1"</f>
        <v>1</v>
      </c>
      <c r="G81" s="9" t="str">
        <f>"9"</f>
        <v>9</v>
      </c>
      <c r="H81" s="9" t="str">
        <f>"1"</f>
        <v>1</v>
      </c>
      <c r="I81" s="11">
        <v>-10872888352.049999</v>
      </c>
    </row>
    <row r="82" spans="1:9" x14ac:dyDescent="0.25">
      <c r="A82" s="9">
        <v>438</v>
      </c>
      <c r="B82" s="10">
        <v>45016</v>
      </c>
      <c r="C82" s="9">
        <v>8</v>
      </c>
      <c r="D82" s="9" t="str">
        <f>"1434"</f>
        <v>1434</v>
      </c>
      <c r="E82" s="9" t="str">
        <f>"Дисконт по займам, предоставленным клиентам"</f>
        <v>Дисконт по займам, предоставленным клиентам</v>
      </c>
      <c r="F82" s="9" t="str">
        <f>"1"</f>
        <v>1</v>
      </c>
      <c r="G82" s="9" t="str">
        <f>"7"</f>
        <v>7</v>
      </c>
      <c r="H82" s="9" t="str">
        <f>"1"</f>
        <v>1</v>
      </c>
      <c r="I82" s="11">
        <v>-3096110733.8299999</v>
      </c>
    </row>
    <row r="83" spans="1:9" x14ac:dyDescent="0.25">
      <c r="A83" s="9">
        <v>439</v>
      </c>
      <c r="B83" s="10">
        <v>45016</v>
      </c>
      <c r="C83" s="9">
        <v>8</v>
      </c>
      <c r="D83" s="9" t="str">
        <f>"1434"</f>
        <v>1434</v>
      </c>
      <c r="E83" s="9" t="str">
        <f>"Дисконт по займам, предоставленным клиентам"</f>
        <v>Дисконт по займам, предоставленным клиентам</v>
      </c>
      <c r="F83" s="9" t="str">
        <f>"2"</f>
        <v>2</v>
      </c>
      <c r="G83" s="9" t="str">
        <f>"9"</f>
        <v>9</v>
      </c>
      <c r="H83" s="9" t="str">
        <f>"2"</f>
        <v>2</v>
      </c>
      <c r="I83" s="11">
        <v>-9184405.5</v>
      </c>
    </row>
    <row r="84" spans="1:9" x14ac:dyDescent="0.25">
      <c r="A84" s="9">
        <v>440</v>
      </c>
      <c r="B84" s="10">
        <v>45016</v>
      </c>
      <c r="C84" s="9">
        <v>8</v>
      </c>
      <c r="D84" s="9" t="str">
        <f>"1435"</f>
        <v>1435</v>
      </c>
      <c r="E84" s="9" t="str">
        <f>"Премия по займам, предоставленным клиентам"</f>
        <v>Премия по займам, предоставленным клиентам</v>
      </c>
      <c r="F84" s="9" t="str">
        <f>"1"</f>
        <v>1</v>
      </c>
      <c r="G84" s="9" t="str">
        <f>"7"</f>
        <v>7</v>
      </c>
      <c r="H84" s="9" t="str">
        <f>"1"</f>
        <v>1</v>
      </c>
      <c r="I84" s="11">
        <v>234513549.61000001</v>
      </c>
    </row>
    <row r="85" spans="1:9" x14ac:dyDescent="0.25">
      <c r="A85" s="9">
        <v>441</v>
      </c>
      <c r="B85" s="10">
        <v>45016</v>
      </c>
      <c r="C85" s="9">
        <v>8</v>
      </c>
      <c r="D85" s="9" t="str">
        <f>"1435"</f>
        <v>1435</v>
      </c>
      <c r="E85" s="9" t="str">
        <f>"Премия по займам, предоставленным клиентам"</f>
        <v>Премия по займам, предоставленным клиентам</v>
      </c>
      <c r="F85" s="9" t="str">
        <f>"1"</f>
        <v>1</v>
      </c>
      <c r="G85" s="9" t="str">
        <f>"9"</f>
        <v>9</v>
      </c>
      <c r="H85" s="9" t="str">
        <f>"1"</f>
        <v>1</v>
      </c>
      <c r="I85" s="11">
        <v>46523870.299999997</v>
      </c>
    </row>
    <row r="86" spans="1:9" x14ac:dyDescent="0.25">
      <c r="A86" s="9">
        <v>443</v>
      </c>
      <c r="B86" s="10">
        <v>45016</v>
      </c>
      <c r="C86" s="9">
        <v>8</v>
      </c>
      <c r="D86" s="9" t="str">
        <f>"1435"</f>
        <v>1435</v>
      </c>
      <c r="E86" s="9" t="str">
        <f>"Премия по займам, предоставленным клиентам"</f>
        <v>Премия по займам, предоставленным клиентам</v>
      </c>
      <c r="F86" s="9" t="str">
        <f>"1"</f>
        <v>1</v>
      </c>
      <c r="G86" s="9" t="str">
        <f>"7"</f>
        <v>7</v>
      </c>
      <c r="H86" s="9" t="str">
        <f>"2"</f>
        <v>2</v>
      </c>
      <c r="I86" s="11">
        <v>1237902880.29</v>
      </c>
    </row>
    <row r="87" spans="1:9" x14ac:dyDescent="0.25">
      <c r="A87" s="9">
        <v>442</v>
      </c>
      <c r="B87" s="10">
        <v>45016</v>
      </c>
      <c r="C87" s="9">
        <v>8</v>
      </c>
      <c r="D87" s="9" t="str">
        <f>"1452"</f>
        <v>1452</v>
      </c>
      <c r="E87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7" s="9" t="str">
        <f>"1"</f>
        <v>1</v>
      </c>
      <c r="G87" s="9" t="str">
        <f>"4"</f>
        <v>4</v>
      </c>
      <c r="H87" s="9" t="str">
        <f>"2"</f>
        <v>2</v>
      </c>
      <c r="I87" s="11">
        <v>2936115000</v>
      </c>
    </row>
    <row r="88" spans="1:9" x14ac:dyDescent="0.25">
      <c r="A88" s="9">
        <v>444</v>
      </c>
      <c r="B88" s="10">
        <v>45016</v>
      </c>
      <c r="C88" s="9">
        <v>8</v>
      </c>
      <c r="D88" s="9" t="str">
        <f>"1452"</f>
        <v>1452</v>
      </c>
      <c r="E88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8" s="9" t="str">
        <f>"1"</f>
        <v>1</v>
      </c>
      <c r="G88" s="9" t="str">
        <f>"1"</f>
        <v>1</v>
      </c>
      <c r="H88" s="9" t="str">
        <f>"2"</f>
        <v>2</v>
      </c>
      <c r="I88" s="11">
        <v>86635898191.350006</v>
      </c>
    </row>
    <row r="89" spans="1:9" x14ac:dyDescent="0.25">
      <c r="A89" s="9">
        <v>445</v>
      </c>
      <c r="B89" s="10">
        <v>45016</v>
      </c>
      <c r="C89" s="9">
        <v>8</v>
      </c>
      <c r="D89" s="9" t="str">
        <f>"1452"</f>
        <v>1452</v>
      </c>
      <c r="E89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89" s="9" t="str">
        <f>"1"</f>
        <v>1</v>
      </c>
      <c r="G89" s="9" t="str">
        <f>"3"</f>
        <v>3</v>
      </c>
      <c r="H89" s="9" t="str">
        <f>"1"</f>
        <v>1</v>
      </c>
      <c r="I89" s="11">
        <v>130000000000</v>
      </c>
    </row>
    <row r="90" spans="1:9" x14ac:dyDescent="0.25">
      <c r="A90" s="9">
        <v>446</v>
      </c>
      <c r="B90" s="10">
        <v>45016</v>
      </c>
      <c r="C90" s="9">
        <v>8</v>
      </c>
      <c r="D90" s="9" t="str">
        <f>"1452"</f>
        <v>1452</v>
      </c>
      <c r="E90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0" s="9" t="str">
        <f>"1"</f>
        <v>1</v>
      </c>
      <c r="G90" s="9" t="str">
        <f>"6"</f>
        <v>6</v>
      </c>
      <c r="H90" s="9" t="str">
        <f>"1"</f>
        <v>1</v>
      </c>
      <c r="I90" s="11">
        <v>1820401000</v>
      </c>
    </row>
    <row r="91" spans="1:9" x14ac:dyDescent="0.25">
      <c r="A91" s="9">
        <v>447</v>
      </c>
      <c r="B91" s="10">
        <v>45016</v>
      </c>
      <c r="C91" s="9">
        <v>8</v>
      </c>
      <c r="D91" s="9" t="str">
        <f>"1452"</f>
        <v>1452</v>
      </c>
      <c r="E91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1" s="9" t="str">
        <f>"1"</f>
        <v>1</v>
      </c>
      <c r="G91" s="9" t="str">
        <f>"5"</f>
        <v>5</v>
      </c>
      <c r="H91" s="9" t="str">
        <f>"1"</f>
        <v>1</v>
      </c>
      <c r="I91" s="11">
        <v>1000000000</v>
      </c>
    </row>
    <row r="92" spans="1:9" x14ac:dyDescent="0.25">
      <c r="A92" s="9">
        <v>448</v>
      </c>
      <c r="B92" s="10">
        <v>45016</v>
      </c>
      <c r="C92" s="9">
        <v>8</v>
      </c>
      <c r="D92" s="9" t="str">
        <f>"1452"</f>
        <v>1452</v>
      </c>
      <c r="E92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2" s="9" t="str">
        <f>"1"</f>
        <v>1</v>
      </c>
      <c r="G92" s="9" t="str">
        <f>"1"</f>
        <v>1</v>
      </c>
      <c r="H92" s="9" t="str">
        <f>"1"</f>
        <v>1</v>
      </c>
      <c r="I92" s="11">
        <v>167936390000</v>
      </c>
    </row>
    <row r="93" spans="1:9" x14ac:dyDescent="0.25">
      <c r="A93" s="9">
        <v>449</v>
      </c>
      <c r="B93" s="10">
        <v>45016</v>
      </c>
      <c r="C93" s="9">
        <v>8</v>
      </c>
      <c r="D93" s="9" t="str">
        <f>"1452"</f>
        <v>1452</v>
      </c>
      <c r="E93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3" s="9" t="str">
        <f>"2"</f>
        <v>2</v>
      </c>
      <c r="G93" s="9" t="str">
        <f>"1"</f>
        <v>1</v>
      </c>
      <c r="H93" s="9" t="str">
        <f>"2"</f>
        <v>2</v>
      </c>
      <c r="I93" s="11">
        <v>15809850000</v>
      </c>
    </row>
    <row r="94" spans="1:9" x14ac:dyDescent="0.25">
      <c r="A94" s="9">
        <v>450</v>
      </c>
      <c r="B94" s="10">
        <v>45016</v>
      </c>
      <c r="C94" s="9">
        <v>8</v>
      </c>
      <c r="D94" s="9" t="str">
        <f>"1452"</f>
        <v>1452</v>
      </c>
      <c r="E94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4" s="9" t="str">
        <f>"1"</f>
        <v>1</v>
      </c>
      <c r="G94" s="9" t="str">
        <f>"6"</f>
        <v>6</v>
      </c>
      <c r="H94" s="9" t="str">
        <f>"2"</f>
        <v>2</v>
      </c>
      <c r="I94" s="11">
        <v>1806840000</v>
      </c>
    </row>
    <row r="95" spans="1:9" x14ac:dyDescent="0.25">
      <c r="A95" s="9">
        <v>451</v>
      </c>
      <c r="B95" s="10">
        <v>45016</v>
      </c>
      <c r="C95" s="9">
        <v>8</v>
      </c>
      <c r="D95" s="9" t="str">
        <f>"1452"</f>
        <v>1452</v>
      </c>
      <c r="E95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5" s="9" t="str">
        <f>"2"</f>
        <v>2</v>
      </c>
      <c r="G95" s="9" t="str">
        <f>"5"</f>
        <v>5</v>
      </c>
      <c r="H95" s="9" t="str">
        <f>"2"</f>
        <v>2</v>
      </c>
      <c r="I95" s="11">
        <v>903420000</v>
      </c>
    </row>
    <row r="96" spans="1:9" x14ac:dyDescent="0.25">
      <c r="A96" s="9">
        <v>452</v>
      </c>
      <c r="B96" s="10">
        <v>45016</v>
      </c>
      <c r="C96" s="9">
        <v>8</v>
      </c>
      <c r="D96" s="9" t="str">
        <f>"1452"</f>
        <v>1452</v>
      </c>
      <c r="E96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6" s="9" t="str">
        <f>"2"</f>
        <v>2</v>
      </c>
      <c r="G96" s="9" t="str">
        <f>"3"</f>
        <v>3</v>
      </c>
      <c r="H96" s="9" t="str">
        <f>"1"</f>
        <v>1</v>
      </c>
      <c r="I96" s="11">
        <v>898437000</v>
      </c>
    </row>
    <row r="97" spans="1:9" x14ac:dyDescent="0.25">
      <c r="A97" s="9">
        <v>453</v>
      </c>
      <c r="B97" s="10">
        <v>45016</v>
      </c>
      <c r="C97" s="9">
        <v>8</v>
      </c>
      <c r="D97" s="9" t="str">
        <f>"1452"</f>
        <v>1452</v>
      </c>
      <c r="E97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7" s="9" t="str">
        <f>"1"</f>
        <v>1</v>
      </c>
      <c r="G97" s="9" t="str">
        <f>"7"</f>
        <v>7</v>
      </c>
      <c r="H97" s="9" t="str">
        <f>"2"</f>
        <v>2</v>
      </c>
      <c r="I97" s="11">
        <v>903420000</v>
      </c>
    </row>
    <row r="98" spans="1:9" x14ac:dyDescent="0.25">
      <c r="A98" s="9">
        <v>454</v>
      </c>
      <c r="B98" s="10">
        <v>45016</v>
      </c>
      <c r="C98" s="9">
        <v>8</v>
      </c>
      <c r="D98" s="9" t="str">
        <f>"1452"</f>
        <v>1452</v>
      </c>
      <c r="E98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8" s="9" t="str">
        <f>"2"</f>
        <v>2</v>
      </c>
      <c r="G98" s="9" t="str">
        <f>"7"</f>
        <v>7</v>
      </c>
      <c r="H98" s="9" t="str">
        <f>"2"</f>
        <v>2</v>
      </c>
      <c r="I98" s="11">
        <v>1806840000</v>
      </c>
    </row>
    <row r="99" spans="1:9" x14ac:dyDescent="0.25">
      <c r="A99" s="9">
        <v>490</v>
      </c>
      <c r="B99" s="10">
        <v>45016</v>
      </c>
      <c r="C99" s="9">
        <v>8</v>
      </c>
      <c r="D99" s="9" t="str">
        <f>"1452"</f>
        <v>1452</v>
      </c>
      <c r="E99" s="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9" s="9" t="str">
        <f>"2"</f>
        <v>2</v>
      </c>
      <c r="G99" s="9" t="str">
        <f>"5"</f>
        <v>5</v>
      </c>
      <c r="H99" s="9" t="str">
        <f>"1"</f>
        <v>1</v>
      </c>
      <c r="I99" s="11">
        <v>1846153760</v>
      </c>
    </row>
    <row r="100" spans="1:9" x14ac:dyDescent="0.25">
      <c r="A100" s="9">
        <v>456</v>
      </c>
      <c r="B100" s="10">
        <v>45016</v>
      </c>
      <c r="C100" s="9">
        <v>8</v>
      </c>
      <c r="D100" s="9" t="str">
        <f>"1453"</f>
        <v>1453</v>
      </c>
      <c r="E100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0" s="9" t="str">
        <f>"1"</f>
        <v>1</v>
      </c>
      <c r="G100" s="9" t="str">
        <f>"1"</f>
        <v>1</v>
      </c>
      <c r="H100" s="9" t="str">
        <f>"1"</f>
        <v>1</v>
      </c>
      <c r="I100" s="11">
        <v>-2447711066.0599999</v>
      </c>
    </row>
    <row r="101" spans="1:9" x14ac:dyDescent="0.25">
      <c r="A101" s="9">
        <v>457</v>
      </c>
      <c r="B101" s="10">
        <v>45016</v>
      </c>
      <c r="C101" s="9">
        <v>8</v>
      </c>
      <c r="D101" s="9" t="str">
        <f>"1453"</f>
        <v>1453</v>
      </c>
      <c r="E101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1" s="9" t="str">
        <f>"1"</f>
        <v>1</v>
      </c>
      <c r="G101" s="9" t="str">
        <f>"1"</f>
        <v>1</v>
      </c>
      <c r="H101" s="9" t="str">
        <f>"2"</f>
        <v>2</v>
      </c>
      <c r="I101" s="11">
        <v>-25686621.670000002</v>
      </c>
    </row>
    <row r="102" spans="1:9" x14ac:dyDescent="0.25">
      <c r="A102" s="9">
        <v>462</v>
      </c>
      <c r="B102" s="10">
        <v>45016</v>
      </c>
      <c r="C102" s="9">
        <v>8</v>
      </c>
      <c r="D102" s="9" t="str">
        <f>"1453"</f>
        <v>1453</v>
      </c>
      <c r="E102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2" s="9" t="str">
        <f>"1"</f>
        <v>1</v>
      </c>
      <c r="G102" s="9" t="str">
        <f>"3"</f>
        <v>3</v>
      </c>
      <c r="H102" s="9" t="str">
        <f>"1"</f>
        <v>1</v>
      </c>
      <c r="I102" s="11">
        <v>-930939738.83000004</v>
      </c>
    </row>
    <row r="103" spans="1:9" x14ac:dyDescent="0.25">
      <c r="A103" s="9">
        <v>464</v>
      </c>
      <c r="B103" s="10">
        <v>45016</v>
      </c>
      <c r="C103" s="9">
        <v>8</v>
      </c>
      <c r="D103" s="9" t="str">
        <f>"1453"</f>
        <v>1453</v>
      </c>
      <c r="E103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3" s="9" t="str">
        <f>"1"</f>
        <v>1</v>
      </c>
      <c r="G103" s="9" t="str">
        <f>"4"</f>
        <v>4</v>
      </c>
      <c r="H103" s="9" t="str">
        <f>"2"</f>
        <v>2</v>
      </c>
      <c r="I103" s="11">
        <v>-4029208.03</v>
      </c>
    </row>
    <row r="104" spans="1:9" x14ac:dyDescent="0.25">
      <c r="A104" s="9">
        <v>482</v>
      </c>
      <c r="B104" s="10">
        <v>45016</v>
      </c>
      <c r="C104" s="9">
        <v>8</v>
      </c>
      <c r="D104" s="9" t="str">
        <f>"1453"</f>
        <v>1453</v>
      </c>
      <c r="E104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4" s="9" t="str">
        <f>"1"</f>
        <v>1</v>
      </c>
      <c r="G104" s="9" t="str">
        <f>"5"</f>
        <v>5</v>
      </c>
      <c r="H104" s="9" t="str">
        <f>"1"</f>
        <v>1</v>
      </c>
      <c r="I104" s="11">
        <v>-5466256.7400000002</v>
      </c>
    </row>
    <row r="105" spans="1:9" x14ac:dyDescent="0.25">
      <c r="A105" s="9">
        <v>512</v>
      </c>
      <c r="B105" s="10">
        <v>45016</v>
      </c>
      <c r="C105" s="9">
        <v>8</v>
      </c>
      <c r="D105" s="9" t="str">
        <f>"1453"</f>
        <v>1453</v>
      </c>
      <c r="E105" s="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5" s="9" t="str">
        <f>"2"</f>
        <v>2</v>
      </c>
      <c r="G105" s="9" t="str">
        <f>"1"</f>
        <v>1</v>
      </c>
      <c r="H105" s="9" t="str">
        <f>"2"</f>
        <v>2</v>
      </c>
      <c r="I105" s="11">
        <v>-72050965.689999998</v>
      </c>
    </row>
    <row r="106" spans="1:9" x14ac:dyDescent="0.25">
      <c r="A106" s="9">
        <v>473</v>
      </c>
      <c r="B106" s="10">
        <v>45016</v>
      </c>
      <c r="C106" s="9">
        <v>8</v>
      </c>
      <c r="D106" s="9" t="str">
        <f>"1454"</f>
        <v>1454</v>
      </c>
      <c r="E106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6" s="9" t="str">
        <f>"1"</f>
        <v>1</v>
      </c>
      <c r="G106" s="9" t="str">
        <f>"1"</f>
        <v>1</v>
      </c>
      <c r="H106" s="9" t="str">
        <f>"1"</f>
        <v>1</v>
      </c>
      <c r="I106" s="11">
        <v>87489940.430000007</v>
      </c>
    </row>
    <row r="107" spans="1:9" x14ac:dyDescent="0.25">
      <c r="A107" s="9">
        <v>488</v>
      </c>
      <c r="B107" s="10">
        <v>45016</v>
      </c>
      <c r="C107" s="9">
        <v>8</v>
      </c>
      <c r="D107" s="9" t="str">
        <f>"1454"</f>
        <v>1454</v>
      </c>
      <c r="E107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7" s="9" t="str">
        <f>"1"</f>
        <v>1</v>
      </c>
      <c r="G107" s="9" t="str">
        <f>"7"</f>
        <v>7</v>
      </c>
      <c r="H107" s="9" t="str">
        <f>"2"</f>
        <v>2</v>
      </c>
      <c r="I107" s="11">
        <v>75676999.959999993</v>
      </c>
    </row>
    <row r="108" spans="1:9" x14ac:dyDescent="0.25">
      <c r="A108" s="9">
        <v>514</v>
      </c>
      <c r="B108" s="10">
        <v>45016</v>
      </c>
      <c r="C108" s="9">
        <v>8</v>
      </c>
      <c r="D108" s="9" t="str">
        <f>"1454"</f>
        <v>1454</v>
      </c>
      <c r="E108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8" s="9" t="str">
        <f>"1"</f>
        <v>1</v>
      </c>
      <c r="G108" s="9" t="str">
        <f>"6"</f>
        <v>6</v>
      </c>
      <c r="H108" s="9" t="str">
        <f>"2"</f>
        <v>2</v>
      </c>
      <c r="I108" s="11">
        <v>171417038.34999999</v>
      </c>
    </row>
    <row r="109" spans="1:9" x14ac:dyDescent="0.25">
      <c r="A109" s="9">
        <v>523</v>
      </c>
      <c r="B109" s="10">
        <v>45016</v>
      </c>
      <c r="C109" s="9">
        <v>8</v>
      </c>
      <c r="D109" s="9" t="str">
        <f>"1454"</f>
        <v>1454</v>
      </c>
      <c r="E109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09" s="9" t="str">
        <f>"1"</f>
        <v>1</v>
      </c>
      <c r="G109" s="9" t="str">
        <f>"1"</f>
        <v>1</v>
      </c>
      <c r="H109" s="9" t="str">
        <f>"2"</f>
        <v>2</v>
      </c>
      <c r="I109" s="11">
        <v>7688296006.2299995</v>
      </c>
    </row>
    <row r="110" spans="1:9" x14ac:dyDescent="0.25">
      <c r="A110" s="9">
        <v>528</v>
      </c>
      <c r="B110" s="10">
        <v>45016</v>
      </c>
      <c r="C110" s="9">
        <v>8</v>
      </c>
      <c r="D110" s="9" t="str">
        <f>"1454"</f>
        <v>1454</v>
      </c>
      <c r="E110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0" s="9" t="str">
        <f>"2"</f>
        <v>2</v>
      </c>
      <c r="G110" s="9" t="str">
        <f>"7"</f>
        <v>7</v>
      </c>
      <c r="H110" s="9" t="str">
        <f>"2"</f>
        <v>2</v>
      </c>
      <c r="I110" s="11">
        <v>23110861.32</v>
      </c>
    </row>
    <row r="111" spans="1:9" x14ac:dyDescent="0.25">
      <c r="A111" s="9">
        <v>541</v>
      </c>
      <c r="B111" s="10">
        <v>45016</v>
      </c>
      <c r="C111" s="9">
        <v>8</v>
      </c>
      <c r="D111" s="9" t="str">
        <f>"1454"</f>
        <v>1454</v>
      </c>
      <c r="E111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1" s="9" t="str">
        <f>"2"</f>
        <v>2</v>
      </c>
      <c r="G111" s="9" t="str">
        <f>"5"</f>
        <v>5</v>
      </c>
      <c r="H111" s="9" t="str">
        <f>"2"</f>
        <v>2</v>
      </c>
      <c r="I111" s="11">
        <v>50023205.579999998</v>
      </c>
    </row>
    <row r="112" spans="1:9" x14ac:dyDescent="0.25">
      <c r="A112" s="9">
        <v>474</v>
      </c>
      <c r="B112" s="10">
        <v>45016</v>
      </c>
      <c r="C112" s="9">
        <v>8</v>
      </c>
      <c r="D112" s="9" t="str">
        <f>"1456"</f>
        <v>1456</v>
      </c>
      <c r="E112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2" s="9" t="str">
        <f>"1"</f>
        <v>1</v>
      </c>
      <c r="G112" s="9" t="str">
        <f>"1"</f>
        <v>1</v>
      </c>
      <c r="H112" s="9" t="str">
        <f>"2"</f>
        <v>2</v>
      </c>
      <c r="I112" s="11">
        <v>2365844.6800000002</v>
      </c>
    </row>
    <row r="113" spans="1:9" x14ac:dyDescent="0.25">
      <c r="A113" s="9">
        <v>508</v>
      </c>
      <c r="B113" s="10">
        <v>45016</v>
      </c>
      <c r="C113" s="9">
        <v>8</v>
      </c>
      <c r="D113" s="9" t="str">
        <f>"1456"</f>
        <v>1456</v>
      </c>
      <c r="E113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13" s="9" t="str">
        <f>"1"</f>
        <v>1</v>
      </c>
      <c r="G113" s="9" t="str">
        <f>"3"</f>
        <v>3</v>
      </c>
      <c r="H113" s="9" t="str">
        <f>"1"</f>
        <v>1</v>
      </c>
      <c r="I113" s="11">
        <v>76229738.829999998</v>
      </c>
    </row>
    <row r="114" spans="1:9" x14ac:dyDescent="0.25">
      <c r="A114" s="9">
        <v>466</v>
      </c>
      <c r="B114" s="10">
        <v>45016</v>
      </c>
      <c r="C114" s="9">
        <v>8</v>
      </c>
      <c r="D114" s="9" t="str">
        <f>"1457"</f>
        <v>1457</v>
      </c>
      <c r="E114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4" s="9" t="str">
        <f>"2"</f>
        <v>2</v>
      </c>
      <c r="G114" s="9" t="str">
        <f>"5"</f>
        <v>5</v>
      </c>
      <c r="H114" s="9" t="str">
        <f>"1"</f>
        <v>1</v>
      </c>
      <c r="I114" s="11">
        <v>-222329164.28</v>
      </c>
    </row>
    <row r="115" spans="1:9" x14ac:dyDescent="0.25">
      <c r="A115" s="9">
        <v>471</v>
      </c>
      <c r="B115" s="10">
        <v>45016</v>
      </c>
      <c r="C115" s="9">
        <v>8</v>
      </c>
      <c r="D115" s="9" t="str">
        <f>"1457"</f>
        <v>1457</v>
      </c>
      <c r="E115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5" s="9" t="str">
        <f>"2"</f>
        <v>2</v>
      </c>
      <c r="G115" s="9" t="str">
        <f>"1"</f>
        <v>1</v>
      </c>
      <c r="H115" s="9" t="str">
        <f>"2"</f>
        <v>2</v>
      </c>
      <c r="I115" s="11">
        <v>-3163758.77</v>
      </c>
    </row>
    <row r="116" spans="1:9" x14ac:dyDescent="0.25">
      <c r="A116" s="9">
        <v>480</v>
      </c>
      <c r="B116" s="10">
        <v>45016</v>
      </c>
      <c r="C116" s="9">
        <v>8</v>
      </c>
      <c r="D116" s="9" t="str">
        <f>"1457"</f>
        <v>1457</v>
      </c>
      <c r="E116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6" s="9" t="str">
        <f>"2"</f>
        <v>2</v>
      </c>
      <c r="G116" s="9" t="str">
        <f>"5"</f>
        <v>5</v>
      </c>
      <c r="H116" s="9" t="str">
        <f>"2"</f>
        <v>2</v>
      </c>
      <c r="I116" s="11">
        <v>-293946605.57999998</v>
      </c>
    </row>
    <row r="117" spans="1:9" x14ac:dyDescent="0.25">
      <c r="A117" s="9">
        <v>489</v>
      </c>
      <c r="B117" s="10">
        <v>45016</v>
      </c>
      <c r="C117" s="9">
        <v>8</v>
      </c>
      <c r="D117" s="9" t="str">
        <f>"1457"</f>
        <v>1457</v>
      </c>
      <c r="E117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7" s="9" t="str">
        <f>"1"</f>
        <v>1</v>
      </c>
      <c r="G117" s="9" t="str">
        <f>"6"</f>
        <v>6</v>
      </c>
      <c r="H117" s="9" t="str">
        <f>"1"</f>
        <v>1</v>
      </c>
      <c r="I117" s="11">
        <v>-118581313.95</v>
      </c>
    </row>
    <row r="118" spans="1:9" x14ac:dyDescent="0.25">
      <c r="A118" s="9">
        <v>501</v>
      </c>
      <c r="B118" s="10">
        <v>45016</v>
      </c>
      <c r="C118" s="9">
        <v>8</v>
      </c>
      <c r="D118" s="9" t="str">
        <f>"1457"</f>
        <v>1457</v>
      </c>
      <c r="E118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8" s="9" t="str">
        <f>"1"</f>
        <v>1</v>
      </c>
      <c r="G118" s="9" t="str">
        <f>"6"</f>
        <v>6</v>
      </c>
      <c r="H118" s="9" t="str">
        <f>"2"</f>
        <v>2</v>
      </c>
      <c r="I118" s="11">
        <v>-488002508.94999999</v>
      </c>
    </row>
    <row r="119" spans="1:9" x14ac:dyDescent="0.25">
      <c r="A119" s="9">
        <v>503</v>
      </c>
      <c r="B119" s="10">
        <v>45016</v>
      </c>
      <c r="C119" s="9">
        <v>8</v>
      </c>
      <c r="D119" s="9" t="str">
        <f>"1457"</f>
        <v>1457</v>
      </c>
      <c r="E119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19" s="9" t="str">
        <f>"1"</f>
        <v>1</v>
      </c>
      <c r="G119" s="9" t="str">
        <f>"5"</f>
        <v>5</v>
      </c>
      <c r="H119" s="9" t="str">
        <f>"1"</f>
        <v>1</v>
      </c>
      <c r="I119" s="11">
        <v>-45007135.420000002</v>
      </c>
    </row>
    <row r="120" spans="1:9" x14ac:dyDescent="0.25">
      <c r="A120" s="9">
        <v>511</v>
      </c>
      <c r="B120" s="10">
        <v>45016</v>
      </c>
      <c r="C120" s="9">
        <v>8</v>
      </c>
      <c r="D120" s="9" t="str">
        <f>"1457"</f>
        <v>1457</v>
      </c>
      <c r="E120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0" s="9" t="str">
        <f>"2"</f>
        <v>2</v>
      </c>
      <c r="G120" s="9" t="str">
        <f>"3"</f>
        <v>3</v>
      </c>
      <c r="H120" s="9" t="str">
        <f>"1"</f>
        <v>1</v>
      </c>
      <c r="I120" s="11">
        <v>-56556103.490000002</v>
      </c>
    </row>
    <row r="121" spans="1:9" x14ac:dyDescent="0.25">
      <c r="A121" s="9">
        <v>516</v>
      </c>
      <c r="B121" s="10">
        <v>45016</v>
      </c>
      <c r="C121" s="9">
        <v>8</v>
      </c>
      <c r="D121" s="9" t="str">
        <f>"1457"</f>
        <v>1457</v>
      </c>
      <c r="E121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1" s="9" t="str">
        <f>"1"</f>
        <v>1</v>
      </c>
      <c r="G121" s="9" t="str">
        <f>"1"</f>
        <v>1</v>
      </c>
      <c r="H121" s="9" t="str">
        <f>"2"</f>
        <v>2</v>
      </c>
      <c r="I121" s="11">
        <v>-7846582148.4200001</v>
      </c>
    </row>
    <row r="122" spans="1:9" x14ac:dyDescent="0.25">
      <c r="A122" s="9">
        <v>526</v>
      </c>
      <c r="B122" s="10">
        <v>45016</v>
      </c>
      <c r="C122" s="9">
        <v>8</v>
      </c>
      <c r="D122" s="9" t="str">
        <f>"1457"</f>
        <v>1457</v>
      </c>
      <c r="E122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2" s="9" t="str">
        <f>"1"</f>
        <v>1</v>
      </c>
      <c r="G122" s="9" t="str">
        <f>"3"</f>
        <v>3</v>
      </c>
      <c r="H122" s="9" t="str">
        <f>"1"</f>
        <v>1</v>
      </c>
      <c r="I122" s="11">
        <v>0</v>
      </c>
    </row>
    <row r="123" spans="1:9" x14ac:dyDescent="0.25">
      <c r="A123" s="9">
        <v>529</v>
      </c>
      <c r="B123" s="10">
        <v>45016</v>
      </c>
      <c r="C123" s="9">
        <v>8</v>
      </c>
      <c r="D123" s="9" t="str">
        <f>"1457"</f>
        <v>1457</v>
      </c>
      <c r="E123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3" s="9" t="str">
        <f>"1"</f>
        <v>1</v>
      </c>
      <c r="G123" s="9" t="str">
        <f>"1"</f>
        <v>1</v>
      </c>
      <c r="H123" s="9" t="str">
        <f>"1"</f>
        <v>1</v>
      </c>
      <c r="I123" s="11">
        <v>-5016229253.2200003</v>
      </c>
    </row>
    <row r="124" spans="1:9" x14ac:dyDescent="0.25">
      <c r="A124" s="9">
        <v>530</v>
      </c>
      <c r="B124" s="10">
        <v>45016</v>
      </c>
      <c r="C124" s="9">
        <v>8</v>
      </c>
      <c r="D124" s="9" t="str">
        <f>"1457"</f>
        <v>1457</v>
      </c>
      <c r="E124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4" s="9" t="str">
        <f>"1"</f>
        <v>1</v>
      </c>
      <c r="G124" s="9" t="str">
        <f>"4"</f>
        <v>4</v>
      </c>
      <c r="H124" s="9" t="str">
        <f>"2"</f>
        <v>2</v>
      </c>
      <c r="I124" s="11">
        <v>-486692495.75</v>
      </c>
    </row>
    <row r="125" spans="1:9" x14ac:dyDescent="0.25">
      <c r="A125" s="9">
        <v>534</v>
      </c>
      <c r="B125" s="10">
        <v>45016</v>
      </c>
      <c r="C125" s="9">
        <v>8</v>
      </c>
      <c r="D125" s="9" t="str">
        <f>"1457"</f>
        <v>1457</v>
      </c>
      <c r="E125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5" s="9" t="str">
        <f>"2"</f>
        <v>2</v>
      </c>
      <c r="G125" s="9" t="str">
        <f>"7"</f>
        <v>7</v>
      </c>
      <c r="H125" s="9" t="str">
        <f>"2"</f>
        <v>2</v>
      </c>
      <c r="I125" s="11">
        <v>-517245464.51999998</v>
      </c>
    </row>
    <row r="126" spans="1:9" x14ac:dyDescent="0.25">
      <c r="A126" s="9">
        <v>548</v>
      </c>
      <c r="B126" s="10">
        <v>45016</v>
      </c>
      <c r="C126" s="9">
        <v>8</v>
      </c>
      <c r="D126" s="9" t="str">
        <f>"1457"</f>
        <v>1457</v>
      </c>
      <c r="E126" s="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6" s="9" t="str">
        <f>"1"</f>
        <v>1</v>
      </c>
      <c r="G126" s="9" t="str">
        <f>"7"</f>
        <v>7</v>
      </c>
      <c r="H126" s="9" t="str">
        <f>"2"</f>
        <v>2</v>
      </c>
      <c r="I126" s="11">
        <v>-166208718.16</v>
      </c>
    </row>
    <row r="127" spans="1:9" x14ac:dyDescent="0.25">
      <c r="A127" s="9">
        <v>478</v>
      </c>
      <c r="B127" s="10">
        <v>45016</v>
      </c>
      <c r="C127" s="9">
        <v>8</v>
      </c>
      <c r="D127" s="9" t="str">
        <f>"1461"</f>
        <v>1461</v>
      </c>
      <c r="E127" s="9" t="str">
        <f>"Операции «обратное РЕПО» с ценными бумагами"</f>
        <v>Операции «обратное РЕПО» с ценными бумагами</v>
      </c>
      <c r="F127" s="9" t="str">
        <f>"1"</f>
        <v>1</v>
      </c>
      <c r="G127" s="9" t="str">
        <f>"5"</f>
        <v>5</v>
      </c>
      <c r="H127" s="9" t="str">
        <f>"2"</f>
        <v>2</v>
      </c>
      <c r="I127" s="11">
        <v>8402354375.9399996</v>
      </c>
    </row>
    <row r="128" spans="1:9" x14ac:dyDescent="0.25">
      <c r="A128" s="9">
        <v>519</v>
      </c>
      <c r="B128" s="10">
        <v>45016</v>
      </c>
      <c r="C128" s="9">
        <v>8</v>
      </c>
      <c r="D128" s="9" t="str">
        <f>"1461"</f>
        <v>1461</v>
      </c>
      <c r="E128" s="9" t="str">
        <f>"Операции «обратное РЕПО» с ценными бумагами"</f>
        <v>Операции «обратное РЕПО» с ценными бумагами</v>
      </c>
      <c r="F128" s="9" t="str">
        <f>"1"</f>
        <v>1</v>
      </c>
      <c r="G128" s="9" t="str">
        <f>"5"</f>
        <v>5</v>
      </c>
      <c r="H128" s="9" t="str">
        <f>"1"</f>
        <v>1</v>
      </c>
      <c r="I128" s="11">
        <v>9501111369.6599998</v>
      </c>
    </row>
    <row r="129" spans="1:9" x14ac:dyDescent="0.25">
      <c r="A129" s="9">
        <v>470</v>
      </c>
      <c r="B129" s="10">
        <v>45016</v>
      </c>
      <c r="C129" s="9">
        <v>8</v>
      </c>
      <c r="D129" s="9" t="str">
        <f>"1471"</f>
        <v>1471</v>
      </c>
      <c r="E129" s="9" t="str">
        <f>"Инвестиции в дочерние организации"</f>
        <v>Инвестиции в дочерние организации</v>
      </c>
      <c r="F129" s="9" t="str">
        <f>"1"</f>
        <v>1</v>
      </c>
      <c r="G129" s="9" t="str">
        <f>"7"</f>
        <v>7</v>
      </c>
      <c r="H129" s="9" t="str">
        <f>"1"</f>
        <v>1</v>
      </c>
      <c r="I129" s="11">
        <v>3122986641.6199999</v>
      </c>
    </row>
    <row r="130" spans="1:9" x14ac:dyDescent="0.25">
      <c r="A130" s="9">
        <v>460</v>
      </c>
      <c r="B130" s="10">
        <v>45016</v>
      </c>
      <c r="C130" s="9">
        <v>8</v>
      </c>
      <c r="D130" s="9" t="str">
        <f>"1481"</f>
        <v>1481</v>
      </c>
      <c r="E130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0" s="9" t="str">
        <f>"1"</f>
        <v>1</v>
      </c>
      <c r="G130" s="9" t="str">
        <f>"6"</f>
        <v>6</v>
      </c>
      <c r="H130" s="9" t="str">
        <f>"2"</f>
        <v>2</v>
      </c>
      <c r="I130" s="11">
        <v>15388856280</v>
      </c>
    </row>
    <row r="131" spans="1:9" x14ac:dyDescent="0.25">
      <c r="A131" s="9">
        <v>468</v>
      </c>
      <c r="B131" s="10">
        <v>45016</v>
      </c>
      <c r="C131" s="9">
        <v>8</v>
      </c>
      <c r="D131" s="9" t="str">
        <f>"1481"</f>
        <v>1481</v>
      </c>
      <c r="E131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1" s="9" t="str">
        <f>"2"</f>
        <v>2</v>
      </c>
      <c r="G131" s="9" t="str">
        <f>"1"</f>
        <v>1</v>
      </c>
      <c r="H131" s="9" t="str">
        <f>"2"</f>
        <v>2</v>
      </c>
      <c r="I131" s="11">
        <v>49688100000</v>
      </c>
    </row>
    <row r="132" spans="1:9" x14ac:dyDescent="0.25">
      <c r="A132" s="9">
        <v>469</v>
      </c>
      <c r="B132" s="10">
        <v>45016</v>
      </c>
      <c r="C132" s="9">
        <v>8</v>
      </c>
      <c r="D132" s="9" t="str">
        <f>"1481"</f>
        <v>1481</v>
      </c>
      <c r="E132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2" s="9" t="str">
        <f>"1"</f>
        <v>1</v>
      </c>
      <c r="G132" s="9" t="str">
        <f>"1"</f>
        <v>1</v>
      </c>
      <c r="H132" s="9" t="str">
        <f>"2"</f>
        <v>2</v>
      </c>
      <c r="I132" s="11">
        <v>72944710440</v>
      </c>
    </row>
    <row r="133" spans="1:9" x14ac:dyDescent="0.25">
      <c r="A133" s="9">
        <v>476</v>
      </c>
      <c r="B133" s="10">
        <v>45016</v>
      </c>
      <c r="C133" s="9">
        <v>8</v>
      </c>
      <c r="D133" s="9" t="str">
        <f>"1481"</f>
        <v>1481</v>
      </c>
      <c r="E133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3" s="9" t="str">
        <f>"2"</f>
        <v>2</v>
      </c>
      <c r="G133" s="9" t="str">
        <f>"3"</f>
        <v>3</v>
      </c>
      <c r="H133" s="9" t="str">
        <f>"2"</f>
        <v>2</v>
      </c>
      <c r="I133" s="11">
        <v>4980313200</v>
      </c>
    </row>
    <row r="134" spans="1:9" x14ac:dyDescent="0.25">
      <c r="A134" s="9">
        <v>493</v>
      </c>
      <c r="B134" s="10">
        <v>45016</v>
      </c>
      <c r="C134" s="9">
        <v>8</v>
      </c>
      <c r="D134" s="9" t="str">
        <f>"1481"</f>
        <v>1481</v>
      </c>
      <c r="E134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4" s="9" t="str">
        <f>"2"</f>
        <v>2</v>
      </c>
      <c r="G134" s="9" t="str">
        <f>"3"</f>
        <v>3</v>
      </c>
      <c r="H134" s="9" t="str">
        <f>"1"</f>
        <v>1</v>
      </c>
      <c r="I134" s="11">
        <v>1385000000</v>
      </c>
    </row>
    <row r="135" spans="1:9" x14ac:dyDescent="0.25">
      <c r="A135" s="9">
        <v>494</v>
      </c>
      <c r="B135" s="10">
        <v>45016</v>
      </c>
      <c r="C135" s="9">
        <v>8</v>
      </c>
      <c r="D135" s="9" t="str">
        <f>"1481"</f>
        <v>1481</v>
      </c>
      <c r="E135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5" s="9" t="str">
        <f>"1"</f>
        <v>1</v>
      </c>
      <c r="G135" s="9" t="str">
        <f>"5"</f>
        <v>5</v>
      </c>
      <c r="H135" s="9" t="str">
        <f>"1"</f>
        <v>1</v>
      </c>
      <c r="I135" s="11">
        <v>3000000000</v>
      </c>
    </row>
    <row r="136" spans="1:9" x14ac:dyDescent="0.25">
      <c r="A136" s="9">
        <v>502</v>
      </c>
      <c r="B136" s="10">
        <v>45016</v>
      </c>
      <c r="C136" s="9">
        <v>8</v>
      </c>
      <c r="D136" s="9" t="str">
        <f>"1481"</f>
        <v>1481</v>
      </c>
      <c r="E136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6" s="9" t="str">
        <f>"1"</f>
        <v>1</v>
      </c>
      <c r="G136" s="9" t="str">
        <f>"1"</f>
        <v>1</v>
      </c>
      <c r="H136" s="9" t="str">
        <f>"1"</f>
        <v>1</v>
      </c>
      <c r="I136" s="11">
        <v>5000000000</v>
      </c>
    </row>
    <row r="137" spans="1:9" x14ac:dyDescent="0.25">
      <c r="A137" s="9">
        <v>510</v>
      </c>
      <c r="B137" s="10">
        <v>45016</v>
      </c>
      <c r="C137" s="9">
        <v>8</v>
      </c>
      <c r="D137" s="9" t="str">
        <f>"1481"</f>
        <v>1481</v>
      </c>
      <c r="E137" s="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37" s="9" t="str">
        <f>"2"</f>
        <v>2</v>
      </c>
      <c r="G137" s="9" t="str">
        <f>"7"</f>
        <v>7</v>
      </c>
      <c r="H137" s="9" t="str">
        <f>"2"</f>
        <v>2</v>
      </c>
      <c r="I137" s="11">
        <v>13913119710</v>
      </c>
    </row>
    <row r="138" spans="1:9" x14ac:dyDescent="0.25">
      <c r="A138" s="9">
        <v>472</v>
      </c>
      <c r="B138" s="10">
        <v>45016</v>
      </c>
      <c r="C138" s="9">
        <v>8</v>
      </c>
      <c r="D138" s="9" t="str">
        <f>"1482"</f>
        <v>1482</v>
      </c>
      <c r="E138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8" s="9" t="str">
        <f>"1"</f>
        <v>1</v>
      </c>
      <c r="G138" s="9" t="str">
        <f>"1"</f>
        <v>1</v>
      </c>
      <c r="H138" s="9" t="str">
        <f>"2"</f>
        <v>2</v>
      </c>
      <c r="I138" s="11">
        <v>-1366122983.4300001</v>
      </c>
    </row>
    <row r="139" spans="1:9" x14ac:dyDescent="0.25">
      <c r="A139" s="9">
        <v>475</v>
      </c>
      <c r="B139" s="10">
        <v>45016</v>
      </c>
      <c r="C139" s="9">
        <v>8</v>
      </c>
      <c r="D139" s="9" t="str">
        <f>"1482"</f>
        <v>1482</v>
      </c>
      <c r="E139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39" s="9" t="str">
        <f>"1"</f>
        <v>1</v>
      </c>
      <c r="G139" s="9" t="str">
        <f>"6"</f>
        <v>6</v>
      </c>
      <c r="H139" s="9" t="str">
        <f>"2"</f>
        <v>2</v>
      </c>
      <c r="I139" s="11">
        <v>-844288513.98000002</v>
      </c>
    </row>
    <row r="140" spans="1:9" x14ac:dyDescent="0.25">
      <c r="A140" s="9">
        <v>496</v>
      </c>
      <c r="B140" s="10">
        <v>45016</v>
      </c>
      <c r="C140" s="9">
        <v>8</v>
      </c>
      <c r="D140" s="9" t="str">
        <f>"1482"</f>
        <v>1482</v>
      </c>
      <c r="E140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0" s="9" t="str">
        <f>"1"</f>
        <v>1</v>
      </c>
      <c r="G140" s="9" t="str">
        <f>"5"</f>
        <v>5</v>
      </c>
      <c r="H140" s="9" t="str">
        <f>"1"</f>
        <v>1</v>
      </c>
      <c r="I140" s="11">
        <v>-142116916.50999999</v>
      </c>
    </row>
    <row r="141" spans="1:9" x14ac:dyDescent="0.25">
      <c r="A141" s="9">
        <v>498</v>
      </c>
      <c r="B141" s="10">
        <v>45016</v>
      </c>
      <c r="C141" s="9">
        <v>8</v>
      </c>
      <c r="D141" s="9" t="str">
        <f>"1482"</f>
        <v>1482</v>
      </c>
      <c r="E141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1" s="9" t="str">
        <f>"2"</f>
        <v>2</v>
      </c>
      <c r="G141" s="9" t="str">
        <f>"3"</f>
        <v>3</v>
      </c>
      <c r="H141" s="9" t="str">
        <f>"1"</f>
        <v>1</v>
      </c>
      <c r="I141" s="11">
        <v>-219985560.16</v>
      </c>
    </row>
    <row r="142" spans="1:9" x14ac:dyDescent="0.25">
      <c r="A142" s="9">
        <v>500</v>
      </c>
      <c r="B142" s="10">
        <v>45016</v>
      </c>
      <c r="C142" s="9">
        <v>8</v>
      </c>
      <c r="D142" s="9" t="str">
        <f>"1482"</f>
        <v>1482</v>
      </c>
      <c r="E142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2" s="9" t="str">
        <f>"2"</f>
        <v>2</v>
      </c>
      <c r="G142" s="9" t="str">
        <f>"7"</f>
        <v>7</v>
      </c>
      <c r="H142" s="9" t="str">
        <f>"2"</f>
        <v>2</v>
      </c>
      <c r="I142" s="11">
        <v>-1325210965.5599999</v>
      </c>
    </row>
    <row r="143" spans="1:9" x14ac:dyDescent="0.25">
      <c r="A143" s="9">
        <v>504</v>
      </c>
      <c r="B143" s="10">
        <v>45016</v>
      </c>
      <c r="C143" s="9">
        <v>8</v>
      </c>
      <c r="D143" s="9" t="str">
        <f>"1482"</f>
        <v>1482</v>
      </c>
      <c r="E143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3" s="9" t="str">
        <f>"2"</f>
        <v>2</v>
      </c>
      <c r="G143" s="9" t="str">
        <f>"3"</f>
        <v>3</v>
      </c>
      <c r="H143" s="9" t="str">
        <f>"2"</f>
        <v>2</v>
      </c>
      <c r="I143" s="11">
        <v>-953454772.48000002</v>
      </c>
    </row>
    <row r="144" spans="1:9" x14ac:dyDescent="0.25">
      <c r="A144" s="9">
        <v>506</v>
      </c>
      <c r="B144" s="10">
        <v>45016</v>
      </c>
      <c r="C144" s="9">
        <v>8</v>
      </c>
      <c r="D144" s="9" t="str">
        <f>"1482"</f>
        <v>1482</v>
      </c>
      <c r="E144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4" s="9" t="str">
        <f>"1"</f>
        <v>1</v>
      </c>
      <c r="G144" s="9" t="str">
        <f>"1"</f>
        <v>1</v>
      </c>
      <c r="H144" s="9" t="str">
        <f>"1"</f>
        <v>1</v>
      </c>
      <c r="I144" s="11">
        <v>-586643564.21000004</v>
      </c>
    </row>
    <row r="145" spans="1:9" x14ac:dyDescent="0.25">
      <c r="A145" s="9">
        <v>515</v>
      </c>
      <c r="B145" s="10">
        <v>45016</v>
      </c>
      <c r="C145" s="9">
        <v>8</v>
      </c>
      <c r="D145" s="9" t="str">
        <f>"1482"</f>
        <v>1482</v>
      </c>
      <c r="E145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5" s="9" t="str">
        <f>"2"</f>
        <v>2</v>
      </c>
      <c r="G145" s="9" t="str">
        <f>"1"</f>
        <v>1</v>
      </c>
      <c r="H145" s="9" t="str">
        <f>"2"</f>
        <v>2</v>
      </c>
      <c r="I145" s="11">
        <v>-1132098860.55</v>
      </c>
    </row>
    <row r="146" spans="1:9" x14ac:dyDescent="0.25">
      <c r="A146" s="9">
        <v>521</v>
      </c>
      <c r="B146" s="10">
        <v>45016</v>
      </c>
      <c r="C146" s="9">
        <v>8</v>
      </c>
      <c r="D146" s="9" t="str">
        <f>"1483"</f>
        <v>1483</v>
      </c>
      <c r="E146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46" s="9" t="str">
        <f>"1"</f>
        <v>1</v>
      </c>
      <c r="G146" s="9" t="str">
        <f>"1"</f>
        <v>1</v>
      </c>
      <c r="H146" s="9" t="str">
        <f>"2"</f>
        <v>2</v>
      </c>
      <c r="I146" s="11">
        <v>2297931347.1100001</v>
      </c>
    </row>
    <row r="147" spans="1:9" x14ac:dyDescent="0.25">
      <c r="A147" s="9">
        <v>479</v>
      </c>
      <c r="B147" s="10">
        <v>45016</v>
      </c>
      <c r="C147" s="9">
        <v>8</v>
      </c>
      <c r="D147" s="9" t="str">
        <f>"1486"</f>
        <v>1486</v>
      </c>
      <c r="E147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7" s="9" t="str">
        <f>"2"</f>
        <v>2</v>
      </c>
      <c r="G147" s="9" t="str">
        <f>"3"</f>
        <v>3</v>
      </c>
      <c r="H147" s="9" t="str">
        <f>"1"</f>
        <v>1</v>
      </c>
      <c r="I147" s="11">
        <v>-1735545.73</v>
      </c>
    </row>
    <row r="148" spans="1:9" x14ac:dyDescent="0.25">
      <c r="A148" s="9">
        <v>513</v>
      </c>
      <c r="B148" s="10">
        <v>45016</v>
      </c>
      <c r="C148" s="9">
        <v>8</v>
      </c>
      <c r="D148" s="9" t="str">
        <f>"1486"</f>
        <v>1486</v>
      </c>
      <c r="E148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8" s="9" t="str">
        <f>"1"</f>
        <v>1</v>
      </c>
      <c r="G148" s="9" t="str">
        <f>"1"</f>
        <v>1</v>
      </c>
      <c r="H148" s="9" t="str">
        <f>"2"</f>
        <v>2</v>
      </c>
      <c r="I148" s="11">
        <v>-71214369.709999993</v>
      </c>
    </row>
    <row r="149" spans="1:9" x14ac:dyDescent="0.25">
      <c r="A149" s="9">
        <v>525</v>
      </c>
      <c r="B149" s="10">
        <v>45016</v>
      </c>
      <c r="C149" s="9">
        <v>8</v>
      </c>
      <c r="D149" s="9" t="str">
        <f>"1486"</f>
        <v>1486</v>
      </c>
      <c r="E149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49" s="9" t="str">
        <f>"2"</f>
        <v>2</v>
      </c>
      <c r="G149" s="9" t="str">
        <f>"7"</f>
        <v>7</v>
      </c>
      <c r="H149" s="9" t="str">
        <f>"2"</f>
        <v>2</v>
      </c>
      <c r="I149" s="11">
        <v>-19725773.68</v>
      </c>
    </row>
    <row r="150" spans="1:9" x14ac:dyDescent="0.25">
      <c r="A150" s="9">
        <v>531</v>
      </c>
      <c r="B150" s="10">
        <v>45016</v>
      </c>
      <c r="C150" s="9">
        <v>8</v>
      </c>
      <c r="D150" s="9" t="str">
        <f>"1486"</f>
        <v>1486</v>
      </c>
      <c r="E150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0" s="9" t="str">
        <f>"1"</f>
        <v>1</v>
      </c>
      <c r="G150" s="9" t="str">
        <f>"6"</f>
        <v>6</v>
      </c>
      <c r="H150" s="9" t="str">
        <f>"2"</f>
        <v>2</v>
      </c>
      <c r="I150" s="11">
        <v>-18620909.09</v>
      </c>
    </row>
    <row r="151" spans="1:9" x14ac:dyDescent="0.25">
      <c r="A151" s="9">
        <v>542</v>
      </c>
      <c r="B151" s="10">
        <v>45016</v>
      </c>
      <c r="C151" s="9">
        <v>8</v>
      </c>
      <c r="D151" s="9" t="str">
        <f>"1486"</f>
        <v>1486</v>
      </c>
      <c r="E151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1" s="9" t="str">
        <f>"1"</f>
        <v>1</v>
      </c>
      <c r="G151" s="9" t="str">
        <f>"5"</f>
        <v>5</v>
      </c>
      <c r="H151" s="9" t="str">
        <f>"1"</f>
        <v>1</v>
      </c>
      <c r="I151" s="11">
        <v>-1868361.36</v>
      </c>
    </row>
    <row r="152" spans="1:9" x14ac:dyDescent="0.25">
      <c r="A152" s="9">
        <v>546</v>
      </c>
      <c r="B152" s="10">
        <v>45016</v>
      </c>
      <c r="C152" s="9">
        <v>8</v>
      </c>
      <c r="D152" s="9" t="str">
        <f>"1486"</f>
        <v>1486</v>
      </c>
      <c r="E152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2" s="9" t="str">
        <f>"1"</f>
        <v>1</v>
      </c>
      <c r="G152" s="9" t="str">
        <f>"1"</f>
        <v>1</v>
      </c>
      <c r="H152" s="9" t="str">
        <f>"1"</f>
        <v>1</v>
      </c>
      <c r="I152" s="11">
        <v>-3718386.01</v>
      </c>
    </row>
    <row r="153" spans="1:9" x14ac:dyDescent="0.25">
      <c r="A153" s="9">
        <v>552</v>
      </c>
      <c r="B153" s="10">
        <v>45016</v>
      </c>
      <c r="C153" s="9">
        <v>8</v>
      </c>
      <c r="D153" s="9" t="str">
        <f>"1486"</f>
        <v>1486</v>
      </c>
      <c r="E153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3" s="9" t="str">
        <f>"2"</f>
        <v>2</v>
      </c>
      <c r="G153" s="9" t="str">
        <f>"3"</f>
        <v>3</v>
      </c>
      <c r="H153" s="9" t="str">
        <f>"2"</f>
        <v>2</v>
      </c>
      <c r="I153" s="11">
        <v>-5843490.46</v>
      </c>
    </row>
    <row r="154" spans="1:9" x14ac:dyDescent="0.25">
      <c r="A154" s="9">
        <v>485</v>
      </c>
      <c r="B154" s="10">
        <v>45016</v>
      </c>
      <c r="C154" s="9">
        <v>8</v>
      </c>
      <c r="D154" s="9" t="str">
        <f>"1491"</f>
        <v>1491</v>
      </c>
      <c r="E154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4" s="9" t="str">
        <f>"1"</f>
        <v>1</v>
      </c>
      <c r="G154" s="9" t="str">
        <f>"7"</f>
        <v>7</v>
      </c>
      <c r="H154" s="9" t="str">
        <f>"1"</f>
        <v>1</v>
      </c>
      <c r="I154" s="11">
        <v>7686732061.8999996</v>
      </c>
    </row>
    <row r="155" spans="1:9" x14ac:dyDescent="0.25">
      <c r="A155" s="9">
        <v>524</v>
      </c>
      <c r="B155" s="10">
        <v>45016</v>
      </c>
      <c r="C155" s="9">
        <v>8</v>
      </c>
      <c r="D155" s="9" t="str">
        <f>"1491"</f>
        <v>1491</v>
      </c>
      <c r="E155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5" s="9" t="str">
        <f>"1"</f>
        <v>1</v>
      </c>
      <c r="G155" s="9" t="str">
        <f>"9"</f>
        <v>9</v>
      </c>
      <c r="H155" s="9" t="str">
        <f>"1"</f>
        <v>1</v>
      </c>
      <c r="I155" s="11">
        <v>19662869035.419998</v>
      </c>
    </row>
    <row r="156" spans="1:9" x14ac:dyDescent="0.25">
      <c r="A156" s="9">
        <v>540</v>
      </c>
      <c r="B156" s="10">
        <v>45016</v>
      </c>
      <c r="C156" s="9">
        <v>8</v>
      </c>
      <c r="D156" s="9" t="str">
        <f>"1491"</f>
        <v>1491</v>
      </c>
      <c r="E156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56" s="9" t="str">
        <f>"1"</f>
        <v>1</v>
      </c>
      <c r="G156" s="9" t="str">
        <f>"5"</f>
        <v>5</v>
      </c>
      <c r="H156" s="9" t="str">
        <f>"1"</f>
        <v>1</v>
      </c>
      <c r="I156" s="11">
        <v>29538334281.849998</v>
      </c>
    </row>
    <row r="157" spans="1:9" x14ac:dyDescent="0.25">
      <c r="A157" s="9">
        <v>486</v>
      </c>
      <c r="B157" s="10">
        <v>45016</v>
      </c>
      <c r="C157" s="9">
        <v>8</v>
      </c>
      <c r="D157" s="9" t="str">
        <f>"1492"</f>
        <v>1492</v>
      </c>
      <c r="E157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7" s="9" t="str">
        <f>"1"</f>
        <v>1</v>
      </c>
      <c r="G157" s="9" t="str">
        <f>"5"</f>
        <v>5</v>
      </c>
      <c r="H157" s="9" t="str">
        <f>"1"</f>
        <v>1</v>
      </c>
      <c r="I157" s="11">
        <v>-2044272466.8199999</v>
      </c>
    </row>
    <row r="158" spans="1:9" x14ac:dyDescent="0.25">
      <c r="A158" s="9">
        <v>491</v>
      </c>
      <c r="B158" s="10">
        <v>45016</v>
      </c>
      <c r="C158" s="9">
        <v>8</v>
      </c>
      <c r="D158" s="9" t="str">
        <f>"1492"</f>
        <v>1492</v>
      </c>
      <c r="E158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8" s="9" t="str">
        <f>"1"</f>
        <v>1</v>
      </c>
      <c r="G158" s="9" t="str">
        <f>"9"</f>
        <v>9</v>
      </c>
      <c r="H158" s="9" t="str">
        <f>"1"</f>
        <v>1</v>
      </c>
      <c r="I158" s="11">
        <v>-11392201669.620001</v>
      </c>
    </row>
    <row r="159" spans="1:9" x14ac:dyDescent="0.25">
      <c r="A159" s="9">
        <v>535</v>
      </c>
      <c r="B159" s="10">
        <v>45016</v>
      </c>
      <c r="C159" s="9">
        <v>8</v>
      </c>
      <c r="D159" s="9" t="str">
        <f>"1492"</f>
        <v>1492</v>
      </c>
      <c r="E159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59" s="9" t="str">
        <f>"1"</f>
        <v>1</v>
      </c>
      <c r="G159" s="9" t="str">
        <f>"7"</f>
        <v>7</v>
      </c>
      <c r="H159" s="9" t="str">
        <f>"1"</f>
        <v>1</v>
      </c>
      <c r="I159" s="11">
        <v>-4485368369.6700001</v>
      </c>
    </row>
    <row r="160" spans="1:9" x14ac:dyDescent="0.25">
      <c r="A160" s="9">
        <v>532</v>
      </c>
      <c r="B160" s="10">
        <v>45016</v>
      </c>
      <c r="C160" s="9">
        <v>8</v>
      </c>
      <c r="D160" s="9" t="str">
        <f>"1495"</f>
        <v>1495</v>
      </c>
      <c r="E160" s="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160" s="9" t="str">
        <f>"1"</f>
        <v>1</v>
      </c>
      <c r="G160" s="9" t="str">
        <f>"7"</f>
        <v>7</v>
      </c>
      <c r="H160" s="9" t="str">
        <f>"1"</f>
        <v>1</v>
      </c>
      <c r="I160" s="11">
        <v>-2143135108.02</v>
      </c>
    </row>
    <row r="161" spans="1:9" x14ac:dyDescent="0.25">
      <c r="A161" s="9">
        <v>483</v>
      </c>
      <c r="B161" s="10">
        <v>45016</v>
      </c>
      <c r="C161" s="9">
        <v>8</v>
      </c>
      <c r="D161" s="9" t="str">
        <f>"1602"</f>
        <v>1602</v>
      </c>
      <c r="E161" s="9" t="str">
        <f>"Прочие запасы"</f>
        <v>Прочие запасы</v>
      </c>
      <c r="F161" s="9" t="str">
        <f>""</f>
        <v/>
      </c>
      <c r="G161" s="9" t="str">
        <f>""</f>
        <v/>
      </c>
      <c r="H161" s="9" t="str">
        <f>""</f>
        <v/>
      </c>
      <c r="I161" s="11">
        <v>8848634561.2600002</v>
      </c>
    </row>
    <row r="162" spans="1:9" x14ac:dyDescent="0.25">
      <c r="A162" s="9">
        <v>492</v>
      </c>
      <c r="B162" s="10">
        <v>45016</v>
      </c>
      <c r="C162" s="9">
        <v>8</v>
      </c>
      <c r="D162" s="9" t="str">
        <f>"1610"</f>
        <v>1610</v>
      </c>
      <c r="E162" s="9" t="str">
        <f>"Долгосрочные активы, предназначенные для продажи"</f>
        <v>Долгосрочные активы, предназначенные для продажи</v>
      </c>
      <c r="F162" s="9" t="str">
        <f>""</f>
        <v/>
      </c>
      <c r="G162" s="9" t="str">
        <f>""</f>
        <v/>
      </c>
      <c r="H162" s="9" t="str">
        <f>""</f>
        <v/>
      </c>
      <c r="I162" s="11">
        <v>3515563666</v>
      </c>
    </row>
    <row r="163" spans="1:9" x14ac:dyDescent="0.25">
      <c r="A163" s="9">
        <v>481</v>
      </c>
      <c r="B163" s="10">
        <v>45016</v>
      </c>
      <c r="C163" s="9">
        <v>8</v>
      </c>
      <c r="D163" s="9" t="str">
        <f>"1652"</f>
        <v>1652</v>
      </c>
      <c r="E163" s="9" t="str">
        <f>"Земля, здания и сооружения"</f>
        <v>Земля, здания и сооружения</v>
      </c>
      <c r="F163" s="9" t="str">
        <f>""</f>
        <v/>
      </c>
      <c r="G163" s="9" t="str">
        <f>""</f>
        <v/>
      </c>
      <c r="H163" s="9" t="str">
        <f>""</f>
        <v/>
      </c>
      <c r="I163" s="11">
        <v>19734149565.73</v>
      </c>
    </row>
    <row r="164" spans="1:9" x14ac:dyDescent="0.25">
      <c r="A164" s="9">
        <v>497</v>
      </c>
      <c r="B164" s="10">
        <v>45016</v>
      </c>
      <c r="C164" s="9">
        <v>8</v>
      </c>
      <c r="D164" s="9" t="str">
        <f>"1653"</f>
        <v>1653</v>
      </c>
      <c r="E164" s="9" t="str">
        <f>"Компьютерное оборудование"</f>
        <v>Компьютерное оборудование</v>
      </c>
      <c r="F164" s="9" t="str">
        <f>""</f>
        <v/>
      </c>
      <c r="G164" s="9" t="str">
        <f>""</f>
        <v/>
      </c>
      <c r="H164" s="9" t="str">
        <f>""</f>
        <v/>
      </c>
      <c r="I164" s="11">
        <v>1761441396.3199999</v>
      </c>
    </row>
    <row r="165" spans="1:9" x14ac:dyDescent="0.25">
      <c r="A165" s="9">
        <v>461</v>
      </c>
      <c r="B165" s="10">
        <v>45016</v>
      </c>
      <c r="C165" s="9">
        <v>8</v>
      </c>
      <c r="D165" s="9" t="str">
        <f>"1654"</f>
        <v>1654</v>
      </c>
      <c r="E165" s="9" t="str">
        <f>"Прочие основные средства"</f>
        <v>Прочие основные средства</v>
      </c>
      <c r="F165" s="9" t="str">
        <f>""</f>
        <v/>
      </c>
      <c r="G165" s="9" t="str">
        <f>""</f>
        <v/>
      </c>
      <c r="H165" s="9" t="str">
        <f>""</f>
        <v/>
      </c>
      <c r="I165" s="11">
        <v>29885372834.139999</v>
      </c>
    </row>
    <row r="166" spans="1:9" x14ac:dyDescent="0.25">
      <c r="A166" s="9">
        <v>487</v>
      </c>
      <c r="B166" s="10">
        <v>45016</v>
      </c>
      <c r="C166" s="9">
        <v>8</v>
      </c>
      <c r="D166" s="9" t="str">
        <f>"1655"</f>
        <v>1655</v>
      </c>
      <c r="E166" s="9" t="str">
        <f>"Активы в форме права пользования"</f>
        <v>Активы в форме права пользования</v>
      </c>
      <c r="F166" s="9" t="str">
        <f>""</f>
        <v/>
      </c>
      <c r="G166" s="9" t="str">
        <f>""</f>
        <v/>
      </c>
      <c r="H166" s="9" t="str">
        <f>""</f>
        <v/>
      </c>
      <c r="I166" s="11">
        <v>1685136658.8800001</v>
      </c>
    </row>
    <row r="167" spans="1:9" x14ac:dyDescent="0.25">
      <c r="A167" s="9">
        <v>484</v>
      </c>
      <c r="B167" s="10">
        <v>45016</v>
      </c>
      <c r="C167" s="9">
        <v>8</v>
      </c>
      <c r="D167" s="9" t="str">
        <f>"1657"</f>
        <v>1657</v>
      </c>
      <c r="E167" s="9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7" s="9" t="str">
        <f>""</f>
        <v/>
      </c>
      <c r="G167" s="9" t="str">
        <f>""</f>
        <v/>
      </c>
      <c r="H167" s="9" t="str">
        <f>""</f>
        <v/>
      </c>
      <c r="I167" s="11">
        <v>545064378</v>
      </c>
    </row>
    <row r="168" spans="1:9" x14ac:dyDescent="0.25">
      <c r="A168" s="9">
        <v>467</v>
      </c>
      <c r="B168" s="10">
        <v>45016</v>
      </c>
      <c r="C168" s="9">
        <v>8</v>
      </c>
      <c r="D168" s="9" t="str">
        <f>"1658"</f>
        <v>1658</v>
      </c>
      <c r="E168" s="9" t="str">
        <f>"Транспортные средства"</f>
        <v>Транспортные средства</v>
      </c>
      <c r="F168" s="9" t="str">
        <f>""</f>
        <v/>
      </c>
      <c r="G168" s="9" t="str">
        <f>""</f>
        <v/>
      </c>
      <c r="H168" s="9" t="str">
        <f>""</f>
        <v/>
      </c>
      <c r="I168" s="11">
        <v>647555654</v>
      </c>
    </row>
    <row r="169" spans="1:9" x14ac:dyDescent="0.25">
      <c r="A169" s="9">
        <v>465</v>
      </c>
      <c r="B169" s="10">
        <v>45016</v>
      </c>
      <c r="C169" s="9">
        <v>8</v>
      </c>
      <c r="D169" s="9" t="str">
        <f>"1659"</f>
        <v>1659</v>
      </c>
      <c r="E169" s="9" t="str">
        <f>"Нематериальные активы"</f>
        <v>Нематериальные активы</v>
      </c>
      <c r="F169" s="9" t="str">
        <f>""</f>
        <v/>
      </c>
      <c r="G169" s="9" t="str">
        <f>""</f>
        <v/>
      </c>
      <c r="H169" s="9" t="str">
        <f>""</f>
        <v/>
      </c>
      <c r="I169" s="11">
        <v>2541814230.27</v>
      </c>
    </row>
    <row r="170" spans="1:9" x14ac:dyDescent="0.25">
      <c r="A170" s="9">
        <v>499</v>
      </c>
      <c r="B170" s="10">
        <v>45016</v>
      </c>
      <c r="C170" s="9">
        <v>8</v>
      </c>
      <c r="D170" s="9" t="str">
        <f>"1660"</f>
        <v>1660</v>
      </c>
      <c r="E170" s="9" t="str">
        <f>"Создаваемые (разрабатываемые) нематериальные активы"</f>
        <v>Создаваемые (разрабатываемые) нематериальные активы</v>
      </c>
      <c r="F170" s="9" t="str">
        <f>""</f>
        <v/>
      </c>
      <c r="G170" s="9" t="str">
        <f>""</f>
        <v/>
      </c>
      <c r="H170" s="9" t="str">
        <f>""</f>
        <v/>
      </c>
      <c r="I170" s="11">
        <v>13188045</v>
      </c>
    </row>
    <row r="171" spans="1:9" x14ac:dyDescent="0.25">
      <c r="A171" s="9">
        <v>459</v>
      </c>
      <c r="B171" s="10">
        <v>45016</v>
      </c>
      <c r="C171" s="9">
        <v>8</v>
      </c>
      <c r="D171" s="9" t="str">
        <f>"1692"</f>
        <v>1692</v>
      </c>
      <c r="E171" s="9" t="str">
        <f>"Начисленная амортизация по зданиям и сооружениям"</f>
        <v>Начисленная амортизация по зданиям и сооружениям</v>
      </c>
      <c r="F171" s="9" t="str">
        <f>""</f>
        <v/>
      </c>
      <c r="G171" s="9" t="str">
        <f>""</f>
        <v/>
      </c>
      <c r="H171" s="9" t="str">
        <f>""</f>
        <v/>
      </c>
      <c r="I171" s="11">
        <v>-1849944593.25</v>
      </c>
    </row>
    <row r="172" spans="1:9" x14ac:dyDescent="0.25">
      <c r="A172" s="9">
        <v>455</v>
      </c>
      <c r="B172" s="10">
        <v>45016</v>
      </c>
      <c r="C172" s="9">
        <v>8</v>
      </c>
      <c r="D172" s="9" t="str">
        <f>"1693"</f>
        <v>1693</v>
      </c>
      <c r="E172" s="9" t="str">
        <f>"Начисленная амортизация по компьютерному оборудованию"</f>
        <v>Начисленная амортизация по компьютерному оборудованию</v>
      </c>
      <c r="F172" s="9" t="str">
        <f>""</f>
        <v/>
      </c>
      <c r="G172" s="9" t="str">
        <f>""</f>
        <v/>
      </c>
      <c r="H172" s="9" t="str">
        <f>""</f>
        <v/>
      </c>
      <c r="I172" s="11">
        <v>-1041275919.76</v>
      </c>
    </row>
    <row r="173" spans="1:9" x14ac:dyDescent="0.25">
      <c r="A173" s="9">
        <v>477</v>
      </c>
      <c r="B173" s="10">
        <v>45016</v>
      </c>
      <c r="C173" s="9">
        <v>8</v>
      </c>
      <c r="D173" s="9" t="str">
        <f>"1694"</f>
        <v>1694</v>
      </c>
      <c r="E173" s="9" t="str">
        <f>"Начисленная амортизация по прочим основным средствам"</f>
        <v>Начисленная амортизация по прочим основным средствам</v>
      </c>
      <c r="F173" s="9" t="str">
        <f>""</f>
        <v/>
      </c>
      <c r="G173" s="9" t="str">
        <f>""</f>
        <v/>
      </c>
      <c r="H173" s="9" t="str">
        <f>""</f>
        <v/>
      </c>
      <c r="I173" s="11">
        <v>-3275619989.5100002</v>
      </c>
    </row>
    <row r="174" spans="1:9" x14ac:dyDescent="0.25">
      <c r="A174" s="9">
        <v>507</v>
      </c>
      <c r="B174" s="10">
        <v>45016</v>
      </c>
      <c r="C174" s="9">
        <v>8</v>
      </c>
      <c r="D174" s="9" t="str">
        <f>"1695"</f>
        <v>1695</v>
      </c>
      <c r="E174" s="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4" s="9" t="str">
        <f>""</f>
        <v/>
      </c>
      <c r="G174" s="9" t="str">
        <f>""</f>
        <v/>
      </c>
      <c r="H174" s="9" t="str">
        <f>""</f>
        <v/>
      </c>
      <c r="I174" s="11">
        <v>-998877176.17999995</v>
      </c>
    </row>
    <row r="175" spans="1:9" x14ac:dyDescent="0.25">
      <c r="A175" s="9">
        <v>463</v>
      </c>
      <c r="B175" s="10">
        <v>45016</v>
      </c>
      <c r="C175" s="9">
        <v>8</v>
      </c>
      <c r="D175" s="9" t="str">
        <f>"1697"</f>
        <v>1697</v>
      </c>
      <c r="E175" s="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5" s="9" t="str">
        <f>""</f>
        <v/>
      </c>
      <c r="G175" s="9" t="str">
        <f>""</f>
        <v/>
      </c>
      <c r="H175" s="9" t="str">
        <f>""</f>
        <v/>
      </c>
      <c r="I175" s="11">
        <v>-484882495.47000003</v>
      </c>
    </row>
    <row r="176" spans="1:9" x14ac:dyDescent="0.25">
      <c r="A176" s="9">
        <v>517</v>
      </c>
      <c r="B176" s="10">
        <v>45016</v>
      </c>
      <c r="C176" s="9">
        <v>8</v>
      </c>
      <c r="D176" s="9" t="str">
        <f>"1698"</f>
        <v>1698</v>
      </c>
      <c r="E176" s="9" t="str">
        <f>"Начисленная амортизация по транспортным средствам"</f>
        <v>Начисленная амортизация по транспортным средствам</v>
      </c>
      <c r="F176" s="9" t="str">
        <f>""</f>
        <v/>
      </c>
      <c r="G176" s="9" t="str">
        <f>""</f>
        <v/>
      </c>
      <c r="H176" s="9" t="str">
        <f>""</f>
        <v/>
      </c>
      <c r="I176" s="11">
        <v>-386229242.05000001</v>
      </c>
    </row>
    <row r="177" spans="1:9" x14ac:dyDescent="0.25">
      <c r="A177" s="9">
        <v>458</v>
      </c>
      <c r="B177" s="10">
        <v>45016</v>
      </c>
      <c r="C177" s="9">
        <v>8</v>
      </c>
      <c r="D177" s="9" t="str">
        <f>"1699"</f>
        <v>1699</v>
      </c>
      <c r="E177" s="9" t="str">
        <f>"Начисленная амортизация по нематериальным активам"</f>
        <v>Начисленная амортизация по нематериальным активам</v>
      </c>
      <c r="F177" s="9" t="str">
        <f>""</f>
        <v/>
      </c>
      <c r="G177" s="9" t="str">
        <f>""</f>
        <v/>
      </c>
      <c r="H177" s="9" t="str">
        <f>""</f>
        <v/>
      </c>
      <c r="I177" s="11">
        <v>-1398768079.3900001</v>
      </c>
    </row>
    <row r="178" spans="1:9" x14ac:dyDescent="0.25">
      <c r="A178" s="9">
        <v>352</v>
      </c>
      <c r="B178" s="10">
        <v>45016</v>
      </c>
      <c r="C178" s="9">
        <v>8</v>
      </c>
      <c r="D178" s="9" t="str">
        <f>"1705"</f>
        <v>1705</v>
      </c>
      <c r="E178" s="9" t="str">
        <f>"Начисленные доходы по корреспондентским счетам"</f>
        <v>Начисленные доходы по корреспондентским счетам</v>
      </c>
      <c r="F178" s="9" t="str">
        <f>"2"</f>
        <v>2</v>
      </c>
      <c r="G178" s="9" t="str">
        <f>"3"</f>
        <v>3</v>
      </c>
      <c r="H178" s="9" t="str">
        <f>"2"</f>
        <v>2</v>
      </c>
      <c r="I178" s="11">
        <v>703.05</v>
      </c>
    </row>
    <row r="179" spans="1:9" x14ac:dyDescent="0.25">
      <c r="A179" s="9">
        <v>354</v>
      </c>
      <c r="B179" s="10">
        <v>45016</v>
      </c>
      <c r="C179" s="9">
        <v>8</v>
      </c>
      <c r="D179" s="9" t="str">
        <f>"1705"</f>
        <v>1705</v>
      </c>
      <c r="E179" s="9" t="str">
        <f>"Начисленные доходы по корреспондентским счетам"</f>
        <v>Начисленные доходы по корреспондентским счетам</v>
      </c>
      <c r="F179" s="9" t="str">
        <f>"2"</f>
        <v>2</v>
      </c>
      <c r="G179" s="9" t="str">
        <f>"4"</f>
        <v>4</v>
      </c>
      <c r="H179" s="9" t="str">
        <f>"2"</f>
        <v>2</v>
      </c>
      <c r="I179" s="11">
        <v>26034034.120000001</v>
      </c>
    </row>
    <row r="180" spans="1:9" x14ac:dyDescent="0.25">
      <c r="A180" s="9">
        <v>518</v>
      </c>
      <c r="B180" s="10">
        <v>45016</v>
      </c>
      <c r="C180" s="9">
        <v>8</v>
      </c>
      <c r="D180" s="9" t="str">
        <f>"1725"</f>
        <v>1725</v>
      </c>
      <c r="E180" s="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0" s="9" t="str">
        <f>"2"</f>
        <v>2</v>
      </c>
      <c r="G180" s="9" t="str">
        <f>"4"</f>
        <v>4</v>
      </c>
      <c r="H180" s="9" t="str">
        <f>"2"</f>
        <v>2</v>
      </c>
      <c r="I180" s="11">
        <v>2457085.58</v>
      </c>
    </row>
    <row r="181" spans="1:9" x14ac:dyDescent="0.25">
      <c r="A181" s="9">
        <v>547</v>
      </c>
      <c r="B181" s="10">
        <v>45016</v>
      </c>
      <c r="C181" s="9">
        <v>8</v>
      </c>
      <c r="D181" s="9" t="str">
        <f>"1725"</f>
        <v>1725</v>
      </c>
      <c r="E181" s="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1" s="9" t="str">
        <f>"2"</f>
        <v>2</v>
      </c>
      <c r="G181" s="9" t="str">
        <f>"4"</f>
        <v>4</v>
      </c>
      <c r="H181" s="9" t="str">
        <f>"3"</f>
        <v>3</v>
      </c>
      <c r="I181" s="11">
        <v>89184383.599999994</v>
      </c>
    </row>
    <row r="182" spans="1:9" x14ac:dyDescent="0.25">
      <c r="A182" s="9">
        <v>353</v>
      </c>
      <c r="B182" s="10">
        <v>45016</v>
      </c>
      <c r="C182" s="9">
        <v>8</v>
      </c>
      <c r="D182" s="9" t="str">
        <f>"1728"</f>
        <v>1728</v>
      </c>
      <c r="E182" s="9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82" s="9" t="str">
        <f>"2"</f>
        <v>2</v>
      </c>
      <c r="G182" s="9" t="str">
        <f>"5"</f>
        <v>5</v>
      </c>
      <c r="H182" s="9" t="str">
        <f>"2"</f>
        <v>2</v>
      </c>
      <c r="I182" s="11">
        <v>31115126.379999999</v>
      </c>
    </row>
    <row r="183" spans="1:9" x14ac:dyDescent="0.25">
      <c r="A183" s="9">
        <v>505</v>
      </c>
      <c r="B183" s="10">
        <v>45016</v>
      </c>
      <c r="C183" s="9">
        <v>8</v>
      </c>
      <c r="D183" s="9" t="str">
        <f>"1740"</f>
        <v>1740</v>
      </c>
      <c r="E183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3" s="9" t="str">
        <f>"1"</f>
        <v>1</v>
      </c>
      <c r="G183" s="9" t="str">
        <f>"7"</f>
        <v>7</v>
      </c>
      <c r="H183" s="9" t="str">
        <f>"1"</f>
        <v>1</v>
      </c>
      <c r="I183" s="11">
        <v>10617604096.18</v>
      </c>
    </row>
    <row r="184" spans="1:9" x14ac:dyDescent="0.25">
      <c r="A184" s="9">
        <v>520</v>
      </c>
      <c r="B184" s="10">
        <v>45016</v>
      </c>
      <c r="C184" s="9">
        <v>8</v>
      </c>
      <c r="D184" s="9" t="str">
        <f>"1740"</f>
        <v>1740</v>
      </c>
      <c r="E184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4" s="9" t="str">
        <f>"1"</f>
        <v>1</v>
      </c>
      <c r="G184" s="9" t="str">
        <f>"5"</f>
        <v>5</v>
      </c>
      <c r="H184" s="9" t="str">
        <f>"1"</f>
        <v>1</v>
      </c>
      <c r="I184" s="11">
        <v>2383333.33</v>
      </c>
    </row>
    <row r="185" spans="1:9" x14ac:dyDescent="0.25">
      <c r="A185" s="9">
        <v>522</v>
      </c>
      <c r="B185" s="10">
        <v>45016</v>
      </c>
      <c r="C185" s="9">
        <v>8</v>
      </c>
      <c r="D185" s="9" t="str">
        <f>"1740"</f>
        <v>1740</v>
      </c>
      <c r="E185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5" s="9" t="str">
        <f>"1"</f>
        <v>1</v>
      </c>
      <c r="G185" s="9" t="str">
        <f>"9"</f>
        <v>9</v>
      </c>
      <c r="H185" s="9" t="str">
        <f>"1"</f>
        <v>1</v>
      </c>
      <c r="I185" s="11">
        <v>5127423337.54</v>
      </c>
    </row>
    <row r="186" spans="1:9" x14ac:dyDescent="0.25">
      <c r="A186" s="9">
        <v>527</v>
      </c>
      <c r="B186" s="10">
        <v>45016</v>
      </c>
      <c r="C186" s="9">
        <v>8</v>
      </c>
      <c r="D186" s="9" t="str">
        <f>"1740"</f>
        <v>1740</v>
      </c>
      <c r="E186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6" s="9" t="str">
        <f>"1"</f>
        <v>1</v>
      </c>
      <c r="G186" s="9" t="str">
        <f>"7"</f>
        <v>7</v>
      </c>
      <c r="H186" s="9" t="str">
        <f>"3"</f>
        <v>3</v>
      </c>
      <c r="I186" s="11">
        <v>1379516.47</v>
      </c>
    </row>
    <row r="187" spans="1:9" x14ac:dyDescent="0.25">
      <c r="A187" s="9">
        <v>537</v>
      </c>
      <c r="B187" s="10">
        <v>45016</v>
      </c>
      <c r="C187" s="9">
        <v>8</v>
      </c>
      <c r="D187" s="9" t="str">
        <f>"1740"</f>
        <v>1740</v>
      </c>
      <c r="E187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7" s="9" t="str">
        <f>"1"</f>
        <v>1</v>
      </c>
      <c r="G187" s="9" t="str">
        <f>"9"</f>
        <v>9</v>
      </c>
      <c r="H187" s="9" t="str">
        <f>"2"</f>
        <v>2</v>
      </c>
      <c r="I187" s="11">
        <v>492.36</v>
      </c>
    </row>
    <row r="188" spans="1:9" x14ac:dyDescent="0.25">
      <c r="A188" s="9">
        <v>539</v>
      </c>
      <c r="B188" s="10">
        <v>45016</v>
      </c>
      <c r="C188" s="9">
        <v>8</v>
      </c>
      <c r="D188" s="9" t="str">
        <f>"1740"</f>
        <v>1740</v>
      </c>
      <c r="E188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8" s="9" t="str">
        <f>"1"</f>
        <v>1</v>
      </c>
      <c r="G188" s="9" t="str">
        <f>"7"</f>
        <v>7</v>
      </c>
      <c r="H188" s="9" t="str">
        <f>"2"</f>
        <v>2</v>
      </c>
      <c r="I188" s="11">
        <v>1784878273.8199999</v>
      </c>
    </row>
    <row r="189" spans="1:9" x14ac:dyDescent="0.25">
      <c r="A189" s="9">
        <v>555</v>
      </c>
      <c r="B189" s="10">
        <v>45016</v>
      </c>
      <c r="C189" s="9">
        <v>8</v>
      </c>
      <c r="D189" s="9" t="str">
        <f>"1740"</f>
        <v>1740</v>
      </c>
      <c r="E189" s="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9" s="9" t="str">
        <f>"2"</f>
        <v>2</v>
      </c>
      <c r="G189" s="9" t="str">
        <f>"9"</f>
        <v>9</v>
      </c>
      <c r="H189" s="9" t="str">
        <f>"2"</f>
        <v>2</v>
      </c>
      <c r="I189" s="11">
        <v>2714777.08</v>
      </c>
    </row>
    <row r="190" spans="1:9" x14ac:dyDescent="0.25">
      <c r="A190" s="9">
        <v>509</v>
      </c>
      <c r="B190" s="10">
        <v>45016</v>
      </c>
      <c r="C190" s="9">
        <v>8</v>
      </c>
      <c r="D190" s="9" t="str">
        <f>"1741"</f>
        <v>1741</v>
      </c>
      <c r="E190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0" s="9" t="str">
        <f>"1"</f>
        <v>1</v>
      </c>
      <c r="G190" s="9" t="str">
        <f>"7"</f>
        <v>7</v>
      </c>
      <c r="H190" s="9" t="str">
        <f>"2"</f>
        <v>2</v>
      </c>
      <c r="I190" s="11">
        <v>1448788978.8</v>
      </c>
    </row>
    <row r="191" spans="1:9" x14ac:dyDescent="0.25">
      <c r="A191" s="9">
        <v>538</v>
      </c>
      <c r="B191" s="10">
        <v>45016</v>
      </c>
      <c r="C191" s="9">
        <v>8</v>
      </c>
      <c r="D191" s="9" t="str">
        <f>"1741"</f>
        <v>1741</v>
      </c>
      <c r="E191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1" s="9" t="str">
        <f>"1"</f>
        <v>1</v>
      </c>
      <c r="G191" s="9" t="str">
        <f>"9"</f>
        <v>9</v>
      </c>
      <c r="H191" s="9" t="str">
        <f>"1"</f>
        <v>1</v>
      </c>
      <c r="I191" s="11">
        <v>1222226200.0999999</v>
      </c>
    </row>
    <row r="192" spans="1:9" x14ac:dyDescent="0.25">
      <c r="A192" s="9">
        <v>549</v>
      </c>
      <c r="B192" s="10">
        <v>45016</v>
      </c>
      <c r="C192" s="9">
        <v>8</v>
      </c>
      <c r="D192" s="9" t="str">
        <f>"1741"</f>
        <v>1741</v>
      </c>
      <c r="E192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2" s="9" t="str">
        <f>"1"</f>
        <v>1</v>
      </c>
      <c r="G192" s="9" t="str">
        <f>"7"</f>
        <v>7</v>
      </c>
      <c r="H192" s="9" t="str">
        <f>"1"</f>
        <v>1</v>
      </c>
      <c r="I192" s="11">
        <v>4663953010.5699997</v>
      </c>
    </row>
    <row r="193" spans="1:9" x14ac:dyDescent="0.25">
      <c r="A193" s="9">
        <v>550</v>
      </c>
      <c r="B193" s="10">
        <v>45016</v>
      </c>
      <c r="C193" s="9">
        <v>8</v>
      </c>
      <c r="D193" s="9" t="str">
        <f>"1741"</f>
        <v>1741</v>
      </c>
      <c r="E193" s="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3" s="9" t="str">
        <f>"1"</f>
        <v>1</v>
      </c>
      <c r="G193" s="9" t="str">
        <f>"9"</f>
        <v>9</v>
      </c>
      <c r="H193" s="9" t="str">
        <f>"2"</f>
        <v>2</v>
      </c>
      <c r="I193" s="11">
        <v>1527945.21</v>
      </c>
    </row>
    <row r="194" spans="1:9" x14ac:dyDescent="0.25">
      <c r="A194" s="9">
        <v>543</v>
      </c>
      <c r="B194" s="10">
        <v>45016</v>
      </c>
      <c r="C194" s="9">
        <v>8</v>
      </c>
      <c r="D194" s="9" t="str">
        <f>"1744"</f>
        <v>1744</v>
      </c>
      <c r="E194" s="9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194" s="9" t="str">
        <f>"1"</f>
        <v>1</v>
      </c>
      <c r="G194" s="9" t="str">
        <f>"1"</f>
        <v>1</v>
      </c>
      <c r="H194" s="9" t="str">
        <f>"2"</f>
        <v>2</v>
      </c>
      <c r="I194" s="11">
        <v>21484483.98</v>
      </c>
    </row>
    <row r="195" spans="1:9" x14ac:dyDescent="0.25">
      <c r="A195" s="9">
        <v>495</v>
      </c>
      <c r="B195" s="10">
        <v>45016</v>
      </c>
      <c r="C195" s="9">
        <v>8</v>
      </c>
      <c r="D195" s="9" t="str">
        <f>"1745"</f>
        <v>1745</v>
      </c>
      <c r="E195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5" s="9" t="str">
        <f>"1"</f>
        <v>1</v>
      </c>
      <c r="G195" s="9" t="str">
        <f>"6"</f>
        <v>6</v>
      </c>
      <c r="H195" s="9" t="str">
        <f>"2"</f>
        <v>2</v>
      </c>
      <c r="I195" s="11">
        <v>292962121.69999999</v>
      </c>
    </row>
    <row r="196" spans="1:9" x14ac:dyDescent="0.25">
      <c r="A196" s="9">
        <v>533</v>
      </c>
      <c r="B196" s="10">
        <v>45016</v>
      </c>
      <c r="C196" s="9">
        <v>8</v>
      </c>
      <c r="D196" s="9" t="str">
        <f>"1745"</f>
        <v>1745</v>
      </c>
      <c r="E196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6" s="9" t="str">
        <f>"2"</f>
        <v>2</v>
      </c>
      <c r="G196" s="9" t="str">
        <f>"3"</f>
        <v>3</v>
      </c>
      <c r="H196" s="9" t="str">
        <f>"1"</f>
        <v>1</v>
      </c>
      <c r="I196" s="11">
        <v>31547222.219999999</v>
      </c>
    </row>
    <row r="197" spans="1:9" x14ac:dyDescent="0.25">
      <c r="A197" s="9">
        <v>536</v>
      </c>
      <c r="B197" s="10">
        <v>45016</v>
      </c>
      <c r="C197" s="9">
        <v>8</v>
      </c>
      <c r="D197" s="9" t="str">
        <f>"1745"</f>
        <v>1745</v>
      </c>
      <c r="E197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7" s="9" t="str">
        <f>"2"</f>
        <v>2</v>
      </c>
      <c r="G197" s="9" t="str">
        <f>"7"</f>
        <v>7</v>
      </c>
      <c r="H197" s="9" t="str">
        <f>"2"</f>
        <v>2</v>
      </c>
      <c r="I197" s="11">
        <v>45652428</v>
      </c>
    </row>
    <row r="198" spans="1:9" x14ac:dyDescent="0.25">
      <c r="A198" s="9">
        <v>544</v>
      </c>
      <c r="B198" s="10">
        <v>45016</v>
      </c>
      <c r="C198" s="9">
        <v>8</v>
      </c>
      <c r="D198" s="9" t="str">
        <f>"1745"</f>
        <v>1745</v>
      </c>
      <c r="E198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8" s="9" t="str">
        <f>"1"</f>
        <v>1</v>
      </c>
      <c r="G198" s="9" t="str">
        <f>"5"</f>
        <v>5</v>
      </c>
      <c r="H198" s="9" t="str">
        <f>"1"</f>
        <v>1</v>
      </c>
      <c r="I198" s="11">
        <v>104368055.56</v>
      </c>
    </row>
    <row r="199" spans="1:9" x14ac:dyDescent="0.25">
      <c r="A199" s="9">
        <v>545</v>
      </c>
      <c r="B199" s="10">
        <v>45016</v>
      </c>
      <c r="C199" s="9">
        <v>8</v>
      </c>
      <c r="D199" s="9" t="str">
        <f>"1745"</f>
        <v>1745</v>
      </c>
      <c r="E199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9" s="9" t="str">
        <f>"2"</f>
        <v>2</v>
      </c>
      <c r="G199" s="9" t="str">
        <f>"3"</f>
        <v>3</v>
      </c>
      <c r="H199" s="9" t="str">
        <f>"2"</f>
        <v>2</v>
      </c>
      <c r="I199" s="11">
        <v>1905036.17</v>
      </c>
    </row>
    <row r="200" spans="1:9" x14ac:dyDescent="0.25">
      <c r="A200" s="9">
        <v>551</v>
      </c>
      <c r="B200" s="10">
        <v>45016</v>
      </c>
      <c r="C200" s="9">
        <v>8</v>
      </c>
      <c r="D200" s="9" t="str">
        <f>"1745"</f>
        <v>1745</v>
      </c>
      <c r="E200" s="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0" s="9" t="str">
        <f>"1"</f>
        <v>1</v>
      </c>
      <c r="G200" s="9" t="str">
        <f>"1"</f>
        <v>1</v>
      </c>
      <c r="H200" s="9" t="str">
        <f>"2"</f>
        <v>2</v>
      </c>
      <c r="I200" s="11">
        <v>642173300.21000004</v>
      </c>
    </row>
    <row r="201" spans="1:9" x14ac:dyDescent="0.25">
      <c r="A201" s="9">
        <v>553</v>
      </c>
      <c r="B201" s="10">
        <v>45016</v>
      </c>
      <c r="C201" s="9">
        <v>8</v>
      </c>
      <c r="D201" s="9" t="str">
        <f>"1746"</f>
        <v>1746</v>
      </c>
      <c r="E201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1" s="9" t="str">
        <f>"1"</f>
        <v>1</v>
      </c>
      <c r="G201" s="9" t="str">
        <f>"4"</f>
        <v>4</v>
      </c>
      <c r="H201" s="9" t="str">
        <f>"2"</f>
        <v>2</v>
      </c>
      <c r="I201" s="11">
        <v>34646157</v>
      </c>
    </row>
    <row r="202" spans="1:9" x14ac:dyDescent="0.25">
      <c r="A202" s="9">
        <v>554</v>
      </c>
      <c r="B202" s="10">
        <v>45016</v>
      </c>
      <c r="C202" s="9">
        <v>8</v>
      </c>
      <c r="D202" s="9" t="str">
        <f>"1746"</f>
        <v>1746</v>
      </c>
      <c r="E202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2" s="9" t="str">
        <f>"1"</f>
        <v>1</v>
      </c>
      <c r="G202" s="9" t="str">
        <f>"1"</f>
        <v>1</v>
      </c>
      <c r="H202" s="9" t="str">
        <f>"1"</f>
        <v>1</v>
      </c>
      <c r="I202" s="11">
        <v>7111920031.2200003</v>
      </c>
    </row>
    <row r="203" spans="1:9" x14ac:dyDescent="0.25">
      <c r="A203" s="9">
        <v>556</v>
      </c>
      <c r="B203" s="10">
        <v>45016</v>
      </c>
      <c r="C203" s="9">
        <v>8</v>
      </c>
      <c r="D203" s="9" t="str">
        <f>"1746"</f>
        <v>1746</v>
      </c>
      <c r="E203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3" s="9" t="str">
        <f>"1"</f>
        <v>1</v>
      </c>
      <c r="G203" s="9" t="str">
        <f>"5"</f>
        <v>5</v>
      </c>
      <c r="H203" s="9" t="str">
        <f>"1"</f>
        <v>1</v>
      </c>
      <c r="I203" s="11">
        <v>16097222.220000001</v>
      </c>
    </row>
    <row r="204" spans="1:9" x14ac:dyDescent="0.25">
      <c r="A204" s="9">
        <v>557</v>
      </c>
      <c r="B204" s="10">
        <v>45016</v>
      </c>
      <c r="C204" s="9">
        <v>8</v>
      </c>
      <c r="D204" s="9" t="str">
        <f>"1746"</f>
        <v>1746</v>
      </c>
      <c r="E204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4" s="9" t="str">
        <f>"1"</f>
        <v>1</v>
      </c>
      <c r="G204" s="9" t="str">
        <f>"6"</f>
        <v>6</v>
      </c>
      <c r="H204" s="9" t="str">
        <f>"1"</f>
        <v>1</v>
      </c>
      <c r="I204" s="11">
        <v>58733215.600000001</v>
      </c>
    </row>
    <row r="205" spans="1:9" x14ac:dyDescent="0.25">
      <c r="A205" s="9">
        <v>558</v>
      </c>
      <c r="B205" s="10">
        <v>45016</v>
      </c>
      <c r="C205" s="9">
        <v>8</v>
      </c>
      <c r="D205" s="9" t="str">
        <f>"1746"</f>
        <v>1746</v>
      </c>
      <c r="E205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5" s="9" t="str">
        <f>"1"</f>
        <v>1</v>
      </c>
      <c r="G205" s="9" t="str">
        <f>"1"</f>
        <v>1</v>
      </c>
      <c r="H205" s="9" t="str">
        <f>"2"</f>
        <v>2</v>
      </c>
      <c r="I205" s="11">
        <v>951527714.13</v>
      </c>
    </row>
    <row r="206" spans="1:9" x14ac:dyDescent="0.25">
      <c r="A206" s="9">
        <v>559</v>
      </c>
      <c r="B206" s="10">
        <v>45016</v>
      </c>
      <c r="C206" s="9">
        <v>8</v>
      </c>
      <c r="D206" s="9" t="str">
        <f>"1746"</f>
        <v>1746</v>
      </c>
      <c r="E206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6" s="9" t="str">
        <f>"1"</f>
        <v>1</v>
      </c>
      <c r="G206" s="9" t="str">
        <f>"7"</f>
        <v>7</v>
      </c>
      <c r="H206" s="9" t="str">
        <f>"2"</f>
        <v>2</v>
      </c>
      <c r="I206" s="11">
        <v>439161.5</v>
      </c>
    </row>
    <row r="207" spans="1:9" x14ac:dyDescent="0.25">
      <c r="A207" s="9">
        <v>560</v>
      </c>
      <c r="B207" s="10">
        <v>45016</v>
      </c>
      <c r="C207" s="9">
        <v>8</v>
      </c>
      <c r="D207" s="9" t="str">
        <f>"1746"</f>
        <v>1746</v>
      </c>
      <c r="E207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7" s="9" t="str">
        <f>"1"</f>
        <v>1</v>
      </c>
      <c r="G207" s="9" t="str">
        <f>"6"</f>
        <v>6</v>
      </c>
      <c r="H207" s="9" t="str">
        <f>"2"</f>
        <v>2</v>
      </c>
      <c r="I207" s="11">
        <v>35622352</v>
      </c>
    </row>
    <row r="208" spans="1:9" x14ac:dyDescent="0.25">
      <c r="A208" s="9">
        <v>561</v>
      </c>
      <c r="B208" s="10">
        <v>45016</v>
      </c>
      <c r="C208" s="9">
        <v>8</v>
      </c>
      <c r="D208" s="9" t="str">
        <f>"1746"</f>
        <v>1746</v>
      </c>
      <c r="E208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8" s="9" t="str">
        <f>"2"</f>
        <v>2</v>
      </c>
      <c r="G208" s="9" t="str">
        <f>"1"</f>
        <v>1</v>
      </c>
      <c r="H208" s="9" t="str">
        <f>"2"</f>
        <v>2</v>
      </c>
      <c r="I208" s="11">
        <v>3532498.68</v>
      </c>
    </row>
    <row r="209" spans="1:9" x14ac:dyDescent="0.25">
      <c r="A209" s="9">
        <v>562</v>
      </c>
      <c r="B209" s="10">
        <v>45016</v>
      </c>
      <c r="C209" s="9">
        <v>8</v>
      </c>
      <c r="D209" s="9" t="str">
        <f>"1746"</f>
        <v>1746</v>
      </c>
      <c r="E209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9" s="9" t="str">
        <f>"2"</f>
        <v>2</v>
      </c>
      <c r="G209" s="9" t="str">
        <f>"3"</f>
        <v>3</v>
      </c>
      <c r="H209" s="9" t="str">
        <f>"1"</f>
        <v>1</v>
      </c>
      <c r="I209" s="11">
        <v>29161767.629999999</v>
      </c>
    </row>
    <row r="210" spans="1:9" x14ac:dyDescent="0.25">
      <c r="A210" s="9">
        <v>563</v>
      </c>
      <c r="B210" s="10">
        <v>45016</v>
      </c>
      <c r="C210" s="9">
        <v>8</v>
      </c>
      <c r="D210" s="9" t="str">
        <f>"1746"</f>
        <v>1746</v>
      </c>
      <c r="E210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0" s="9" t="str">
        <f>"2"</f>
        <v>2</v>
      </c>
      <c r="G210" s="9" t="str">
        <f>"5"</f>
        <v>5</v>
      </c>
      <c r="H210" s="9" t="str">
        <f>"1"</f>
        <v>1</v>
      </c>
      <c r="I210" s="11">
        <v>30646152.420000002</v>
      </c>
    </row>
    <row r="211" spans="1:9" x14ac:dyDescent="0.25">
      <c r="A211" s="9">
        <v>564</v>
      </c>
      <c r="B211" s="10">
        <v>45016</v>
      </c>
      <c r="C211" s="9">
        <v>8</v>
      </c>
      <c r="D211" s="9" t="str">
        <f>"1746"</f>
        <v>1746</v>
      </c>
      <c r="E211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1" s="9" t="str">
        <f>"2"</f>
        <v>2</v>
      </c>
      <c r="G211" s="9" t="str">
        <f>"5"</f>
        <v>5</v>
      </c>
      <c r="H211" s="9" t="str">
        <f>"2"</f>
        <v>2</v>
      </c>
      <c r="I211" s="11">
        <v>14003010</v>
      </c>
    </row>
    <row r="212" spans="1:9" x14ac:dyDescent="0.25">
      <c r="A212" s="9">
        <v>565</v>
      </c>
      <c r="B212" s="10">
        <v>45016</v>
      </c>
      <c r="C212" s="9">
        <v>8</v>
      </c>
      <c r="D212" s="9" t="str">
        <f>"1746"</f>
        <v>1746</v>
      </c>
      <c r="E212" s="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2" s="9" t="str">
        <f>"2"</f>
        <v>2</v>
      </c>
      <c r="G212" s="9" t="str">
        <f>"7"</f>
        <v>7</v>
      </c>
      <c r="H212" s="9" t="str">
        <f>"2"</f>
        <v>2</v>
      </c>
      <c r="I212" s="11">
        <v>10345414.75</v>
      </c>
    </row>
    <row r="213" spans="1:9" x14ac:dyDescent="0.25">
      <c r="A213" s="9">
        <v>355</v>
      </c>
      <c r="B213" s="10">
        <v>45016</v>
      </c>
      <c r="C213" s="9">
        <v>8</v>
      </c>
      <c r="D213" s="9" t="str">
        <f>"1748"</f>
        <v>1748</v>
      </c>
      <c r="E213" s="9" t="s">
        <v>11</v>
      </c>
      <c r="F213" s="9" t="str">
        <f>"1"</f>
        <v>1</v>
      </c>
      <c r="G213" s="9" t="str">
        <f>"5"</f>
        <v>5</v>
      </c>
      <c r="H213" s="9" t="str">
        <f>"2"</f>
        <v>2</v>
      </c>
      <c r="I213" s="11">
        <v>350251.42</v>
      </c>
    </row>
    <row r="214" spans="1:9" x14ac:dyDescent="0.25">
      <c r="A214" s="9">
        <v>566</v>
      </c>
      <c r="B214" s="10">
        <v>45016</v>
      </c>
      <c r="C214" s="9">
        <v>8</v>
      </c>
      <c r="D214" s="9" t="str">
        <f>"1748"</f>
        <v>1748</v>
      </c>
      <c r="E214" s="9" t="s">
        <v>11</v>
      </c>
      <c r="F214" s="9" t="str">
        <f>"1"</f>
        <v>1</v>
      </c>
      <c r="G214" s="9" t="str">
        <f>"5"</f>
        <v>5</v>
      </c>
      <c r="H214" s="9" t="str">
        <f>"1"</f>
        <v>1</v>
      </c>
      <c r="I214" s="11">
        <v>16151402.189999999</v>
      </c>
    </row>
    <row r="215" spans="1:9" x14ac:dyDescent="0.25">
      <c r="A215" s="9">
        <v>567</v>
      </c>
      <c r="B215" s="10">
        <v>45016</v>
      </c>
      <c r="C215" s="9">
        <v>8</v>
      </c>
      <c r="D215" s="9" t="str">
        <f>"1750"</f>
        <v>1750</v>
      </c>
      <c r="E215" s="9" t="str">
        <f>"Просроченное вознаграждение по ценным бумагам"</f>
        <v>Просроченное вознаграждение по ценным бумагам</v>
      </c>
      <c r="F215" s="9" t="str">
        <f>"2"</f>
        <v>2</v>
      </c>
      <c r="G215" s="9" t="str">
        <f>"7"</f>
        <v>7</v>
      </c>
      <c r="H215" s="9" t="str">
        <f>"2"</f>
        <v>2</v>
      </c>
      <c r="I215" s="11">
        <v>15809850</v>
      </c>
    </row>
    <row r="216" spans="1:9" x14ac:dyDescent="0.25">
      <c r="A216" s="9">
        <v>568</v>
      </c>
      <c r="B216" s="10">
        <v>45016</v>
      </c>
      <c r="C216" s="9">
        <v>8</v>
      </c>
      <c r="D216" s="9" t="str">
        <f>"1793"</f>
        <v>1793</v>
      </c>
      <c r="E216" s="9" t="str">
        <f>"Расходы будущих периодов"</f>
        <v>Расходы будущих периодов</v>
      </c>
      <c r="F216" s="9" t="str">
        <f>"1"</f>
        <v>1</v>
      </c>
      <c r="G216" s="9" t="str">
        <f>"7"</f>
        <v>7</v>
      </c>
      <c r="H216" s="9" t="str">
        <f>"1"</f>
        <v>1</v>
      </c>
      <c r="I216" s="11">
        <v>563041499.12</v>
      </c>
    </row>
    <row r="217" spans="1:9" x14ac:dyDescent="0.25">
      <c r="A217" s="9">
        <v>569</v>
      </c>
      <c r="B217" s="10">
        <v>45016</v>
      </c>
      <c r="C217" s="9">
        <v>8</v>
      </c>
      <c r="D217" s="9" t="str">
        <f>"1793"</f>
        <v>1793</v>
      </c>
      <c r="E217" s="9" t="str">
        <f>"Расходы будущих периодов"</f>
        <v>Расходы будущих периодов</v>
      </c>
      <c r="F217" s="9" t="str">
        <f>"1"</f>
        <v>1</v>
      </c>
      <c r="G217" s="9" t="str">
        <f>"5"</f>
        <v>5</v>
      </c>
      <c r="H217" s="9" t="str">
        <f>"1"</f>
        <v>1</v>
      </c>
      <c r="I217" s="11">
        <v>73308807.540000007</v>
      </c>
    </row>
    <row r="218" spans="1:9" x14ac:dyDescent="0.25">
      <c r="A218" s="9">
        <v>570</v>
      </c>
      <c r="B218" s="10">
        <v>45016</v>
      </c>
      <c r="C218" s="9">
        <v>8</v>
      </c>
      <c r="D218" s="9" t="str">
        <f>"1793"</f>
        <v>1793</v>
      </c>
      <c r="E218" s="9" t="str">
        <f>"Расходы будущих периодов"</f>
        <v>Расходы будущих периодов</v>
      </c>
      <c r="F218" s="9" t="str">
        <f>"2"</f>
        <v>2</v>
      </c>
      <c r="G218" s="9" t="str">
        <f>"7"</f>
        <v>7</v>
      </c>
      <c r="H218" s="9" t="str">
        <f>"1"</f>
        <v>1</v>
      </c>
      <c r="I218" s="11">
        <v>2328678.2599999998</v>
      </c>
    </row>
    <row r="219" spans="1:9" x14ac:dyDescent="0.25">
      <c r="A219" s="9">
        <v>571</v>
      </c>
      <c r="B219" s="10">
        <v>45016</v>
      </c>
      <c r="C219" s="9">
        <v>8</v>
      </c>
      <c r="D219" s="9" t="str">
        <f>"1799"</f>
        <v>1799</v>
      </c>
      <c r="E219" s="9" t="str">
        <f>"Прочие предоплаты"</f>
        <v>Прочие предоплаты</v>
      </c>
      <c r="F219" s="9" t="str">
        <f>"2"</f>
        <v>2</v>
      </c>
      <c r="G219" s="9" t="str">
        <f>"7"</f>
        <v>7</v>
      </c>
      <c r="H219" s="9" t="str">
        <f>"1"</f>
        <v>1</v>
      </c>
      <c r="I219" s="11">
        <v>57253804.509999998</v>
      </c>
    </row>
    <row r="220" spans="1:9" x14ac:dyDescent="0.25">
      <c r="A220" s="9">
        <v>574</v>
      </c>
      <c r="B220" s="10">
        <v>45016</v>
      </c>
      <c r="C220" s="9">
        <v>8</v>
      </c>
      <c r="D220" s="9" t="str">
        <f>"1799"</f>
        <v>1799</v>
      </c>
      <c r="E220" s="9" t="str">
        <f>"Прочие предоплаты"</f>
        <v>Прочие предоплаты</v>
      </c>
      <c r="F220" s="9" t="str">
        <f>"1"</f>
        <v>1</v>
      </c>
      <c r="G220" s="9" t="str">
        <f>"5"</f>
        <v>5</v>
      </c>
      <c r="H220" s="9" t="str">
        <f>"1"</f>
        <v>1</v>
      </c>
      <c r="I220" s="11">
        <v>79562</v>
      </c>
    </row>
    <row r="221" spans="1:9" x14ac:dyDescent="0.25">
      <c r="A221" s="9">
        <v>575</v>
      </c>
      <c r="B221" s="10">
        <v>45016</v>
      </c>
      <c r="C221" s="9">
        <v>8</v>
      </c>
      <c r="D221" s="9" t="str">
        <f>"1799"</f>
        <v>1799</v>
      </c>
      <c r="E221" s="9" t="str">
        <f>"Прочие предоплаты"</f>
        <v>Прочие предоплаты</v>
      </c>
      <c r="F221" s="9" t="str">
        <f>"1"</f>
        <v>1</v>
      </c>
      <c r="G221" s="9" t="str">
        <f>"4"</f>
        <v>4</v>
      </c>
      <c r="H221" s="9" t="str">
        <f>"1"</f>
        <v>1</v>
      </c>
      <c r="I221" s="11">
        <v>0</v>
      </c>
    </row>
    <row r="222" spans="1:9" x14ac:dyDescent="0.25">
      <c r="A222" s="9">
        <v>576</v>
      </c>
      <c r="B222" s="10">
        <v>45016</v>
      </c>
      <c r="C222" s="9">
        <v>8</v>
      </c>
      <c r="D222" s="9" t="str">
        <f>"1799"</f>
        <v>1799</v>
      </c>
      <c r="E222" s="9" t="str">
        <f>"Прочие предоплаты"</f>
        <v>Прочие предоплаты</v>
      </c>
      <c r="F222" s="9" t="str">
        <f>"1"</f>
        <v>1</v>
      </c>
      <c r="G222" s="9" t="str">
        <f>"9"</f>
        <v>9</v>
      </c>
      <c r="H222" s="9" t="str">
        <f>"1"</f>
        <v>1</v>
      </c>
      <c r="I222" s="11">
        <v>5642605</v>
      </c>
    </row>
    <row r="223" spans="1:9" x14ac:dyDescent="0.25">
      <c r="A223" s="9">
        <v>578</v>
      </c>
      <c r="B223" s="10">
        <v>45016</v>
      </c>
      <c r="C223" s="9">
        <v>8</v>
      </c>
      <c r="D223" s="9" t="str">
        <f>"1799"</f>
        <v>1799</v>
      </c>
      <c r="E223" s="9" t="str">
        <f>"Прочие предоплаты"</f>
        <v>Прочие предоплаты</v>
      </c>
      <c r="F223" s="9" t="str">
        <f>"1"</f>
        <v>1</v>
      </c>
      <c r="G223" s="9" t="str">
        <f>"7"</f>
        <v>7</v>
      </c>
      <c r="H223" s="9" t="str">
        <f>"1"</f>
        <v>1</v>
      </c>
      <c r="I223" s="11">
        <v>86199803.439999998</v>
      </c>
    </row>
    <row r="224" spans="1:9" x14ac:dyDescent="0.25">
      <c r="A224" s="9">
        <v>572</v>
      </c>
      <c r="B224" s="10">
        <v>45016</v>
      </c>
      <c r="C224" s="9">
        <v>8</v>
      </c>
      <c r="D224" s="9" t="str">
        <f>"1811"</f>
        <v>1811</v>
      </c>
      <c r="E224" s="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4" s="9" t="str">
        <f>"1"</f>
        <v>1</v>
      </c>
      <c r="G224" s="9" t="str">
        <f>""</f>
        <v/>
      </c>
      <c r="H224" s="9" t="str">
        <f>"1"</f>
        <v>1</v>
      </c>
      <c r="I224" s="11">
        <v>508961.82</v>
      </c>
    </row>
    <row r="225" spans="1:9" x14ac:dyDescent="0.25">
      <c r="A225" s="9">
        <v>573</v>
      </c>
      <c r="B225" s="10">
        <v>45016</v>
      </c>
      <c r="C225" s="9">
        <v>8</v>
      </c>
      <c r="D225" s="9" t="str">
        <f>"1811"</f>
        <v>1811</v>
      </c>
      <c r="E225" s="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5" s="9" t="str">
        <f>"2"</f>
        <v>2</v>
      </c>
      <c r="G225" s="9" t="str">
        <f>""</f>
        <v/>
      </c>
      <c r="H225" s="9" t="str">
        <f>"1"</f>
        <v>1</v>
      </c>
      <c r="I225" s="11">
        <v>216173.51</v>
      </c>
    </row>
    <row r="226" spans="1:9" x14ac:dyDescent="0.25">
      <c r="A226" s="9">
        <v>577</v>
      </c>
      <c r="B226" s="10">
        <v>45016</v>
      </c>
      <c r="C226" s="9">
        <v>8</v>
      </c>
      <c r="D226" s="9" t="str">
        <f>"1816"</f>
        <v>1816</v>
      </c>
      <c r="E226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6" s="9" t="str">
        <f>"1"</f>
        <v>1</v>
      </c>
      <c r="G226" s="9" t="str">
        <f>""</f>
        <v/>
      </c>
      <c r="H226" s="9" t="str">
        <f>"1"</f>
        <v>1</v>
      </c>
      <c r="I226" s="11">
        <v>96262742.849999994</v>
      </c>
    </row>
    <row r="227" spans="1:9" x14ac:dyDescent="0.25">
      <c r="A227" s="9">
        <v>579</v>
      </c>
      <c r="B227" s="10">
        <v>45016</v>
      </c>
      <c r="C227" s="9">
        <v>8</v>
      </c>
      <c r="D227" s="9" t="str">
        <f>"1816"</f>
        <v>1816</v>
      </c>
      <c r="E227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7" s="9" t="str">
        <f>"1"</f>
        <v>1</v>
      </c>
      <c r="G227" s="9" t="str">
        <f>""</f>
        <v/>
      </c>
      <c r="H227" s="9" t="str">
        <f>"2"</f>
        <v>2</v>
      </c>
      <c r="I227" s="11">
        <v>3848062.97</v>
      </c>
    </row>
    <row r="228" spans="1:9" x14ac:dyDescent="0.25">
      <c r="A228" s="9">
        <v>595</v>
      </c>
      <c r="B228" s="10">
        <v>45016</v>
      </c>
      <c r="C228" s="9">
        <v>8</v>
      </c>
      <c r="D228" s="9" t="str">
        <f>"1816"</f>
        <v>1816</v>
      </c>
      <c r="E228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8" s="9" t="str">
        <f>"1"</f>
        <v>1</v>
      </c>
      <c r="G228" s="9" t="str">
        <f>""</f>
        <v/>
      </c>
      <c r="H228" s="9" t="str">
        <f>"3"</f>
        <v>3</v>
      </c>
      <c r="I228" s="11">
        <v>65041078.960000001</v>
      </c>
    </row>
    <row r="229" spans="1:9" x14ac:dyDescent="0.25">
      <c r="A229" s="9">
        <v>356</v>
      </c>
      <c r="B229" s="10">
        <v>45016</v>
      </c>
      <c r="C229" s="9">
        <v>8</v>
      </c>
      <c r="D229" s="9" t="str">
        <f>"1817"</f>
        <v>1817</v>
      </c>
      <c r="E229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29" s="9" t="str">
        <f>"2"</f>
        <v>2</v>
      </c>
      <c r="G229" s="9" t="str">
        <f>""</f>
        <v/>
      </c>
      <c r="H229" s="9" t="str">
        <f>"1"</f>
        <v>1</v>
      </c>
      <c r="I229" s="11">
        <v>25624.87</v>
      </c>
    </row>
    <row r="230" spans="1:9" x14ac:dyDescent="0.25">
      <c r="A230" s="9">
        <v>580</v>
      </c>
      <c r="B230" s="10">
        <v>45016</v>
      </c>
      <c r="C230" s="9">
        <v>8</v>
      </c>
      <c r="D230" s="9" t="str">
        <f>"1817"</f>
        <v>1817</v>
      </c>
      <c r="E230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0" s="9" t="str">
        <f>"1"</f>
        <v>1</v>
      </c>
      <c r="G230" s="9" t="str">
        <f>""</f>
        <v/>
      </c>
      <c r="H230" s="9" t="str">
        <f>"1"</f>
        <v>1</v>
      </c>
      <c r="I230" s="11">
        <v>14919951.880000001</v>
      </c>
    </row>
    <row r="231" spans="1:9" x14ac:dyDescent="0.25">
      <c r="A231" s="9">
        <v>581</v>
      </c>
      <c r="B231" s="10">
        <v>45016</v>
      </c>
      <c r="C231" s="9">
        <v>8</v>
      </c>
      <c r="D231" s="9" t="str">
        <f>"1818"</f>
        <v>1818</v>
      </c>
      <c r="E231" s="9" t="str">
        <f>"Начисленные прочие комиссионные доходы"</f>
        <v>Начисленные прочие комиссионные доходы</v>
      </c>
      <c r="F231" s="9" t="str">
        <f>"1"</f>
        <v>1</v>
      </c>
      <c r="G231" s="9" t="str">
        <f>""</f>
        <v/>
      </c>
      <c r="H231" s="9" t="str">
        <f>"1"</f>
        <v>1</v>
      </c>
      <c r="I231" s="11">
        <v>3351988.53</v>
      </c>
    </row>
    <row r="232" spans="1:9" x14ac:dyDescent="0.25">
      <c r="A232" s="9">
        <v>583</v>
      </c>
      <c r="B232" s="10">
        <v>45016</v>
      </c>
      <c r="C232" s="9">
        <v>8</v>
      </c>
      <c r="D232" s="9" t="str">
        <f>"1818"</f>
        <v>1818</v>
      </c>
      <c r="E232" s="9" t="str">
        <f>"Начисленные прочие комиссионные доходы"</f>
        <v>Начисленные прочие комиссионные доходы</v>
      </c>
      <c r="F232" s="9" t="str">
        <f>"2"</f>
        <v>2</v>
      </c>
      <c r="G232" s="9" t="str">
        <f>""</f>
        <v/>
      </c>
      <c r="H232" s="9" t="str">
        <f>"1"</f>
        <v>1</v>
      </c>
      <c r="I232" s="11">
        <v>43588.639999999999</v>
      </c>
    </row>
    <row r="233" spans="1:9" x14ac:dyDescent="0.25">
      <c r="A233" s="9">
        <v>589</v>
      </c>
      <c r="B233" s="10">
        <v>45016</v>
      </c>
      <c r="C233" s="9">
        <v>8</v>
      </c>
      <c r="D233" s="9" t="str">
        <f>"1819"</f>
        <v>1819</v>
      </c>
      <c r="E233" s="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233" s="9" t="str">
        <f>"1"</f>
        <v>1</v>
      </c>
      <c r="G233" s="9" t="str">
        <f>""</f>
        <v/>
      </c>
      <c r="H233" s="9" t="str">
        <f>"1"</f>
        <v>1</v>
      </c>
      <c r="I233" s="11">
        <v>8488680.4299999997</v>
      </c>
    </row>
    <row r="234" spans="1:9" x14ac:dyDescent="0.25">
      <c r="A234" s="9">
        <v>582</v>
      </c>
      <c r="B234" s="10">
        <v>45016</v>
      </c>
      <c r="C234" s="9">
        <v>8</v>
      </c>
      <c r="D234" s="9" t="str">
        <f>"1821"</f>
        <v>1821</v>
      </c>
      <c r="E234" s="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34" s="9" t="str">
        <f>"1"</f>
        <v>1</v>
      </c>
      <c r="G234" s="9" t="str">
        <f>""</f>
        <v/>
      </c>
      <c r="H234" s="9" t="str">
        <f>"1"</f>
        <v>1</v>
      </c>
      <c r="I234" s="11">
        <v>11025</v>
      </c>
    </row>
    <row r="235" spans="1:9" x14ac:dyDescent="0.25">
      <c r="A235" s="9">
        <v>584</v>
      </c>
      <c r="B235" s="10">
        <v>45016</v>
      </c>
      <c r="C235" s="9">
        <v>8</v>
      </c>
      <c r="D235" s="9" t="str">
        <f>"1831"</f>
        <v>1831</v>
      </c>
      <c r="E235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35" s="9" t="str">
        <f>"1"</f>
        <v>1</v>
      </c>
      <c r="G235" s="9" t="str">
        <f>""</f>
        <v/>
      </c>
      <c r="H235" s="9" t="str">
        <f>"1"</f>
        <v>1</v>
      </c>
      <c r="I235" s="11">
        <v>3023173.85</v>
      </c>
    </row>
    <row r="236" spans="1:9" x14ac:dyDescent="0.25">
      <c r="A236" s="9">
        <v>585</v>
      </c>
      <c r="B236" s="10">
        <v>45016</v>
      </c>
      <c r="C236" s="9">
        <v>8</v>
      </c>
      <c r="D236" s="9" t="str">
        <f>"1831"</f>
        <v>1831</v>
      </c>
      <c r="E236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36" s="9" t="str">
        <f>"2"</f>
        <v>2</v>
      </c>
      <c r="G236" s="9" t="str">
        <f>""</f>
        <v/>
      </c>
      <c r="H236" s="9" t="str">
        <f>"1"</f>
        <v>1</v>
      </c>
      <c r="I236" s="11">
        <v>78718.61</v>
      </c>
    </row>
    <row r="237" spans="1:9" x14ac:dyDescent="0.25">
      <c r="A237" s="9">
        <v>586</v>
      </c>
      <c r="B237" s="10">
        <v>45016</v>
      </c>
      <c r="C237" s="9">
        <v>8</v>
      </c>
      <c r="D237" s="9" t="str">
        <f>"1836"</f>
        <v>1836</v>
      </c>
      <c r="E237" s="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37" s="9" t="str">
        <f>"1"</f>
        <v>1</v>
      </c>
      <c r="G237" s="9" t="str">
        <f>""</f>
        <v/>
      </c>
      <c r="H237" s="9" t="str">
        <f>"1"</f>
        <v>1</v>
      </c>
      <c r="I237" s="11">
        <v>131467594.06</v>
      </c>
    </row>
    <row r="238" spans="1:9" x14ac:dyDescent="0.25">
      <c r="A238" s="9">
        <v>587</v>
      </c>
      <c r="B238" s="10">
        <v>45016</v>
      </c>
      <c r="C238" s="9">
        <v>8</v>
      </c>
      <c r="D238" s="9" t="str">
        <f>"1837"</f>
        <v>1837</v>
      </c>
      <c r="E238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8" s="9" t="str">
        <f>"2"</f>
        <v>2</v>
      </c>
      <c r="G238" s="9" t="str">
        <f>""</f>
        <v/>
      </c>
      <c r="H238" s="9" t="str">
        <f>"1"</f>
        <v>1</v>
      </c>
      <c r="I238" s="11">
        <v>2349174.88</v>
      </c>
    </row>
    <row r="239" spans="1:9" x14ac:dyDescent="0.25">
      <c r="A239" s="9">
        <v>588</v>
      </c>
      <c r="B239" s="10">
        <v>45016</v>
      </c>
      <c r="C239" s="9">
        <v>8</v>
      </c>
      <c r="D239" s="9" t="str">
        <f>"1837"</f>
        <v>1837</v>
      </c>
      <c r="E239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39" s="9" t="str">
        <f>"1"</f>
        <v>1</v>
      </c>
      <c r="G239" s="9" t="str">
        <f>""</f>
        <v/>
      </c>
      <c r="H239" s="9" t="str">
        <f>"1"</f>
        <v>1</v>
      </c>
      <c r="I239" s="11">
        <v>31219552.57</v>
      </c>
    </row>
    <row r="240" spans="1:9" x14ac:dyDescent="0.25">
      <c r="A240" s="9">
        <v>590</v>
      </c>
      <c r="B240" s="10">
        <v>45016</v>
      </c>
      <c r="C240" s="9">
        <v>8</v>
      </c>
      <c r="D240" s="9" t="str">
        <f>"1838"</f>
        <v>1838</v>
      </c>
      <c r="E240" s="9" t="str">
        <f>"Просроченные прочие комиссионные доходы"</f>
        <v>Просроченные прочие комиссионные доходы</v>
      </c>
      <c r="F240" s="9" t="str">
        <f>"2"</f>
        <v>2</v>
      </c>
      <c r="G240" s="9" t="str">
        <f>""</f>
        <v/>
      </c>
      <c r="H240" s="9" t="str">
        <f>"1"</f>
        <v>1</v>
      </c>
      <c r="I240" s="11">
        <v>132189.82999999999</v>
      </c>
    </row>
    <row r="241" spans="1:9" x14ac:dyDescent="0.25">
      <c r="A241" s="9">
        <v>605</v>
      </c>
      <c r="B241" s="10">
        <v>45016</v>
      </c>
      <c r="C241" s="9">
        <v>8</v>
      </c>
      <c r="D241" s="9" t="str">
        <f>"1838"</f>
        <v>1838</v>
      </c>
      <c r="E241" s="9" t="str">
        <f>"Просроченные прочие комиссионные доходы"</f>
        <v>Просроченные прочие комиссионные доходы</v>
      </c>
      <c r="F241" s="9" t="str">
        <f>"1"</f>
        <v>1</v>
      </c>
      <c r="G241" s="9" t="str">
        <f>""</f>
        <v/>
      </c>
      <c r="H241" s="9" t="str">
        <f>"1"</f>
        <v>1</v>
      </c>
      <c r="I241" s="11">
        <v>251780811.87</v>
      </c>
    </row>
    <row r="242" spans="1:9" x14ac:dyDescent="0.25">
      <c r="A242" s="9">
        <v>592</v>
      </c>
      <c r="B242" s="10">
        <v>45016</v>
      </c>
      <c r="C242" s="9">
        <v>8</v>
      </c>
      <c r="D242" s="9" t="str">
        <f>"1841"</f>
        <v>1841</v>
      </c>
      <c r="E242" s="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42" s="9" t="str">
        <f>"1"</f>
        <v>1</v>
      </c>
      <c r="G242" s="9" t="str">
        <f>""</f>
        <v/>
      </c>
      <c r="H242" s="9" t="str">
        <f>"1"</f>
        <v>1</v>
      </c>
      <c r="I242" s="11">
        <v>1477568.45</v>
      </c>
    </row>
    <row r="243" spans="1:9" x14ac:dyDescent="0.25">
      <c r="A243" s="9">
        <v>357</v>
      </c>
      <c r="B243" s="10">
        <v>45016</v>
      </c>
      <c r="C243" s="9">
        <v>8</v>
      </c>
      <c r="D243" s="9" t="str">
        <f>"1845"</f>
        <v>1845</v>
      </c>
      <c r="E243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3" s="9" t="str">
        <f>"1"</f>
        <v>1</v>
      </c>
      <c r="G243" s="9" t="str">
        <f>""</f>
        <v/>
      </c>
      <c r="H243" s="9" t="str">
        <f>"3"</f>
        <v>3</v>
      </c>
      <c r="I243" s="11">
        <v>-54297.06</v>
      </c>
    </row>
    <row r="244" spans="1:9" x14ac:dyDescent="0.25">
      <c r="A244" s="9">
        <v>358</v>
      </c>
      <c r="B244" s="10">
        <v>45016</v>
      </c>
      <c r="C244" s="9">
        <v>8</v>
      </c>
      <c r="D244" s="9" t="str">
        <f>"1845"</f>
        <v>1845</v>
      </c>
      <c r="E244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4" s="9" t="str">
        <f>"1"</f>
        <v>1</v>
      </c>
      <c r="G244" s="9" t="str">
        <f>""</f>
        <v/>
      </c>
      <c r="H244" s="9" t="str">
        <f>"2"</f>
        <v>2</v>
      </c>
      <c r="I244" s="11">
        <v>-82671.360000000001</v>
      </c>
    </row>
    <row r="245" spans="1:9" x14ac:dyDescent="0.25">
      <c r="A245" s="9">
        <v>593</v>
      </c>
      <c r="B245" s="10">
        <v>45016</v>
      </c>
      <c r="C245" s="9">
        <v>8</v>
      </c>
      <c r="D245" s="9" t="str">
        <f>"1845"</f>
        <v>1845</v>
      </c>
      <c r="E245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5" s="9" t="str">
        <f>"2"</f>
        <v>2</v>
      </c>
      <c r="G245" s="9" t="str">
        <f>""</f>
        <v/>
      </c>
      <c r="H245" s="9" t="str">
        <f>"1"</f>
        <v>1</v>
      </c>
      <c r="I245" s="11">
        <v>-31822.17</v>
      </c>
    </row>
    <row r="246" spans="1:9" x14ac:dyDescent="0.25">
      <c r="A246" s="9">
        <v>594</v>
      </c>
      <c r="B246" s="10">
        <v>45016</v>
      </c>
      <c r="C246" s="9">
        <v>8</v>
      </c>
      <c r="D246" s="9" t="str">
        <f>"1845"</f>
        <v>1845</v>
      </c>
      <c r="E246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46" s="9" t="str">
        <f>"1"</f>
        <v>1</v>
      </c>
      <c r="G246" s="9" t="str">
        <f>""</f>
        <v/>
      </c>
      <c r="H246" s="9" t="str">
        <f>"1"</f>
        <v>1</v>
      </c>
      <c r="I246" s="11">
        <v>-272644743.70999998</v>
      </c>
    </row>
    <row r="247" spans="1:9" x14ac:dyDescent="0.25">
      <c r="A247" s="9">
        <v>599</v>
      </c>
      <c r="B247" s="10">
        <v>45016</v>
      </c>
      <c r="C247" s="9">
        <v>8</v>
      </c>
      <c r="D247" s="9" t="str">
        <f>"1851"</f>
        <v>1851</v>
      </c>
      <c r="E247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47" s="9" t="str">
        <f>"1"</f>
        <v>1</v>
      </c>
      <c r="G247" s="9" t="str">
        <f>"1"</f>
        <v>1</v>
      </c>
      <c r="H247" s="9" t="str">
        <f>"1"</f>
        <v>1</v>
      </c>
      <c r="I247" s="11">
        <v>969501789.12</v>
      </c>
    </row>
    <row r="248" spans="1:9" x14ac:dyDescent="0.25">
      <c r="A248" s="9">
        <v>591</v>
      </c>
      <c r="B248" s="10">
        <v>45016</v>
      </c>
      <c r="C248" s="9">
        <v>8</v>
      </c>
      <c r="D248" s="9" t="str">
        <f>"1854"</f>
        <v>1854</v>
      </c>
      <c r="E248" s="9" t="str">
        <f>"Расчеты с работниками"</f>
        <v>Расчеты с работниками</v>
      </c>
      <c r="F248" s="9" t="str">
        <f>""</f>
        <v/>
      </c>
      <c r="G248" s="9" t="str">
        <f>""</f>
        <v/>
      </c>
      <c r="H248" s="9" t="str">
        <f>""</f>
        <v/>
      </c>
      <c r="I248" s="11">
        <v>15682406.710000001</v>
      </c>
    </row>
    <row r="249" spans="1:9" x14ac:dyDescent="0.25">
      <c r="A249" s="9">
        <v>597</v>
      </c>
      <c r="B249" s="10">
        <v>45016</v>
      </c>
      <c r="C249" s="9">
        <v>8</v>
      </c>
      <c r="D249" s="9" t="str">
        <f>"1855"</f>
        <v>1855</v>
      </c>
      <c r="E249" s="9" t="str">
        <f>"Дебиторы по документарным расчетам"</f>
        <v>Дебиторы по документарным расчетам</v>
      </c>
      <c r="F249" s="9" t="str">
        <f>"1"</f>
        <v>1</v>
      </c>
      <c r="G249" s="9" t="str">
        <f>"7"</f>
        <v>7</v>
      </c>
      <c r="H249" s="9" t="str">
        <f>"2"</f>
        <v>2</v>
      </c>
      <c r="I249" s="11">
        <v>1103133965.76</v>
      </c>
    </row>
    <row r="250" spans="1:9" x14ac:dyDescent="0.25">
      <c r="A250" s="9">
        <v>596</v>
      </c>
      <c r="B250" s="10">
        <v>45016</v>
      </c>
      <c r="C250" s="9">
        <v>8</v>
      </c>
      <c r="D250" s="9" t="str">
        <f>"1856"</f>
        <v>1856</v>
      </c>
      <c r="E250" s="9" t="str">
        <f>"Дебиторы по капитальным вложениям"</f>
        <v>Дебиторы по капитальным вложениям</v>
      </c>
      <c r="F250" s="9" t="str">
        <f>"1"</f>
        <v>1</v>
      </c>
      <c r="G250" s="9" t="str">
        <f>"7"</f>
        <v>7</v>
      </c>
      <c r="H250" s="9" t="str">
        <f>"1"</f>
        <v>1</v>
      </c>
      <c r="I250" s="11">
        <v>319153059.60000002</v>
      </c>
    </row>
    <row r="251" spans="1:9" x14ac:dyDescent="0.25">
      <c r="A251" s="9">
        <v>598</v>
      </c>
      <c r="B251" s="10">
        <v>45016</v>
      </c>
      <c r="C251" s="9">
        <v>8</v>
      </c>
      <c r="D251" s="9" t="str">
        <f>"1856"</f>
        <v>1856</v>
      </c>
      <c r="E251" s="9" t="str">
        <f>"Дебиторы по капитальным вложениям"</f>
        <v>Дебиторы по капитальным вложениям</v>
      </c>
      <c r="F251" s="9" t="str">
        <f>"2"</f>
        <v>2</v>
      </c>
      <c r="G251" s="9" t="str">
        <f>"7"</f>
        <v>7</v>
      </c>
      <c r="H251" s="9" t="str">
        <f>"1"</f>
        <v>1</v>
      </c>
      <c r="I251" s="11">
        <v>7526949.4500000002</v>
      </c>
    </row>
    <row r="252" spans="1:9" x14ac:dyDescent="0.25">
      <c r="A252" s="9">
        <v>600</v>
      </c>
      <c r="B252" s="10">
        <v>45016</v>
      </c>
      <c r="C252" s="9">
        <v>8</v>
      </c>
      <c r="D252" s="9" t="str">
        <f>"1860"</f>
        <v>1860</v>
      </c>
      <c r="E252" s="9" t="str">
        <f>"Прочие дебиторы по банковской деятельности"</f>
        <v>Прочие дебиторы по банковской деятельности</v>
      </c>
      <c r="F252" s="9" t="str">
        <f>"1"</f>
        <v>1</v>
      </c>
      <c r="G252" s="9" t="str">
        <f>"4"</f>
        <v>4</v>
      </c>
      <c r="H252" s="9" t="str">
        <f>"2"</f>
        <v>2</v>
      </c>
      <c r="I252" s="11">
        <v>13739852.789999999</v>
      </c>
    </row>
    <row r="253" spans="1:9" x14ac:dyDescent="0.25">
      <c r="A253" s="9">
        <v>601</v>
      </c>
      <c r="B253" s="10">
        <v>45016</v>
      </c>
      <c r="C253" s="9">
        <v>8</v>
      </c>
      <c r="D253" s="9" t="str">
        <f>"1860"</f>
        <v>1860</v>
      </c>
      <c r="E253" s="9" t="str">
        <f>"Прочие дебиторы по банковской деятельности"</f>
        <v>Прочие дебиторы по банковской деятельности</v>
      </c>
      <c r="F253" s="9" t="str">
        <f>"1"</f>
        <v>1</v>
      </c>
      <c r="G253" s="9" t="str">
        <f>"4"</f>
        <v>4</v>
      </c>
      <c r="H253" s="9" t="str">
        <f>"1"</f>
        <v>1</v>
      </c>
      <c r="I253" s="11">
        <v>284289853.29000002</v>
      </c>
    </row>
    <row r="254" spans="1:9" x14ac:dyDescent="0.25">
      <c r="A254" s="9">
        <v>602</v>
      </c>
      <c r="B254" s="10">
        <v>45016</v>
      </c>
      <c r="C254" s="9">
        <v>8</v>
      </c>
      <c r="D254" s="9" t="str">
        <f>"1860"</f>
        <v>1860</v>
      </c>
      <c r="E254" s="9" t="str">
        <f>"Прочие дебиторы по банковской деятельности"</f>
        <v>Прочие дебиторы по банковской деятельности</v>
      </c>
      <c r="F254" s="9" t="str">
        <f>"1"</f>
        <v>1</v>
      </c>
      <c r="G254" s="9" t="str">
        <f>"9"</f>
        <v>9</v>
      </c>
      <c r="H254" s="9" t="str">
        <f>"3"</f>
        <v>3</v>
      </c>
      <c r="I254" s="11">
        <v>70.849999999999994</v>
      </c>
    </row>
    <row r="255" spans="1:9" x14ac:dyDescent="0.25">
      <c r="A255" s="9">
        <v>603</v>
      </c>
      <c r="B255" s="10">
        <v>45016</v>
      </c>
      <c r="C255" s="9">
        <v>8</v>
      </c>
      <c r="D255" s="9" t="str">
        <f>"1860"</f>
        <v>1860</v>
      </c>
      <c r="E255" s="9" t="str">
        <f>"Прочие дебиторы по банковской деятельности"</f>
        <v>Прочие дебиторы по банковской деятельности</v>
      </c>
      <c r="F255" s="9" t="str">
        <f>"1"</f>
        <v>1</v>
      </c>
      <c r="G255" s="9" t="str">
        <f>"5"</f>
        <v>5</v>
      </c>
      <c r="H255" s="9" t="str">
        <f>"1"</f>
        <v>1</v>
      </c>
      <c r="I255" s="11">
        <v>1762805</v>
      </c>
    </row>
    <row r="256" spans="1:9" x14ac:dyDescent="0.25">
      <c r="A256" s="9">
        <v>604</v>
      </c>
      <c r="B256" s="10">
        <v>45016</v>
      </c>
      <c r="C256" s="9">
        <v>8</v>
      </c>
      <c r="D256" s="9" t="str">
        <f>"1860"</f>
        <v>1860</v>
      </c>
      <c r="E256" s="9" t="str">
        <f>"Прочие дебиторы по банковской деятельности"</f>
        <v>Прочие дебиторы по банковской деятельности</v>
      </c>
      <c r="F256" s="9" t="str">
        <f>"1"</f>
        <v>1</v>
      </c>
      <c r="G256" s="9" t="str">
        <f>"9"</f>
        <v>9</v>
      </c>
      <c r="H256" s="9" t="str">
        <f>"1"</f>
        <v>1</v>
      </c>
      <c r="I256" s="11">
        <v>344968154.06999999</v>
      </c>
    </row>
    <row r="257" spans="1:9" x14ac:dyDescent="0.25">
      <c r="A257" s="9">
        <v>606</v>
      </c>
      <c r="B257" s="10">
        <v>45016</v>
      </c>
      <c r="C257" s="9">
        <v>8</v>
      </c>
      <c r="D257" s="9" t="str">
        <f>"1860"</f>
        <v>1860</v>
      </c>
      <c r="E257" s="9" t="str">
        <f>"Прочие дебиторы по банковской деятельности"</f>
        <v>Прочие дебиторы по банковской деятельности</v>
      </c>
      <c r="F257" s="9" t="str">
        <f>"1"</f>
        <v>1</v>
      </c>
      <c r="G257" s="9" t="str">
        <f>"7"</f>
        <v>7</v>
      </c>
      <c r="H257" s="9" t="str">
        <f>"1"</f>
        <v>1</v>
      </c>
      <c r="I257" s="11">
        <v>925057819.97000003</v>
      </c>
    </row>
    <row r="258" spans="1:9" x14ac:dyDescent="0.25">
      <c r="A258" s="9">
        <v>607</v>
      </c>
      <c r="B258" s="10">
        <v>45016</v>
      </c>
      <c r="C258" s="9">
        <v>8</v>
      </c>
      <c r="D258" s="9" t="str">
        <f>"1860"</f>
        <v>1860</v>
      </c>
      <c r="E258" s="9" t="str">
        <f>"Прочие дебиторы по банковской деятельности"</f>
        <v>Прочие дебиторы по банковской деятельности</v>
      </c>
      <c r="F258" s="9" t="str">
        <f>"2"</f>
        <v>2</v>
      </c>
      <c r="G258" s="9" t="str">
        <f>"9"</f>
        <v>9</v>
      </c>
      <c r="H258" s="9" t="str">
        <f>"2"</f>
        <v>2</v>
      </c>
      <c r="I258" s="11">
        <v>72011.61</v>
      </c>
    </row>
    <row r="259" spans="1:9" x14ac:dyDescent="0.25">
      <c r="A259" s="9">
        <v>608</v>
      </c>
      <c r="B259" s="10">
        <v>45016</v>
      </c>
      <c r="C259" s="9">
        <v>8</v>
      </c>
      <c r="D259" s="9" t="str">
        <f>"1860"</f>
        <v>1860</v>
      </c>
      <c r="E259" s="9" t="str">
        <f>"Прочие дебиторы по банковской деятельности"</f>
        <v>Прочие дебиторы по банковской деятельности</v>
      </c>
      <c r="F259" s="9" t="str">
        <f>"2"</f>
        <v>2</v>
      </c>
      <c r="G259" s="9" t="str">
        <f>"7"</f>
        <v>7</v>
      </c>
      <c r="H259" s="9" t="str">
        <f>"2"</f>
        <v>2</v>
      </c>
      <c r="I259" s="11">
        <v>737.46</v>
      </c>
    </row>
    <row r="260" spans="1:9" x14ac:dyDescent="0.25">
      <c r="A260" s="9">
        <v>609</v>
      </c>
      <c r="B260" s="10">
        <v>45016</v>
      </c>
      <c r="C260" s="9">
        <v>8</v>
      </c>
      <c r="D260" s="9" t="str">
        <f>"1860"</f>
        <v>1860</v>
      </c>
      <c r="E260" s="9" t="str">
        <f>"Прочие дебиторы по банковской деятельности"</f>
        <v>Прочие дебиторы по банковской деятельности</v>
      </c>
      <c r="F260" s="9" t="str">
        <f>"1"</f>
        <v>1</v>
      </c>
      <c r="G260" s="9" t="str">
        <f>"9"</f>
        <v>9</v>
      </c>
      <c r="H260" s="9" t="str">
        <f>"2"</f>
        <v>2</v>
      </c>
      <c r="I260" s="11">
        <v>4244195.1900000004</v>
      </c>
    </row>
    <row r="261" spans="1:9" x14ac:dyDescent="0.25">
      <c r="A261" s="9">
        <v>610</v>
      </c>
      <c r="B261" s="10">
        <v>45016</v>
      </c>
      <c r="C261" s="9">
        <v>8</v>
      </c>
      <c r="D261" s="9" t="str">
        <f>"1860"</f>
        <v>1860</v>
      </c>
      <c r="E261" s="9" t="str">
        <f>"Прочие дебиторы по банковской деятельности"</f>
        <v>Прочие дебиторы по банковской деятельности</v>
      </c>
      <c r="F261" s="9" t="str">
        <f>"2"</f>
        <v>2</v>
      </c>
      <c r="G261" s="9" t="str">
        <f>"9"</f>
        <v>9</v>
      </c>
      <c r="H261" s="9" t="str">
        <f>"1"</f>
        <v>1</v>
      </c>
      <c r="I261" s="11">
        <v>18134616.390000001</v>
      </c>
    </row>
    <row r="262" spans="1:9" x14ac:dyDescent="0.25">
      <c r="A262" s="9">
        <v>612</v>
      </c>
      <c r="B262" s="10">
        <v>45016</v>
      </c>
      <c r="C262" s="9">
        <v>8</v>
      </c>
      <c r="D262" s="9" t="str">
        <f>"1861"</f>
        <v>1861</v>
      </c>
      <c r="E262" s="9" t="str">
        <f>"Дебиторы по гарантиям"</f>
        <v>Дебиторы по гарантиям</v>
      </c>
      <c r="F262" s="9" t="str">
        <f>"1"</f>
        <v>1</v>
      </c>
      <c r="G262" s="9" t="str">
        <f>"7"</f>
        <v>7</v>
      </c>
      <c r="H262" s="9" t="str">
        <f>"1"</f>
        <v>1</v>
      </c>
      <c r="I262" s="11">
        <v>1184536702.1199999</v>
      </c>
    </row>
    <row r="263" spans="1:9" x14ac:dyDescent="0.25">
      <c r="A263" s="9">
        <v>613</v>
      </c>
      <c r="B263" s="10">
        <v>45016</v>
      </c>
      <c r="C263" s="9">
        <v>8</v>
      </c>
      <c r="D263" s="9" t="str">
        <f>"1861"</f>
        <v>1861</v>
      </c>
      <c r="E263" s="9" t="str">
        <f>"Дебиторы по гарантиям"</f>
        <v>Дебиторы по гарантиям</v>
      </c>
      <c r="F263" s="9" t="str">
        <f>"1"</f>
        <v>1</v>
      </c>
      <c r="G263" s="9" t="str">
        <f>"9"</f>
        <v>9</v>
      </c>
      <c r="H263" s="9" t="str">
        <f>"1"</f>
        <v>1</v>
      </c>
      <c r="I263" s="11">
        <v>1864596232.8599999</v>
      </c>
    </row>
    <row r="264" spans="1:9" x14ac:dyDescent="0.25">
      <c r="A264" s="9">
        <v>611</v>
      </c>
      <c r="B264" s="10">
        <v>45016</v>
      </c>
      <c r="C264" s="9">
        <v>8</v>
      </c>
      <c r="D264" s="9" t="str">
        <f>"1867"</f>
        <v>1867</v>
      </c>
      <c r="E264" s="9" t="str">
        <f>"Прочие дебиторы по неосновной деятельности"</f>
        <v>Прочие дебиторы по неосновной деятельности</v>
      </c>
      <c r="F264" s="9" t="str">
        <f>"1"</f>
        <v>1</v>
      </c>
      <c r="G264" s="9" t="str">
        <f>"1"</f>
        <v>1</v>
      </c>
      <c r="H264" s="9" t="str">
        <f>"1"</f>
        <v>1</v>
      </c>
      <c r="I264" s="11">
        <v>5940</v>
      </c>
    </row>
    <row r="265" spans="1:9" x14ac:dyDescent="0.25">
      <c r="A265" s="9">
        <v>614</v>
      </c>
      <c r="B265" s="10">
        <v>45016</v>
      </c>
      <c r="C265" s="9">
        <v>8</v>
      </c>
      <c r="D265" s="9" t="str">
        <f>"1867"</f>
        <v>1867</v>
      </c>
      <c r="E265" s="9" t="str">
        <f>"Прочие дебиторы по неосновной деятельности"</f>
        <v>Прочие дебиторы по неосновной деятельности</v>
      </c>
      <c r="F265" s="9" t="str">
        <f>"1"</f>
        <v>1</v>
      </c>
      <c r="G265" s="9" t="str">
        <f>"6"</f>
        <v>6</v>
      </c>
      <c r="H265" s="9" t="str">
        <f>"1"</f>
        <v>1</v>
      </c>
      <c r="I265" s="11">
        <v>547401.91</v>
      </c>
    </row>
    <row r="266" spans="1:9" x14ac:dyDescent="0.25">
      <c r="A266" s="9">
        <v>615</v>
      </c>
      <c r="B266" s="10">
        <v>45016</v>
      </c>
      <c r="C266" s="9">
        <v>8</v>
      </c>
      <c r="D266" s="9" t="str">
        <f>"1867"</f>
        <v>1867</v>
      </c>
      <c r="E266" s="9" t="str">
        <f>"Прочие дебиторы по неосновной деятельности"</f>
        <v>Прочие дебиторы по неосновной деятельности</v>
      </c>
      <c r="F266" s="9" t="str">
        <f>"1"</f>
        <v>1</v>
      </c>
      <c r="G266" s="9" t="str">
        <f>"5"</f>
        <v>5</v>
      </c>
      <c r="H266" s="9" t="str">
        <f>"1"</f>
        <v>1</v>
      </c>
      <c r="I266" s="11">
        <v>690000</v>
      </c>
    </row>
    <row r="267" spans="1:9" x14ac:dyDescent="0.25">
      <c r="A267" s="9">
        <v>616</v>
      </c>
      <c r="B267" s="10">
        <v>45016</v>
      </c>
      <c r="C267" s="9">
        <v>8</v>
      </c>
      <c r="D267" s="9" t="str">
        <f>"1867"</f>
        <v>1867</v>
      </c>
      <c r="E267" s="9" t="str">
        <f>"Прочие дебиторы по неосновной деятельности"</f>
        <v>Прочие дебиторы по неосновной деятельности</v>
      </c>
      <c r="F267" s="9" t="str">
        <f>"2"</f>
        <v>2</v>
      </c>
      <c r="G267" s="9" t="str">
        <f>"9"</f>
        <v>9</v>
      </c>
      <c r="H267" s="9" t="str">
        <f>"1"</f>
        <v>1</v>
      </c>
      <c r="I267" s="11">
        <v>867420</v>
      </c>
    </row>
    <row r="268" spans="1:9" x14ac:dyDescent="0.25">
      <c r="A268" s="9">
        <v>617</v>
      </c>
      <c r="B268" s="10">
        <v>45016</v>
      </c>
      <c r="C268" s="9">
        <v>8</v>
      </c>
      <c r="D268" s="9" t="str">
        <f>"1867"</f>
        <v>1867</v>
      </c>
      <c r="E268" s="9" t="str">
        <f>"Прочие дебиторы по неосновной деятельности"</f>
        <v>Прочие дебиторы по неосновной деятельности</v>
      </c>
      <c r="F268" s="9" t="str">
        <f>"1"</f>
        <v>1</v>
      </c>
      <c r="G268" s="9" t="str">
        <f>"9"</f>
        <v>9</v>
      </c>
      <c r="H268" s="9" t="str">
        <f>"1"</f>
        <v>1</v>
      </c>
      <c r="I268" s="11">
        <v>125178100.53</v>
      </c>
    </row>
    <row r="269" spans="1:9" x14ac:dyDescent="0.25">
      <c r="A269" s="9">
        <v>618</v>
      </c>
      <c r="B269" s="10">
        <v>45016</v>
      </c>
      <c r="C269" s="9">
        <v>8</v>
      </c>
      <c r="D269" s="9" t="str">
        <f>"1867"</f>
        <v>1867</v>
      </c>
      <c r="E269" s="9" t="str">
        <f>"Прочие дебиторы по неосновной деятельности"</f>
        <v>Прочие дебиторы по неосновной деятельности</v>
      </c>
      <c r="F269" s="9" t="str">
        <f>"2"</f>
        <v>2</v>
      </c>
      <c r="G269" s="9" t="str">
        <f>"7"</f>
        <v>7</v>
      </c>
      <c r="H269" s="9" t="str">
        <f>"1"</f>
        <v>1</v>
      </c>
      <c r="I269" s="11">
        <v>33870.959999999999</v>
      </c>
    </row>
    <row r="270" spans="1:9" x14ac:dyDescent="0.25">
      <c r="A270" s="9">
        <v>621</v>
      </c>
      <c r="B270" s="10">
        <v>45016</v>
      </c>
      <c r="C270" s="9">
        <v>8</v>
      </c>
      <c r="D270" s="9" t="str">
        <f>"1867"</f>
        <v>1867</v>
      </c>
      <c r="E270" s="9" t="str">
        <f>"Прочие дебиторы по неосновной деятельности"</f>
        <v>Прочие дебиторы по неосновной деятельности</v>
      </c>
      <c r="F270" s="9" t="str">
        <f>"1"</f>
        <v>1</v>
      </c>
      <c r="G270" s="9" t="str">
        <f>"8"</f>
        <v>8</v>
      </c>
      <c r="H270" s="9" t="str">
        <f>"1"</f>
        <v>1</v>
      </c>
      <c r="I270" s="11">
        <v>5102861.63</v>
      </c>
    </row>
    <row r="271" spans="1:9" x14ac:dyDescent="0.25">
      <c r="A271" s="9">
        <v>622</v>
      </c>
      <c r="B271" s="10">
        <v>45016</v>
      </c>
      <c r="C271" s="9">
        <v>8</v>
      </c>
      <c r="D271" s="9" t="str">
        <f>"1867"</f>
        <v>1867</v>
      </c>
      <c r="E271" s="9" t="str">
        <f>"Прочие дебиторы по неосновной деятельности"</f>
        <v>Прочие дебиторы по неосновной деятельности</v>
      </c>
      <c r="F271" s="9" t="str">
        <f>"1"</f>
        <v>1</v>
      </c>
      <c r="G271" s="9" t="str">
        <f>"7"</f>
        <v>7</v>
      </c>
      <c r="H271" s="9" t="str">
        <f>"1"</f>
        <v>1</v>
      </c>
      <c r="I271" s="11">
        <v>603450065.45000005</v>
      </c>
    </row>
    <row r="272" spans="1:9" x14ac:dyDescent="0.25">
      <c r="A272" s="9">
        <v>359</v>
      </c>
      <c r="B272" s="10">
        <v>45016</v>
      </c>
      <c r="C272" s="9">
        <v>8</v>
      </c>
      <c r="D272" s="9" t="str">
        <f>"1870"</f>
        <v>1870</v>
      </c>
      <c r="E272" s="9" t="str">
        <f>"Прочие транзитные счета"</f>
        <v>Прочие транзитные счета</v>
      </c>
      <c r="F272" s="9" t="str">
        <f>"1"</f>
        <v>1</v>
      </c>
      <c r="G272" s="9" t="str">
        <f>"4"</f>
        <v>4</v>
      </c>
      <c r="H272" s="9" t="str">
        <f>"3"</f>
        <v>3</v>
      </c>
      <c r="I272" s="11">
        <v>688614.11</v>
      </c>
    </row>
    <row r="273" spans="1:9" x14ac:dyDescent="0.25">
      <c r="A273" s="9">
        <v>619</v>
      </c>
      <c r="B273" s="10">
        <v>45016</v>
      </c>
      <c r="C273" s="9">
        <v>8</v>
      </c>
      <c r="D273" s="9" t="str">
        <f>"1870"</f>
        <v>1870</v>
      </c>
      <c r="E273" s="9" t="str">
        <f>"Прочие транзитные счета"</f>
        <v>Прочие транзитные счета</v>
      </c>
      <c r="F273" s="9" t="str">
        <f>"1"</f>
        <v>1</v>
      </c>
      <c r="G273" s="9" t="str">
        <f>"4"</f>
        <v>4</v>
      </c>
      <c r="H273" s="9" t="str">
        <f>"1"</f>
        <v>1</v>
      </c>
      <c r="I273" s="11">
        <v>210023228.30000001</v>
      </c>
    </row>
    <row r="274" spans="1:9" x14ac:dyDescent="0.25">
      <c r="A274" s="9">
        <v>620</v>
      </c>
      <c r="B274" s="10">
        <v>45016</v>
      </c>
      <c r="C274" s="9">
        <v>8</v>
      </c>
      <c r="D274" s="9" t="str">
        <f>"1870"</f>
        <v>1870</v>
      </c>
      <c r="E274" s="9" t="str">
        <f>"Прочие транзитные счета"</f>
        <v>Прочие транзитные счета</v>
      </c>
      <c r="F274" s="9" t="str">
        <f>"1"</f>
        <v>1</v>
      </c>
      <c r="G274" s="9" t="str">
        <f>"4"</f>
        <v>4</v>
      </c>
      <c r="H274" s="9" t="str">
        <f>"2"</f>
        <v>2</v>
      </c>
      <c r="I274" s="11">
        <v>51078913.170000002</v>
      </c>
    </row>
    <row r="275" spans="1:9" x14ac:dyDescent="0.25">
      <c r="A275" s="9">
        <v>623</v>
      </c>
      <c r="B275" s="10">
        <v>45016</v>
      </c>
      <c r="C275" s="9">
        <v>8</v>
      </c>
      <c r="D275" s="9" t="str">
        <f>"1870"</f>
        <v>1870</v>
      </c>
      <c r="E275" s="9" t="str">
        <f>"Прочие транзитные счета"</f>
        <v>Прочие транзитные счета</v>
      </c>
      <c r="F275" s="9" t="str">
        <f>"2"</f>
        <v>2</v>
      </c>
      <c r="G275" s="9" t="str">
        <f>"4"</f>
        <v>4</v>
      </c>
      <c r="H275" s="9" t="str">
        <f>"2"</f>
        <v>2</v>
      </c>
      <c r="I275" s="11">
        <v>3786937.63</v>
      </c>
    </row>
    <row r="276" spans="1:9" x14ac:dyDescent="0.25">
      <c r="A276" s="9">
        <v>625</v>
      </c>
      <c r="B276" s="10">
        <v>45016</v>
      </c>
      <c r="C276" s="9">
        <v>8</v>
      </c>
      <c r="D276" s="9" t="str">
        <f>"1870"</f>
        <v>1870</v>
      </c>
      <c r="E276" s="9" t="str">
        <f>"Прочие транзитные счета"</f>
        <v>Прочие транзитные счета</v>
      </c>
      <c r="F276" s="9" t="str">
        <f>"2"</f>
        <v>2</v>
      </c>
      <c r="G276" s="9" t="str">
        <f>"5"</f>
        <v>5</v>
      </c>
      <c r="H276" s="9" t="str">
        <f>"1"</f>
        <v>1</v>
      </c>
      <c r="I276" s="11">
        <v>85533274.180000007</v>
      </c>
    </row>
    <row r="277" spans="1:9" x14ac:dyDescent="0.25">
      <c r="A277" s="9">
        <v>627</v>
      </c>
      <c r="B277" s="10">
        <v>45016</v>
      </c>
      <c r="C277" s="9">
        <v>8</v>
      </c>
      <c r="D277" s="9" t="str">
        <f>"1870"</f>
        <v>1870</v>
      </c>
      <c r="E277" s="9" t="str">
        <f>"Прочие транзитные счета"</f>
        <v>Прочие транзитные счета</v>
      </c>
      <c r="F277" s="9" t="str">
        <f>"2"</f>
        <v>2</v>
      </c>
      <c r="G277" s="9" t="str">
        <f>"5"</f>
        <v>5</v>
      </c>
      <c r="H277" s="9" t="str">
        <f>"2"</f>
        <v>2</v>
      </c>
      <c r="I277" s="11">
        <v>5280273.08</v>
      </c>
    </row>
    <row r="278" spans="1:9" x14ac:dyDescent="0.25">
      <c r="A278" s="9">
        <v>624</v>
      </c>
      <c r="B278" s="10">
        <v>45016</v>
      </c>
      <c r="C278" s="9">
        <v>8</v>
      </c>
      <c r="D278" s="9" t="str">
        <f>"1877"</f>
        <v>1877</v>
      </c>
      <c r="E278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8" s="9" t="str">
        <f>"1"</f>
        <v>1</v>
      </c>
      <c r="G278" s="9" t="str">
        <f>"4"</f>
        <v>4</v>
      </c>
      <c r="H278" s="9" t="str">
        <f>"1"</f>
        <v>1</v>
      </c>
      <c r="I278" s="11">
        <v>-177094202.03</v>
      </c>
    </row>
    <row r="279" spans="1:9" x14ac:dyDescent="0.25">
      <c r="A279" s="9">
        <v>626</v>
      </c>
      <c r="B279" s="10">
        <v>45016</v>
      </c>
      <c r="C279" s="9">
        <v>8</v>
      </c>
      <c r="D279" s="9" t="str">
        <f>"1877"</f>
        <v>1877</v>
      </c>
      <c r="E279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79" s="9" t="str">
        <f>"1"</f>
        <v>1</v>
      </c>
      <c r="G279" s="9" t="str">
        <f>"7"</f>
        <v>7</v>
      </c>
      <c r="H279" s="9" t="str">
        <f>"1"</f>
        <v>1</v>
      </c>
      <c r="I279" s="11">
        <v>-1749329908.3399999</v>
      </c>
    </row>
    <row r="280" spans="1:9" x14ac:dyDescent="0.25">
      <c r="A280" s="9">
        <v>628</v>
      </c>
      <c r="B280" s="10">
        <v>45016</v>
      </c>
      <c r="C280" s="9">
        <v>8</v>
      </c>
      <c r="D280" s="9" t="str">
        <f>"1877"</f>
        <v>1877</v>
      </c>
      <c r="E280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0" s="9" t="str">
        <f>"1"</f>
        <v>1</v>
      </c>
      <c r="G280" s="9" t="str">
        <f>"7"</f>
        <v>7</v>
      </c>
      <c r="H280" s="9" t="str">
        <f>"2"</f>
        <v>2</v>
      </c>
      <c r="I280" s="11">
        <v>-1189.99</v>
      </c>
    </row>
    <row r="281" spans="1:9" x14ac:dyDescent="0.25">
      <c r="A281" s="9">
        <v>629</v>
      </c>
      <c r="B281" s="10">
        <v>45016</v>
      </c>
      <c r="C281" s="9">
        <v>8</v>
      </c>
      <c r="D281" s="9" t="str">
        <f>"1877"</f>
        <v>1877</v>
      </c>
      <c r="E281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1" s="9" t="str">
        <f>"1"</f>
        <v>1</v>
      </c>
      <c r="G281" s="9" t="str">
        <f>"7"</f>
        <v>7</v>
      </c>
      <c r="H281" s="9" t="str">
        <f>"3"</f>
        <v>3</v>
      </c>
      <c r="I281" s="11">
        <v>0</v>
      </c>
    </row>
    <row r="282" spans="1:9" x14ac:dyDescent="0.25">
      <c r="A282" s="9">
        <v>630</v>
      </c>
      <c r="B282" s="10">
        <v>45016</v>
      </c>
      <c r="C282" s="9">
        <v>8</v>
      </c>
      <c r="D282" s="9" t="str">
        <f>"1877"</f>
        <v>1877</v>
      </c>
      <c r="E282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2" s="9" t="str">
        <f>"1"</f>
        <v>1</v>
      </c>
      <c r="G282" s="9" t="str">
        <f>"9"</f>
        <v>9</v>
      </c>
      <c r="H282" s="9" t="str">
        <f>"1"</f>
        <v>1</v>
      </c>
      <c r="I282" s="11">
        <v>-2214006742.5100002</v>
      </c>
    </row>
    <row r="283" spans="1:9" x14ac:dyDescent="0.25">
      <c r="A283" s="9">
        <v>631</v>
      </c>
      <c r="B283" s="10">
        <v>45016</v>
      </c>
      <c r="C283" s="9">
        <v>8</v>
      </c>
      <c r="D283" s="9" t="str">
        <f>"1877"</f>
        <v>1877</v>
      </c>
      <c r="E283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3" s="9" t="str">
        <f>"1"</f>
        <v>1</v>
      </c>
      <c r="G283" s="9" t="str">
        <f>"9"</f>
        <v>9</v>
      </c>
      <c r="H283" s="9" t="str">
        <f>"2"</f>
        <v>2</v>
      </c>
      <c r="I283" s="11">
        <v>-13021009.82</v>
      </c>
    </row>
    <row r="284" spans="1:9" x14ac:dyDescent="0.25">
      <c r="A284" s="9">
        <v>632</v>
      </c>
      <c r="B284" s="10">
        <v>45016</v>
      </c>
      <c r="C284" s="9">
        <v>8</v>
      </c>
      <c r="D284" s="9" t="str">
        <f>"1877"</f>
        <v>1877</v>
      </c>
      <c r="E284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4" s="9" t="str">
        <f>"1"</f>
        <v>1</v>
      </c>
      <c r="G284" s="9" t="str">
        <f>"9"</f>
        <v>9</v>
      </c>
      <c r="H284" s="9" t="str">
        <f>"3"</f>
        <v>3</v>
      </c>
      <c r="I284" s="11">
        <v>-2.46</v>
      </c>
    </row>
    <row r="285" spans="1:9" x14ac:dyDescent="0.25">
      <c r="A285" s="9">
        <v>633</v>
      </c>
      <c r="B285" s="10">
        <v>45016</v>
      </c>
      <c r="C285" s="9">
        <v>8</v>
      </c>
      <c r="D285" s="9" t="str">
        <f>"1877"</f>
        <v>1877</v>
      </c>
      <c r="E285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5" s="9" t="str">
        <f>"2"</f>
        <v>2</v>
      </c>
      <c r="G285" s="9" t="str">
        <f>"9"</f>
        <v>9</v>
      </c>
      <c r="H285" s="9" t="str">
        <f>"1"</f>
        <v>1</v>
      </c>
      <c r="I285" s="11">
        <v>-715271.19</v>
      </c>
    </row>
    <row r="286" spans="1:9" x14ac:dyDescent="0.25">
      <c r="A286" s="9">
        <v>634</v>
      </c>
      <c r="B286" s="10">
        <v>45016</v>
      </c>
      <c r="C286" s="9">
        <v>8</v>
      </c>
      <c r="D286" s="9" t="str">
        <f>"1877"</f>
        <v>1877</v>
      </c>
      <c r="E286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6" s="9" t="str">
        <f>"2"</f>
        <v>2</v>
      </c>
      <c r="G286" s="9" t="str">
        <f>"9"</f>
        <v>9</v>
      </c>
      <c r="H286" s="9" t="str">
        <f>"2"</f>
        <v>2</v>
      </c>
      <c r="I286" s="11">
        <v>-2518.02</v>
      </c>
    </row>
    <row r="287" spans="1:9" x14ac:dyDescent="0.25">
      <c r="A287" s="9">
        <v>635</v>
      </c>
      <c r="B287" s="10">
        <v>45016</v>
      </c>
      <c r="C287" s="9">
        <v>8</v>
      </c>
      <c r="D287" s="9" t="str">
        <f>"1877"</f>
        <v>1877</v>
      </c>
      <c r="E287" s="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87" s="9" t="str">
        <f>"1"</f>
        <v>1</v>
      </c>
      <c r="G287" s="9" t="str">
        <f>"5"</f>
        <v>5</v>
      </c>
      <c r="H287" s="9" t="str">
        <f>"1"</f>
        <v>1</v>
      </c>
      <c r="I287" s="11">
        <v>-1057.68</v>
      </c>
    </row>
    <row r="288" spans="1:9" x14ac:dyDescent="0.25">
      <c r="A288" s="9">
        <v>641</v>
      </c>
      <c r="B288" s="10">
        <v>45016</v>
      </c>
      <c r="C288" s="9">
        <v>8</v>
      </c>
      <c r="D288" s="9" t="str">
        <f>"1878"</f>
        <v>1878</v>
      </c>
      <c r="E288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88" s="9" t="str">
        <f>"1"</f>
        <v>1</v>
      </c>
      <c r="G288" s="9" t="str">
        <f>"7"</f>
        <v>7</v>
      </c>
      <c r="H288" s="9" t="str">
        <f>"1"</f>
        <v>1</v>
      </c>
      <c r="I288" s="11">
        <v>-24357142.48</v>
      </c>
    </row>
    <row r="289" spans="1:9" x14ac:dyDescent="0.25">
      <c r="A289" s="9">
        <v>636</v>
      </c>
      <c r="B289" s="10">
        <v>45016</v>
      </c>
      <c r="C289" s="9">
        <v>8</v>
      </c>
      <c r="D289" s="9" t="str">
        <f>"1879"</f>
        <v>1879</v>
      </c>
      <c r="E289" s="9" t="str">
        <f>"Начисленная неустойка (штраф, пеня)"</f>
        <v>Начисленная неустойка (штраф, пеня)</v>
      </c>
      <c r="F289" s="9" t="str">
        <f>"1"</f>
        <v>1</v>
      </c>
      <c r="G289" s="9" t="str">
        <f>"9"</f>
        <v>9</v>
      </c>
      <c r="H289" s="9" t="str">
        <f>"1"</f>
        <v>1</v>
      </c>
      <c r="I289" s="11">
        <v>1269750</v>
      </c>
    </row>
    <row r="290" spans="1:9" x14ac:dyDescent="0.25">
      <c r="A290" s="9">
        <v>638</v>
      </c>
      <c r="B290" s="10">
        <v>45016</v>
      </c>
      <c r="C290" s="9">
        <v>8</v>
      </c>
      <c r="D290" s="9" t="str">
        <f>"1879"</f>
        <v>1879</v>
      </c>
      <c r="E290" s="9" t="str">
        <f>"Начисленная неустойка (штраф, пеня)"</f>
        <v>Начисленная неустойка (штраф, пеня)</v>
      </c>
      <c r="F290" s="9" t="str">
        <f>"2"</f>
        <v>2</v>
      </c>
      <c r="G290" s="9" t="str">
        <f>"9"</f>
        <v>9</v>
      </c>
      <c r="H290" s="9" t="str">
        <f>"1"</f>
        <v>1</v>
      </c>
      <c r="I290" s="11">
        <v>86000</v>
      </c>
    </row>
    <row r="291" spans="1:9" x14ac:dyDescent="0.25">
      <c r="A291" s="9">
        <v>637</v>
      </c>
      <c r="B291" s="10">
        <v>45016</v>
      </c>
      <c r="C291" s="9">
        <v>8</v>
      </c>
      <c r="D291" s="9" t="str">
        <f>"1894"</f>
        <v>1894</v>
      </c>
      <c r="E291" s="9" t="str">
        <f>"Требования по операциям спот"</f>
        <v>Требования по операциям спот</v>
      </c>
      <c r="F291" s="9" t="str">
        <f>"1"</f>
        <v>1</v>
      </c>
      <c r="G291" s="9" t="str">
        <f>"5"</f>
        <v>5</v>
      </c>
      <c r="H291" s="9" t="str">
        <f>"1"</f>
        <v>1</v>
      </c>
      <c r="I291" s="11">
        <v>24537560</v>
      </c>
    </row>
    <row r="292" spans="1:9" x14ac:dyDescent="0.25">
      <c r="A292" s="9">
        <v>640</v>
      </c>
      <c r="B292" s="10">
        <v>45016</v>
      </c>
      <c r="C292" s="9">
        <v>8</v>
      </c>
      <c r="D292" s="9" t="str">
        <f>"1894"</f>
        <v>1894</v>
      </c>
      <c r="E292" s="9" t="str">
        <f>"Требования по операциям спот"</f>
        <v>Требования по операциям спот</v>
      </c>
      <c r="F292" s="9" t="str">
        <f>"2"</f>
        <v>2</v>
      </c>
      <c r="G292" s="9" t="str">
        <f>"4"</f>
        <v>4</v>
      </c>
      <c r="H292" s="9" t="str">
        <f>"1"</f>
        <v>1</v>
      </c>
      <c r="I292" s="11">
        <v>6757393.7000000002</v>
      </c>
    </row>
    <row r="293" spans="1:9" x14ac:dyDescent="0.25">
      <c r="A293" s="9">
        <v>639</v>
      </c>
      <c r="B293" s="10">
        <v>45016</v>
      </c>
      <c r="C293" s="9">
        <v>8</v>
      </c>
      <c r="D293" s="9" t="str">
        <f>"2013"</f>
        <v>2013</v>
      </c>
      <c r="E293" s="9" t="str">
        <f>"Корреспондентские счета других банков"</f>
        <v>Корреспондентские счета других банков</v>
      </c>
      <c r="F293" s="9" t="str">
        <f>"2"</f>
        <v>2</v>
      </c>
      <c r="G293" s="9" t="str">
        <f>"4"</f>
        <v>4</v>
      </c>
      <c r="H293" s="9" t="str">
        <f>"1"</f>
        <v>1</v>
      </c>
      <c r="I293" s="11">
        <v>358349530.72000003</v>
      </c>
    </row>
    <row r="294" spans="1:9" x14ac:dyDescent="0.25">
      <c r="A294" s="9">
        <v>642</v>
      </c>
      <c r="B294" s="10">
        <v>45016</v>
      </c>
      <c r="C294" s="9">
        <v>8</v>
      </c>
      <c r="D294" s="9" t="str">
        <f>"2013"</f>
        <v>2013</v>
      </c>
      <c r="E294" s="9" t="str">
        <f>"Корреспондентские счета других банков"</f>
        <v>Корреспондентские счета других банков</v>
      </c>
      <c r="F294" s="9" t="str">
        <f>"2"</f>
        <v>2</v>
      </c>
      <c r="G294" s="9" t="str">
        <f>"4"</f>
        <v>4</v>
      </c>
      <c r="H294" s="9" t="str">
        <f>"2"</f>
        <v>2</v>
      </c>
      <c r="I294" s="11">
        <v>20407458457.25</v>
      </c>
    </row>
    <row r="295" spans="1:9" x14ac:dyDescent="0.25">
      <c r="A295" s="9">
        <v>647</v>
      </c>
      <c r="B295" s="10">
        <v>45016</v>
      </c>
      <c r="C295" s="9">
        <v>8</v>
      </c>
      <c r="D295" s="9" t="str">
        <f>"2013"</f>
        <v>2013</v>
      </c>
      <c r="E295" s="9" t="str">
        <f>"Корреспондентские счета других банков"</f>
        <v>Корреспондентские счета других банков</v>
      </c>
      <c r="F295" s="9" t="str">
        <f>"2"</f>
        <v>2</v>
      </c>
      <c r="G295" s="9" t="str">
        <f>"4"</f>
        <v>4</v>
      </c>
      <c r="H295" s="9" t="str">
        <f>"3"</f>
        <v>3</v>
      </c>
      <c r="I295" s="11">
        <v>57509078.609999999</v>
      </c>
    </row>
    <row r="296" spans="1:9" x14ac:dyDescent="0.25">
      <c r="A296" s="9">
        <v>643</v>
      </c>
      <c r="B296" s="10">
        <v>45016</v>
      </c>
      <c r="C296" s="9">
        <v>8</v>
      </c>
      <c r="D296" s="9" t="str">
        <f>"2056"</f>
        <v>2056</v>
      </c>
      <c r="E296" s="9" t="str">
        <f>"Долгосрочные займы, полученные от других банков"</f>
        <v>Долгосрочные займы, полученные от других банков</v>
      </c>
      <c r="F296" s="9" t="str">
        <f>"1"</f>
        <v>1</v>
      </c>
      <c r="G296" s="9" t="str">
        <f>"4"</f>
        <v>4</v>
      </c>
      <c r="H296" s="9" t="str">
        <f>"1"</f>
        <v>1</v>
      </c>
      <c r="I296" s="11">
        <v>6337886413.0100002</v>
      </c>
    </row>
    <row r="297" spans="1:9" x14ac:dyDescent="0.25">
      <c r="A297" s="9">
        <v>649</v>
      </c>
      <c r="B297" s="10">
        <v>45016</v>
      </c>
      <c r="C297" s="9">
        <v>8</v>
      </c>
      <c r="D297" s="9" t="str">
        <f>"2066"</f>
        <v>2066</v>
      </c>
      <c r="E297" s="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97" s="9" t="str">
        <f>"1"</f>
        <v>1</v>
      </c>
      <c r="G297" s="9" t="str">
        <f>"5"</f>
        <v>5</v>
      </c>
      <c r="H297" s="9" t="str">
        <f>"1"</f>
        <v>1</v>
      </c>
      <c r="I297" s="11">
        <v>25729211348.919998</v>
      </c>
    </row>
    <row r="298" spans="1:9" x14ac:dyDescent="0.25">
      <c r="A298" s="9">
        <v>644</v>
      </c>
      <c r="B298" s="10">
        <v>45016</v>
      </c>
      <c r="C298" s="9">
        <v>8</v>
      </c>
      <c r="D298" s="9" t="str">
        <f>"2070"</f>
        <v>2070</v>
      </c>
      <c r="E298" s="9" t="str">
        <f>"Дисконт по полученным займам"</f>
        <v>Дисконт по полученным займам</v>
      </c>
      <c r="F298" s="9" t="str">
        <f>"1"</f>
        <v>1</v>
      </c>
      <c r="G298" s="9" t="str">
        <f>"4"</f>
        <v>4</v>
      </c>
      <c r="H298" s="9" t="str">
        <f>"1"</f>
        <v>1</v>
      </c>
      <c r="I298" s="11">
        <v>-190041.96</v>
      </c>
    </row>
    <row r="299" spans="1:9" x14ac:dyDescent="0.25">
      <c r="A299" s="9">
        <v>646</v>
      </c>
      <c r="B299" s="10">
        <v>45016</v>
      </c>
      <c r="C299" s="9">
        <v>8</v>
      </c>
      <c r="D299" s="9" t="str">
        <f>"2121"</f>
        <v>2121</v>
      </c>
      <c r="E299" s="9" t="str">
        <f>"Срочные вклады Национального Банка Республики Казахстан"</f>
        <v>Срочные вклады Национального Банка Республики Казахстан</v>
      </c>
      <c r="F299" s="9" t="str">
        <f>"1"</f>
        <v>1</v>
      </c>
      <c r="G299" s="9" t="str">
        <f>"3"</f>
        <v>3</v>
      </c>
      <c r="H299" s="9" t="str">
        <f>"1"</f>
        <v>1</v>
      </c>
      <c r="I299" s="11">
        <v>3100000000</v>
      </c>
    </row>
    <row r="300" spans="1:9" x14ac:dyDescent="0.25">
      <c r="A300" s="9">
        <v>645</v>
      </c>
      <c r="B300" s="10">
        <v>45016</v>
      </c>
      <c r="C300" s="9">
        <v>8</v>
      </c>
      <c r="D300" s="9" t="str">
        <f>"2123"</f>
        <v>2123</v>
      </c>
      <c r="E300" s="9" t="str">
        <f>"Краткосрочные вклады других банков (до одного месяца)"</f>
        <v>Краткосрочные вклады других банков (до одного месяца)</v>
      </c>
      <c r="F300" s="9" t="str">
        <f>"1"</f>
        <v>1</v>
      </c>
      <c r="G300" s="9" t="str">
        <f>"4"</f>
        <v>4</v>
      </c>
      <c r="H300" s="9" t="str">
        <f>"3"</f>
        <v>3</v>
      </c>
      <c r="I300" s="11">
        <v>0</v>
      </c>
    </row>
    <row r="301" spans="1:9" x14ac:dyDescent="0.25">
      <c r="A301" s="9">
        <v>648</v>
      </c>
      <c r="B301" s="10">
        <v>45016</v>
      </c>
      <c r="C301" s="9">
        <v>8</v>
      </c>
      <c r="D301" s="9" t="str">
        <f>"2124"</f>
        <v>2124</v>
      </c>
      <c r="E301" s="9" t="str">
        <f>"Краткосрочные вклады других банков (до одного года)"</f>
        <v>Краткосрочные вклады других банков (до одного года)</v>
      </c>
      <c r="F301" s="9" t="str">
        <f>"2"</f>
        <v>2</v>
      </c>
      <c r="G301" s="9" t="str">
        <f>"4"</f>
        <v>4</v>
      </c>
      <c r="H301" s="9" t="str">
        <f>"3"</f>
        <v>3</v>
      </c>
      <c r="I301" s="11">
        <v>3516000000</v>
      </c>
    </row>
    <row r="302" spans="1:9" x14ac:dyDescent="0.25">
      <c r="A302" s="9">
        <v>651</v>
      </c>
      <c r="B302" s="10">
        <v>45016</v>
      </c>
      <c r="C302" s="9">
        <v>8</v>
      </c>
      <c r="D302" s="9" t="str">
        <f>"2127"</f>
        <v>2127</v>
      </c>
      <c r="E302" s="9" t="str">
        <f>"Долгосрочные вклады других банков"</f>
        <v>Долгосрочные вклады других банков</v>
      </c>
      <c r="F302" s="9" t="str">
        <f>"2"</f>
        <v>2</v>
      </c>
      <c r="G302" s="9" t="str">
        <f>"4"</f>
        <v>4</v>
      </c>
      <c r="H302" s="9" t="str">
        <f>"2"</f>
        <v>2</v>
      </c>
      <c r="I302" s="11">
        <v>4517100000</v>
      </c>
    </row>
    <row r="303" spans="1:9" x14ac:dyDescent="0.25">
      <c r="A303" s="9">
        <v>650</v>
      </c>
      <c r="B303" s="10">
        <v>45016</v>
      </c>
      <c r="C303" s="9">
        <v>8</v>
      </c>
      <c r="D303" s="9" t="str">
        <f>"2140"</f>
        <v>2140</v>
      </c>
      <c r="E303" s="9" t="str">
        <f>"Дисконт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303" s="9" t="str">
        <f>"1"</f>
        <v>1</v>
      </c>
      <c r="G303" s="9" t="str">
        <f>"3"</f>
        <v>3</v>
      </c>
      <c r="H303" s="9" t="str">
        <f>"1"</f>
        <v>1</v>
      </c>
      <c r="I303" s="11">
        <v>-50189133.780000001</v>
      </c>
    </row>
    <row r="304" spans="1:9" x14ac:dyDescent="0.25">
      <c r="A304" s="9">
        <v>652</v>
      </c>
      <c r="B304" s="10">
        <v>45016</v>
      </c>
      <c r="C304" s="9">
        <v>8</v>
      </c>
      <c r="D304" s="9" t="str">
        <f>"2202"</f>
        <v>2202</v>
      </c>
      <c r="E304" s="9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304" s="9" t="str">
        <f>"1"</f>
        <v>1</v>
      </c>
      <c r="G304" s="9" t="str">
        <f>"5"</f>
        <v>5</v>
      </c>
      <c r="H304" s="9" t="str">
        <f>"2"</f>
        <v>2</v>
      </c>
      <c r="I304" s="11">
        <v>36223776.759999998</v>
      </c>
    </row>
    <row r="305" spans="1:9" x14ac:dyDescent="0.25">
      <c r="A305" s="9">
        <v>653</v>
      </c>
      <c r="B305" s="10">
        <v>45016</v>
      </c>
      <c r="C305" s="9">
        <v>8</v>
      </c>
      <c r="D305" s="9" t="str">
        <f>"2202"</f>
        <v>2202</v>
      </c>
      <c r="E305" s="9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305" s="9" t="str">
        <f>"1"</f>
        <v>1</v>
      </c>
      <c r="G305" s="9" t="str">
        <f>"5"</f>
        <v>5</v>
      </c>
      <c r="H305" s="9" t="str">
        <f>"1"</f>
        <v>1</v>
      </c>
      <c r="I305" s="11">
        <v>42492713.280000001</v>
      </c>
    </row>
    <row r="306" spans="1:9" x14ac:dyDescent="0.25">
      <c r="A306" s="9">
        <v>654</v>
      </c>
      <c r="B306" s="10">
        <v>45016</v>
      </c>
      <c r="C306" s="9">
        <v>8</v>
      </c>
      <c r="D306" s="9" t="str">
        <f>"2203"</f>
        <v>2203</v>
      </c>
      <c r="E306" s="9" t="str">
        <f>"Текущие счета юридических лиц"</f>
        <v>Текущие счета юридических лиц</v>
      </c>
      <c r="F306" s="9" t="str">
        <f>"1"</f>
        <v>1</v>
      </c>
      <c r="G306" s="9" t="str">
        <f>"5"</f>
        <v>5</v>
      </c>
      <c r="H306" s="9" t="str">
        <f>"1"</f>
        <v>1</v>
      </c>
      <c r="I306" s="11">
        <v>875249597.66999996</v>
      </c>
    </row>
    <row r="307" spans="1:9" x14ac:dyDescent="0.25">
      <c r="A307" s="9">
        <v>655</v>
      </c>
      <c r="B307" s="10">
        <v>45016</v>
      </c>
      <c r="C307" s="9">
        <v>8</v>
      </c>
      <c r="D307" s="9" t="str">
        <f>"2203"</f>
        <v>2203</v>
      </c>
      <c r="E307" s="9" t="str">
        <f>"Текущие счета юридических лиц"</f>
        <v>Текущие счета юридических лиц</v>
      </c>
      <c r="F307" s="9" t="str">
        <f>"1"</f>
        <v>1</v>
      </c>
      <c r="G307" s="9" t="str">
        <f>"5"</f>
        <v>5</v>
      </c>
      <c r="H307" s="9" t="str">
        <f>"3"</f>
        <v>3</v>
      </c>
      <c r="I307" s="11">
        <v>87144701.5</v>
      </c>
    </row>
    <row r="308" spans="1:9" x14ac:dyDescent="0.25">
      <c r="A308" s="9">
        <v>656</v>
      </c>
      <c r="B308" s="10">
        <v>45016</v>
      </c>
      <c r="C308" s="9">
        <v>8</v>
      </c>
      <c r="D308" s="9" t="str">
        <f>"2203"</f>
        <v>2203</v>
      </c>
      <c r="E308" s="9" t="str">
        <f>"Текущие счета юридических лиц"</f>
        <v>Текущие счета юридических лиц</v>
      </c>
      <c r="F308" s="9" t="str">
        <f>"1"</f>
        <v>1</v>
      </c>
      <c r="G308" s="9" t="str">
        <f>"6"</f>
        <v>6</v>
      </c>
      <c r="H308" s="9" t="str">
        <f>"1"</f>
        <v>1</v>
      </c>
      <c r="I308" s="11">
        <v>176276719.78</v>
      </c>
    </row>
    <row r="309" spans="1:9" x14ac:dyDescent="0.25">
      <c r="A309" s="9">
        <v>657</v>
      </c>
      <c r="B309" s="10">
        <v>45016</v>
      </c>
      <c r="C309" s="9">
        <v>8</v>
      </c>
      <c r="D309" s="9" t="str">
        <f>"2203"</f>
        <v>2203</v>
      </c>
      <c r="E309" s="9" t="str">
        <f>"Текущие счета юридических лиц"</f>
        <v>Текущие счета юридических лиц</v>
      </c>
      <c r="F309" s="9" t="str">
        <f>"1"</f>
        <v>1</v>
      </c>
      <c r="G309" s="9" t="str">
        <f>"5"</f>
        <v>5</v>
      </c>
      <c r="H309" s="9" t="str">
        <f>"2"</f>
        <v>2</v>
      </c>
      <c r="I309" s="11">
        <v>1065608895.02</v>
      </c>
    </row>
    <row r="310" spans="1:9" x14ac:dyDescent="0.25">
      <c r="A310" s="9">
        <v>658</v>
      </c>
      <c r="B310" s="10">
        <v>45016</v>
      </c>
      <c r="C310" s="9">
        <v>8</v>
      </c>
      <c r="D310" s="9" t="str">
        <f>"2203"</f>
        <v>2203</v>
      </c>
      <c r="E310" s="9" t="str">
        <f>"Текущие счета юридических лиц"</f>
        <v>Текущие счета юридических лиц</v>
      </c>
      <c r="F310" s="9" t="str">
        <f>"1"</f>
        <v>1</v>
      </c>
      <c r="G310" s="9" t="str">
        <f>"7"</f>
        <v>7</v>
      </c>
      <c r="H310" s="9" t="str">
        <f>"1"</f>
        <v>1</v>
      </c>
      <c r="I310" s="11">
        <v>44407678577.379997</v>
      </c>
    </row>
    <row r="311" spans="1:9" x14ac:dyDescent="0.25">
      <c r="A311" s="9">
        <v>659</v>
      </c>
      <c r="B311" s="10">
        <v>45016</v>
      </c>
      <c r="C311" s="9">
        <v>8</v>
      </c>
      <c r="D311" s="9" t="str">
        <f>"2203"</f>
        <v>2203</v>
      </c>
      <c r="E311" s="9" t="str">
        <f>"Текущие счета юридических лиц"</f>
        <v>Текущие счета юридических лиц</v>
      </c>
      <c r="F311" s="9" t="str">
        <f>"1"</f>
        <v>1</v>
      </c>
      <c r="G311" s="9" t="str">
        <f>"8"</f>
        <v>8</v>
      </c>
      <c r="H311" s="9" t="str">
        <f>"2"</f>
        <v>2</v>
      </c>
      <c r="I311" s="11">
        <v>897465447.47000003</v>
      </c>
    </row>
    <row r="312" spans="1:9" x14ac:dyDescent="0.25">
      <c r="A312" s="9">
        <v>660</v>
      </c>
      <c r="B312" s="10">
        <v>45016</v>
      </c>
      <c r="C312" s="9">
        <v>8</v>
      </c>
      <c r="D312" s="9" t="str">
        <f>"2203"</f>
        <v>2203</v>
      </c>
      <c r="E312" s="9" t="str">
        <f>"Текущие счета юридических лиц"</f>
        <v>Текущие счета юридических лиц</v>
      </c>
      <c r="F312" s="9" t="str">
        <f>"1"</f>
        <v>1</v>
      </c>
      <c r="G312" s="9" t="str">
        <f>"7"</f>
        <v>7</v>
      </c>
      <c r="H312" s="9" t="str">
        <f>"2"</f>
        <v>2</v>
      </c>
      <c r="I312" s="11">
        <v>40449354743.25</v>
      </c>
    </row>
    <row r="313" spans="1:9" x14ac:dyDescent="0.25">
      <c r="A313" s="9">
        <v>661</v>
      </c>
      <c r="B313" s="10">
        <v>45016</v>
      </c>
      <c r="C313" s="9">
        <v>8</v>
      </c>
      <c r="D313" s="9" t="str">
        <f>"2203"</f>
        <v>2203</v>
      </c>
      <c r="E313" s="9" t="str">
        <f>"Текущие счета юридических лиц"</f>
        <v>Текущие счета юридических лиц</v>
      </c>
      <c r="F313" s="9" t="str">
        <f>"1"</f>
        <v>1</v>
      </c>
      <c r="G313" s="9" t="str">
        <f>"6"</f>
        <v>6</v>
      </c>
      <c r="H313" s="9" t="str">
        <f>"3"</f>
        <v>3</v>
      </c>
      <c r="I313" s="11">
        <v>1660565.66</v>
      </c>
    </row>
    <row r="314" spans="1:9" x14ac:dyDescent="0.25">
      <c r="A314" s="9">
        <v>662</v>
      </c>
      <c r="B314" s="10">
        <v>45016</v>
      </c>
      <c r="C314" s="9">
        <v>8</v>
      </c>
      <c r="D314" s="9" t="str">
        <f>"2203"</f>
        <v>2203</v>
      </c>
      <c r="E314" s="9" t="str">
        <f>"Текущие счета юридических лиц"</f>
        <v>Текущие счета юридических лиц</v>
      </c>
      <c r="F314" s="9" t="str">
        <f>"1"</f>
        <v>1</v>
      </c>
      <c r="G314" s="9" t="str">
        <f>"8"</f>
        <v>8</v>
      </c>
      <c r="H314" s="9" t="str">
        <f>"1"</f>
        <v>1</v>
      </c>
      <c r="I314" s="11">
        <v>1128944759.5899999</v>
      </c>
    </row>
    <row r="315" spans="1:9" x14ac:dyDescent="0.25">
      <c r="A315" s="9">
        <v>663</v>
      </c>
      <c r="B315" s="10">
        <v>45016</v>
      </c>
      <c r="C315" s="9">
        <v>8</v>
      </c>
      <c r="D315" s="9" t="str">
        <f>"2203"</f>
        <v>2203</v>
      </c>
      <c r="E315" s="9" t="str">
        <f>"Текущие счета юридических лиц"</f>
        <v>Текущие счета юридических лиц</v>
      </c>
      <c r="F315" s="9" t="str">
        <f>"1"</f>
        <v>1</v>
      </c>
      <c r="G315" s="9" t="str">
        <f>"6"</f>
        <v>6</v>
      </c>
      <c r="H315" s="9" t="str">
        <f>"2"</f>
        <v>2</v>
      </c>
      <c r="I315" s="11">
        <v>103159806.72</v>
      </c>
    </row>
    <row r="316" spans="1:9" x14ac:dyDescent="0.25">
      <c r="A316" s="9">
        <v>664</v>
      </c>
      <c r="B316" s="10">
        <v>45016</v>
      </c>
      <c r="C316" s="9">
        <v>8</v>
      </c>
      <c r="D316" s="9" t="str">
        <f>"2203"</f>
        <v>2203</v>
      </c>
      <c r="E316" s="9" t="str">
        <f>"Текущие счета юридических лиц"</f>
        <v>Текущие счета юридических лиц</v>
      </c>
      <c r="F316" s="9" t="str">
        <f>"2"</f>
        <v>2</v>
      </c>
      <c r="G316" s="9" t="str">
        <f>"5"</f>
        <v>5</v>
      </c>
      <c r="H316" s="9" t="str">
        <f>"1"</f>
        <v>1</v>
      </c>
      <c r="I316" s="11">
        <v>662633</v>
      </c>
    </row>
    <row r="317" spans="1:9" x14ac:dyDescent="0.25">
      <c r="A317" s="9">
        <v>665</v>
      </c>
      <c r="B317" s="10">
        <v>45016</v>
      </c>
      <c r="C317" s="9">
        <v>8</v>
      </c>
      <c r="D317" s="9" t="str">
        <f>"2203"</f>
        <v>2203</v>
      </c>
      <c r="E317" s="9" t="str">
        <f>"Текущие счета юридических лиц"</f>
        <v>Текущие счета юридических лиц</v>
      </c>
      <c r="F317" s="9" t="str">
        <f>"1"</f>
        <v>1</v>
      </c>
      <c r="G317" s="9" t="str">
        <f>"8"</f>
        <v>8</v>
      </c>
      <c r="H317" s="9" t="str">
        <f>"3"</f>
        <v>3</v>
      </c>
      <c r="I317" s="11">
        <v>22172365.5</v>
      </c>
    </row>
    <row r="318" spans="1:9" x14ac:dyDescent="0.25">
      <c r="A318" s="9">
        <v>666</v>
      </c>
      <c r="B318" s="10">
        <v>45016</v>
      </c>
      <c r="C318" s="9">
        <v>8</v>
      </c>
      <c r="D318" s="9" t="str">
        <f>"2203"</f>
        <v>2203</v>
      </c>
      <c r="E318" s="9" t="str">
        <f>"Текущие счета юридических лиц"</f>
        <v>Текущие счета юридических лиц</v>
      </c>
      <c r="F318" s="9" t="str">
        <f>"2"</f>
        <v>2</v>
      </c>
      <c r="G318" s="9" t="str">
        <f>"1"</f>
        <v>1</v>
      </c>
      <c r="H318" s="9" t="str">
        <f>"1"</f>
        <v>1</v>
      </c>
      <c r="I318" s="11">
        <v>12759.59</v>
      </c>
    </row>
    <row r="319" spans="1:9" x14ac:dyDescent="0.25">
      <c r="A319" s="9">
        <v>667</v>
      </c>
      <c r="B319" s="10">
        <v>45016</v>
      </c>
      <c r="C319" s="9">
        <v>8</v>
      </c>
      <c r="D319" s="9" t="str">
        <f>"2203"</f>
        <v>2203</v>
      </c>
      <c r="E319" s="9" t="str">
        <f>"Текущие счета юридических лиц"</f>
        <v>Текущие счета юридических лиц</v>
      </c>
      <c r="F319" s="9" t="str">
        <f>"1"</f>
        <v>1</v>
      </c>
      <c r="G319" s="9" t="str">
        <f>"7"</f>
        <v>7</v>
      </c>
      <c r="H319" s="9" t="str">
        <f>"3"</f>
        <v>3</v>
      </c>
      <c r="I319" s="11">
        <v>2272579274.2399998</v>
      </c>
    </row>
    <row r="320" spans="1:9" x14ac:dyDescent="0.25">
      <c r="A320" s="9">
        <v>668</v>
      </c>
      <c r="B320" s="10">
        <v>45016</v>
      </c>
      <c r="C320" s="9">
        <v>8</v>
      </c>
      <c r="D320" s="9" t="str">
        <f>"2203"</f>
        <v>2203</v>
      </c>
      <c r="E320" s="9" t="str">
        <f>"Текущие счета юридических лиц"</f>
        <v>Текущие счета юридических лиц</v>
      </c>
      <c r="F320" s="9" t="str">
        <f>"2"</f>
        <v>2</v>
      </c>
      <c r="G320" s="9" t="str">
        <f>"5"</f>
        <v>5</v>
      </c>
      <c r="H320" s="9" t="str">
        <f>"2"</f>
        <v>2</v>
      </c>
      <c r="I320" s="11">
        <v>17369934.120000001</v>
      </c>
    </row>
    <row r="321" spans="1:9" x14ac:dyDescent="0.25">
      <c r="A321" s="9">
        <v>669</v>
      </c>
      <c r="B321" s="10">
        <v>45016</v>
      </c>
      <c r="C321" s="9">
        <v>8</v>
      </c>
      <c r="D321" s="9" t="str">
        <f>"2203"</f>
        <v>2203</v>
      </c>
      <c r="E321" s="9" t="str">
        <f>"Текущие счета юридических лиц"</f>
        <v>Текущие счета юридических лиц</v>
      </c>
      <c r="F321" s="9" t="str">
        <f>"2"</f>
        <v>2</v>
      </c>
      <c r="G321" s="9" t="str">
        <f>"7"</f>
        <v>7</v>
      </c>
      <c r="H321" s="9" t="str">
        <f>"1"</f>
        <v>1</v>
      </c>
      <c r="I321" s="11">
        <v>1264010385.8800001</v>
      </c>
    </row>
    <row r="322" spans="1:9" x14ac:dyDescent="0.25">
      <c r="A322" s="9">
        <v>670</v>
      </c>
      <c r="B322" s="10">
        <v>45016</v>
      </c>
      <c r="C322" s="9">
        <v>8</v>
      </c>
      <c r="D322" s="9" t="str">
        <f>"2203"</f>
        <v>2203</v>
      </c>
      <c r="E322" s="9" t="str">
        <f>"Текущие счета юридических лиц"</f>
        <v>Текущие счета юридических лиц</v>
      </c>
      <c r="F322" s="9" t="str">
        <f>"2"</f>
        <v>2</v>
      </c>
      <c r="G322" s="9" t="str">
        <f>"5"</f>
        <v>5</v>
      </c>
      <c r="H322" s="9" t="str">
        <f>"3"</f>
        <v>3</v>
      </c>
      <c r="I322" s="11">
        <v>872386.76</v>
      </c>
    </row>
    <row r="323" spans="1:9" x14ac:dyDescent="0.25">
      <c r="A323" s="9">
        <v>671</v>
      </c>
      <c r="B323" s="10">
        <v>45016</v>
      </c>
      <c r="C323" s="9">
        <v>8</v>
      </c>
      <c r="D323" s="9" t="str">
        <f>"2203"</f>
        <v>2203</v>
      </c>
      <c r="E323" s="9" t="str">
        <f>"Текущие счета юридических лиц"</f>
        <v>Текущие счета юридических лиц</v>
      </c>
      <c r="F323" s="9" t="str">
        <f>"2"</f>
        <v>2</v>
      </c>
      <c r="G323" s="9" t="str">
        <f>"7"</f>
        <v>7</v>
      </c>
      <c r="H323" s="9" t="str">
        <f>"3"</f>
        <v>3</v>
      </c>
      <c r="I323" s="11">
        <v>4121039111.23</v>
      </c>
    </row>
    <row r="324" spans="1:9" x14ac:dyDescent="0.25">
      <c r="A324" s="9">
        <v>672</v>
      </c>
      <c r="B324" s="10">
        <v>45016</v>
      </c>
      <c r="C324" s="9">
        <v>8</v>
      </c>
      <c r="D324" s="9" t="str">
        <f>"2203"</f>
        <v>2203</v>
      </c>
      <c r="E324" s="9" t="str">
        <f>"Текущие счета юридических лиц"</f>
        <v>Текущие счета юридических лиц</v>
      </c>
      <c r="F324" s="9" t="str">
        <f>"2"</f>
        <v>2</v>
      </c>
      <c r="G324" s="9" t="str">
        <f>"8"</f>
        <v>8</v>
      </c>
      <c r="H324" s="9" t="str">
        <f>"3"</f>
        <v>3</v>
      </c>
      <c r="I324" s="11">
        <v>2985406.83</v>
      </c>
    </row>
    <row r="325" spans="1:9" x14ac:dyDescent="0.25">
      <c r="A325" s="9">
        <v>673</v>
      </c>
      <c r="B325" s="10">
        <v>45016</v>
      </c>
      <c r="C325" s="9">
        <v>8</v>
      </c>
      <c r="D325" s="9" t="str">
        <f>"2203"</f>
        <v>2203</v>
      </c>
      <c r="E325" s="9" t="str">
        <f>"Текущие счета юридических лиц"</f>
        <v>Текущие счета юридических лиц</v>
      </c>
      <c r="F325" s="9" t="str">
        <f>"2"</f>
        <v>2</v>
      </c>
      <c r="G325" s="9" t="str">
        <f>"7"</f>
        <v>7</v>
      </c>
      <c r="H325" s="9" t="str">
        <f>"2"</f>
        <v>2</v>
      </c>
      <c r="I325" s="11">
        <v>132411751903.28</v>
      </c>
    </row>
    <row r="326" spans="1:9" x14ac:dyDescent="0.25">
      <c r="A326" s="9">
        <v>674</v>
      </c>
      <c r="B326" s="10">
        <v>45016</v>
      </c>
      <c r="C326" s="9">
        <v>8</v>
      </c>
      <c r="D326" s="9" t="str">
        <f>"2203"</f>
        <v>2203</v>
      </c>
      <c r="E326" s="9" t="str">
        <f>"Текущие счета юридических лиц"</f>
        <v>Текущие счета юридических лиц</v>
      </c>
      <c r="F326" s="9" t="str">
        <f>"2"</f>
        <v>2</v>
      </c>
      <c r="G326" s="9" t="str">
        <f>"8"</f>
        <v>8</v>
      </c>
      <c r="H326" s="9" t="str">
        <f>"1"</f>
        <v>1</v>
      </c>
      <c r="I326" s="11">
        <v>1205099.8600000001</v>
      </c>
    </row>
    <row r="327" spans="1:9" x14ac:dyDescent="0.25">
      <c r="A327" s="9">
        <v>678</v>
      </c>
      <c r="B327" s="10">
        <v>45016</v>
      </c>
      <c r="C327" s="9">
        <v>8</v>
      </c>
      <c r="D327" s="9" t="str">
        <f>"2203"</f>
        <v>2203</v>
      </c>
      <c r="E327" s="9" t="str">
        <f>"Текущие счета юридических лиц"</f>
        <v>Текущие счета юридических лиц</v>
      </c>
      <c r="F327" s="9" t="str">
        <f>"2"</f>
        <v>2</v>
      </c>
      <c r="G327" s="9" t="str">
        <f>"8"</f>
        <v>8</v>
      </c>
      <c r="H327" s="9" t="str">
        <f>"2"</f>
        <v>2</v>
      </c>
      <c r="I327" s="11">
        <v>397855264.49000001</v>
      </c>
    </row>
    <row r="328" spans="1:9" x14ac:dyDescent="0.25">
      <c r="A328" s="9">
        <v>675</v>
      </c>
      <c r="B328" s="10">
        <v>45016</v>
      </c>
      <c r="C328" s="9">
        <v>8</v>
      </c>
      <c r="D328" s="9" t="str">
        <f>"2204"</f>
        <v>2204</v>
      </c>
      <c r="E328" s="9" t="str">
        <f>"Текущие счета физических лиц"</f>
        <v>Текущие счета физических лиц</v>
      </c>
      <c r="F328" s="9" t="str">
        <f>"1"</f>
        <v>1</v>
      </c>
      <c r="G328" s="9" t="str">
        <f>"9"</f>
        <v>9</v>
      </c>
      <c r="H328" s="9" t="str">
        <f>"3"</f>
        <v>3</v>
      </c>
      <c r="I328" s="11">
        <v>222245355.06999999</v>
      </c>
    </row>
    <row r="329" spans="1:9" x14ac:dyDescent="0.25">
      <c r="A329" s="9">
        <v>676</v>
      </c>
      <c r="B329" s="10">
        <v>45016</v>
      </c>
      <c r="C329" s="9">
        <v>8</v>
      </c>
      <c r="D329" s="9" t="str">
        <f>"2204"</f>
        <v>2204</v>
      </c>
      <c r="E329" s="9" t="str">
        <f>"Текущие счета физических лиц"</f>
        <v>Текущие счета физических лиц</v>
      </c>
      <c r="F329" s="9" t="str">
        <f>"1"</f>
        <v>1</v>
      </c>
      <c r="G329" s="9" t="str">
        <f>"9"</f>
        <v>9</v>
      </c>
      <c r="H329" s="9" t="str">
        <f>"1"</f>
        <v>1</v>
      </c>
      <c r="I329" s="11">
        <v>19253886463.91</v>
      </c>
    </row>
    <row r="330" spans="1:9" x14ac:dyDescent="0.25">
      <c r="A330" s="9">
        <v>677</v>
      </c>
      <c r="B330" s="10">
        <v>45016</v>
      </c>
      <c r="C330" s="9">
        <v>8</v>
      </c>
      <c r="D330" s="9" t="str">
        <f>"2204"</f>
        <v>2204</v>
      </c>
      <c r="E330" s="9" t="str">
        <f>"Текущие счета физических лиц"</f>
        <v>Текущие счета физических лиц</v>
      </c>
      <c r="F330" s="9" t="str">
        <f>"2"</f>
        <v>2</v>
      </c>
      <c r="G330" s="9" t="str">
        <f>"9"</f>
        <v>9</v>
      </c>
      <c r="H330" s="9" t="str">
        <f>"3"</f>
        <v>3</v>
      </c>
      <c r="I330" s="11">
        <v>1240361924.9300001</v>
      </c>
    </row>
    <row r="331" spans="1:9" x14ac:dyDescent="0.25">
      <c r="A331" s="9">
        <v>680</v>
      </c>
      <c r="B331" s="10">
        <v>45016</v>
      </c>
      <c r="C331" s="9">
        <v>8</v>
      </c>
      <c r="D331" s="9" t="str">
        <f>"2204"</f>
        <v>2204</v>
      </c>
      <c r="E331" s="9" t="str">
        <f>"Текущие счета физических лиц"</f>
        <v>Текущие счета физических лиц</v>
      </c>
      <c r="F331" s="9" t="str">
        <f>"1"</f>
        <v>1</v>
      </c>
      <c r="G331" s="9" t="str">
        <f>"9"</f>
        <v>9</v>
      </c>
      <c r="H331" s="9" t="str">
        <f>"2"</f>
        <v>2</v>
      </c>
      <c r="I331" s="11">
        <v>8029247492.0100002</v>
      </c>
    </row>
    <row r="332" spans="1:9" x14ac:dyDescent="0.25">
      <c r="A332" s="9">
        <v>681</v>
      </c>
      <c r="B332" s="10">
        <v>45016</v>
      </c>
      <c r="C332" s="9">
        <v>8</v>
      </c>
      <c r="D332" s="9" t="str">
        <f>"2204"</f>
        <v>2204</v>
      </c>
      <c r="E332" s="9" t="str">
        <f>"Текущие счета физических лиц"</f>
        <v>Текущие счета физических лиц</v>
      </c>
      <c r="F332" s="9" t="str">
        <f>"1"</f>
        <v>1</v>
      </c>
      <c r="G332" s="9" t="str">
        <f>"7"</f>
        <v>7</v>
      </c>
      <c r="H332" s="9" t="str">
        <f>"1"</f>
        <v>1</v>
      </c>
      <c r="I332" s="11">
        <v>0</v>
      </c>
    </row>
    <row r="333" spans="1:9" x14ac:dyDescent="0.25">
      <c r="A333" s="9">
        <v>682</v>
      </c>
      <c r="B333" s="10">
        <v>45016</v>
      </c>
      <c r="C333" s="9">
        <v>8</v>
      </c>
      <c r="D333" s="9" t="str">
        <f>"2204"</f>
        <v>2204</v>
      </c>
      <c r="E333" s="9" t="str">
        <f>"Текущие счета физических лиц"</f>
        <v>Текущие счета физических лиц</v>
      </c>
      <c r="F333" s="9" t="str">
        <f>"2"</f>
        <v>2</v>
      </c>
      <c r="G333" s="9" t="str">
        <f>"9"</f>
        <v>9</v>
      </c>
      <c r="H333" s="9" t="str">
        <f>"2"</f>
        <v>2</v>
      </c>
      <c r="I333" s="11">
        <v>46432011474.900002</v>
      </c>
    </row>
    <row r="334" spans="1:9" x14ac:dyDescent="0.25">
      <c r="A334" s="9">
        <v>683</v>
      </c>
      <c r="B334" s="10">
        <v>45016</v>
      </c>
      <c r="C334" s="9">
        <v>8</v>
      </c>
      <c r="D334" s="9" t="str">
        <f>"2204"</f>
        <v>2204</v>
      </c>
      <c r="E334" s="9" t="str">
        <f>"Текущие счета физических лиц"</f>
        <v>Текущие счета физических лиц</v>
      </c>
      <c r="F334" s="9" t="str">
        <f>"2"</f>
        <v>2</v>
      </c>
      <c r="G334" s="9" t="str">
        <f>"9"</f>
        <v>9</v>
      </c>
      <c r="H334" s="9" t="str">
        <f>"1"</f>
        <v>1</v>
      </c>
      <c r="I334" s="11">
        <v>966080845.51999998</v>
      </c>
    </row>
    <row r="335" spans="1:9" x14ac:dyDescent="0.25">
      <c r="A335" s="9">
        <v>679</v>
      </c>
      <c r="B335" s="10">
        <v>45016</v>
      </c>
      <c r="C335" s="9">
        <v>8</v>
      </c>
      <c r="D335" s="9" t="str">
        <f>"2206"</f>
        <v>2206</v>
      </c>
      <c r="E335" s="9" t="str">
        <f>"Краткосрочные вклады физических лиц"</f>
        <v>Краткосрочные вклады физических лиц</v>
      </c>
      <c r="F335" s="9" t="str">
        <f>"1"</f>
        <v>1</v>
      </c>
      <c r="G335" s="9" t="str">
        <f>"9"</f>
        <v>9</v>
      </c>
      <c r="H335" s="9" t="str">
        <f>"1"</f>
        <v>1</v>
      </c>
      <c r="I335" s="11">
        <v>88157818897.949997</v>
      </c>
    </row>
    <row r="336" spans="1:9" x14ac:dyDescent="0.25">
      <c r="A336" s="9">
        <v>684</v>
      </c>
      <c r="B336" s="10">
        <v>45016</v>
      </c>
      <c r="C336" s="9">
        <v>8</v>
      </c>
      <c r="D336" s="9" t="str">
        <f>"2206"</f>
        <v>2206</v>
      </c>
      <c r="E336" s="9" t="str">
        <f>"Краткосрочные вклады физических лиц"</f>
        <v>Краткосрочные вклады физических лиц</v>
      </c>
      <c r="F336" s="9" t="str">
        <f>"1"</f>
        <v>1</v>
      </c>
      <c r="G336" s="9" t="str">
        <f>"9"</f>
        <v>9</v>
      </c>
      <c r="H336" s="9" t="str">
        <f>"3"</f>
        <v>3</v>
      </c>
      <c r="I336" s="11">
        <v>55047709.890000001</v>
      </c>
    </row>
    <row r="337" spans="1:9" x14ac:dyDescent="0.25">
      <c r="A337" s="9">
        <v>685</v>
      </c>
      <c r="B337" s="10">
        <v>45016</v>
      </c>
      <c r="C337" s="9">
        <v>8</v>
      </c>
      <c r="D337" s="9" t="str">
        <f>"2206"</f>
        <v>2206</v>
      </c>
      <c r="E337" s="9" t="str">
        <f>"Краткосрочные вклады физических лиц"</f>
        <v>Краткосрочные вклады физических лиц</v>
      </c>
      <c r="F337" s="9" t="str">
        <f>"2"</f>
        <v>2</v>
      </c>
      <c r="G337" s="9" t="str">
        <f>"9"</f>
        <v>9</v>
      </c>
      <c r="H337" s="9" t="str">
        <f>"2"</f>
        <v>2</v>
      </c>
      <c r="I337" s="11">
        <v>34429370563.599998</v>
      </c>
    </row>
    <row r="338" spans="1:9" x14ac:dyDescent="0.25">
      <c r="A338" s="9">
        <v>686</v>
      </c>
      <c r="B338" s="10">
        <v>45016</v>
      </c>
      <c r="C338" s="9">
        <v>8</v>
      </c>
      <c r="D338" s="9" t="str">
        <f>"2206"</f>
        <v>2206</v>
      </c>
      <c r="E338" s="9" t="str">
        <f>"Краткосрочные вклады физических лиц"</f>
        <v>Краткосрочные вклады физических лиц</v>
      </c>
      <c r="F338" s="9" t="str">
        <f>"2"</f>
        <v>2</v>
      </c>
      <c r="G338" s="9" t="str">
        <f>"9"</f>
        <v>9</v>
      </c>
      <c r="H338" s="9" t="str">
        <f>"1"</f>
        <v>1</v>
      </c>
      <c r="I338" s="11">
        <v>3289780429.5799999</v>
      </c>
    </row>
    <row r="339" spans="1:9" x14ac:dyDescent="0.25">
      <c r="A339" s="9">
        <v>687</v>
      </c>
      <c r="B339" s="10">
        <v>45016</v>
      </c>
      <c r="C339" s="9">
        <v>8</v>
      </c>
      <c r="D339" s="9" t="str">
        <f>"2206"</f>
        <v>2206</v>
      </c>
      <c r="E339" s="9" t="str">
        <f>"Краткосрочные вклады физических лиц"</f>
        <v>Краткосрочные вклады физических лиц</v>
      </c>
      <c r="F339" s="9" t="str">
        <f>"2"</f>
        <v>2</v>
      </c>
      <c r="G339" s="9" t="str">
        <f>"9"</f>
        <v>9</v>
      </c>
      <c r="H339" s="9" t="str">
        <f>"3"</f>
        <v>3</v>
      </c>
      <c r="I339" s="11">
        <v>2947561.03</v>
      </c>
    </row>
    <row r="340" spans="1:9" x14ac:dyDescent="0.25">
      <c r="A340" s="9">
        <v>691</v>
      </c>
      <c r="B340" s="10">
        <v>45016</v>
      </c>
      <c r="C340" s="9">
        <v>8</v>
      </c>
      <c r="D340" s="9" t="str">
        <f>"2206"</f>
        <v>2206</v>
      </c>
      <c r="E340" s="9" t="str">
        <f>"Краткосрочные вклады физических лиц"</f>
        <v>Краткосрочные вклады физических лиц</v>
      </c>
      <c r="F340" s="9" t="str">
        <f>"1"</f>
        <v>1</v>
      </c>
      <c r="G340" s="9" t="str">
        <f>"9"</f>
        <v>9</v>
      </c>
      <c r="H340" s="9" t="str">
        <f>"2"</f>
        <v>2</v>
      </c>
      <c r="I340" s="11">
        <v>108240184315.72</v>
      </c>
    </row>
    <row r="341" spans="1:9" x14ac:dyDescent="0.25">
      <c r="A341" s="9">
        <v>688</v>
      </c>
      <c r="B341" s="10">
        <v>45016</v>
      </c>
      <c r="C341" s="9">
        <v>8</v>
      </c>
      <c r="D341" s="9" t="str">
        <f>"2207"</f>
        <v>2207</v>
      </c>
      <c r="E341" s="9" t="str">
        <f>"Долгосрочные вклады физических лиц"</f>
        <v>Долгосрочные вклады физических лиц</v>
      </c>
      <c r="F341" s="9" t="str">
        <f>"1"</f>
        <v>1</v>
      </c>
      <c r="G341" s="9" t="str">
        <f>"9"</f>
        <v>9</v>
      </c>
      <c r="H341" s="9" t="str">
        <f>"2"</f>
        <v>2</v>
      </c>
      <c r="I341" s="11">
        <v>65503012465.360001</v>
      </c>
    </row>
    <row r="342" spans="1:9" x14ac:dyDescent="0.25">
      <c r="A342" s="9">
        <v>689</v>
      </c>
      <c r="B342" s="10">
        <v>45016</v>
      </c>
      <c r="C342" s="9">
        <v>8</v>
      </c>
      <c r="D342" s="9" t="str">
        <f>"2207"</f>
        <v>2207</v>
      </c>
      <c r="E342" s="9" t="str">
        <f>"Долгосрочные вклады физических лиц"</f>
        <v>Долгосрочные вклады физических лиц</v>
      </c>
      <c r="F342" s="9" t="str">
        <f>"2"</f>
        <v>2</v>
      </c>
      <c r="G342" s="9" t="str">
        <f>"9"</f>
        <v>9</v>
      </c>
      <c r="H342" s="9" t="str">
        <f>"1"</f>
        <v>1</v>
      </c>
      <c r="I342" s="11">
        <v>456823764.58999997</v>
      </c>
    </row>
    <row r="343" spans="1:9" x14ac:dyDescent="0.25">
      <c r="A343" s="9">
        <v>690</v>
      </c>
      <c r="B343" s="10">
        <v>45016</v>
      </c>
      <c r="C343" s="9">
        <v>8</v>
      </c>
      <c r="D343" s="9" t="str">
        <f>"2207"</f>
        <v>2207</v>
      </c>
      <c r="E343" s="9" t="str">
        <f>"Долгосрочные вклады физических лиц"</f>
        <v>Долгосрочные вклады физических лиц</v>
      </c>
      <c r="F343" s="9" t="str">
        <f>"1"</f>
        <v>1</v>
      </c>
      <c r="G343" s="9" t="str">
        <f>"9"</f>
        <v>9</v>
      </c>
      <c r="H343" s="9" t="str">
        <f>"3"</f>
        <v>3</v>
      </c>
      <c r="I343" s="11">
        <v>20064966.079999998</v>
      </c>
    </row>
    <row r="344" spans="1:9" x14ac:dyDescent="0.25">
      <c r="A344" s="9">
        <v>692</v>
      </c>
      <c r="B344" s="10">
        <v>45016</v>
      </c>
      <c r="C344" s="9">
        <v>8</v>
      </c>
      <c r="D344" s="9" t="str">
        <f>"2207"</f>
        <v>2207</v>
      </c>
      <c r="E344" s="9" t="str">
        <f>"Долгосрочные вклады физических лиц"</f>
        <v>Долгосрочные вклады физических лиц</v>
      </c>
      <c r="F344" s="9" t="str">
        <f>"1"</f>
        <v>1</v>
      </c>
      <c r="G344" s="9" t="str">
        <f>"9"</f>
        <v>9</v>
      </c>
      <c r="H344" s="9" t="str">
        <f>"1"</f>
        <v>1</v>
      </c>
      <c r="I344" s="11">
        <v>3756306953.8200002</v>
      </c>
    </row>
    <row r="345" spans="1:9" x14ac:dyDescent="0.25">
      <c r="A345" s="9">
        <v>693</v>
      </c>
      <c r="B345" s="10">
        <v>45016</v>
      </c>
      <c r="C345" s="9">
        <v>8</v>
      </c>
      <c r="D345" s="9" t="str">
        <f>"2207"</f>
        <v>2207</v>
      </c>
      <c r="E345" s="9" t="str">
        <f>"Долгосрочные вклады физических лиц"</f>
        <v>Долгосрочные вклады физических лиц</v>
      </c>
      <c r="F345" s="9" t="str">
        <f>"2"</f>
        <v>2</v>
      </c>
      <c r="G345" s="9" t="str">
        <f>"9"</f>
        <v>9</v>
      </c>
      <c r="H345" s="9" t="str">
        <f>"3"</f>
        <v>3</v>
      </c>
      <c r="I345" s="11">
        <v>4615.62</v>
      </c>
    </row>
    <row r="346" spans="1:9" x14ac:dyDescent="0.25">
      <c r="A346" s="9">
        <v>695</v>
      </c>
      <c r="B346" s="10">
        <v>45016</v>
      </c>
      <c r="C346" s="9">
        <v>8</v>
      </c>
      <c r="D346" s="9" t="str">
        <f>"2207"</f>
        <v>2207</v>
      </c>
      <c r="E346" s="9" t="str">
        <f>"Долгосрочные вклады физических лиц"</f>
        <v>Долгосрочные вклады физических лиц</v>
      </c>
      <c r="F346" s="9" t="str">
        <f>"2"</f>
        <v>2</v>
      </c>
      <c r="G346" s="9" t="str">
        <f>"9"</f>
        <v>9</v>
      </c>
      <c r="H346" s="9" t="str">
        <f>"2"</f>
        <v>2</v>
      </c>
      <c r="I346" s="11">
        <v>2406554567.4200001</v>
      </c>
    </row>
    <row r="347" spans="1:9" x14ac:dyDescent="0.25">
      <c r="A347" s="9">
        <v>696</v>
      </c>
      <c r="B347" s="10">
        <v>45016</v>
      </c>
      <c r="C347" s="9">
        <v>8</v>
      </c>
      <c r="D347" s="9" t="str">
        <f>"2208"</f>
        <v>2208</v>
      </c>
      <c r="E347" s="9" t="str">
        <f>"Условные вклады физических лиц"</f>
        <v>Условные вклады физических лиц</v>
      </c>
      <c r="F347" s="9" t="str">
        <f>"1"</f>
        <v>1</v>
      </c>
      <c r="G347" s="9" t="str">
        <f>"9"</f>
        <v>9</v>
      </c>
      <c r="H347" s="9" t="str">
        <f>"1"</f>
        <v>1</v>
      </c>
      <c r="I347" s="11">
        <v>5000</v>
      </c>
    </row>
    <row r="348" spans="1:9" x14ac:dyDescent="0.25">
      <c r="A348" s="9">
        <v>694</v>
      </c>
      <c r="B348" s="10">
        <v>45016</v>
      </c>
      <c r="C348" s="9">
        <v>8</v>
      </c>
      <c r="D348" s="9" t="str">
        <f>"2211"</f>
        <v>2211</v>
      </c>
      <c r="E348" s="9" t="str">
        <f>"Вклады до востребования юридических лиц"</f>
        <v>Вклады до востребования юридических лиц</v>
      </c>
      <c r="F348" s="9" t="str">
        <f>"1"</f>
        <v>1</v>
      </c>
      <c r="G348" s="9" t="str">
        <f>"5"</f>
        <v>5</v>
      </c>
      <c r="H348" s="9" t="str">
        <f>"2"</f>
        <v>2</v>
      </c>
      <c r="I348" s="11">
        <v>985848.04</v>
      </c>
    </row>
    <row r="349" spans="1:9" x14ac:dyDescent="0.25">
      <c r="A349" s="9">
        <v>697</v>
      </c>
      <c r="B349" s="10">
        <v>45016</v>
      </c>
      <c r="C349" s="9">
        <v>8</v>
      </c>
      <c r="D349" s="9" t="str">
        <f>"2211"</f>
        <v>2211</v>
      </c>
      <c r="E349" s="9" t="str">
        <f>"Вклады до востребования юридических лиц"</f>
        <v>Вклады до востребования юридических лиц</v>
      </c>
      <c r="F349" s="9" t="str">
        <f>"1"</f>
        <v>1</v>
      </c>
      <c r="G349" s="9" t="str">
        <f>"7"</f>
        <v>7</v>
      </c>
      <c r="H349" s="9" t="str">
        <f>"2"</f>
        <v>2</v>
      </c>
      <c r="I349" s="11">
        <v>367665425.05000001</v>
      </c>
    </row>
    <row r="350" spans="1:9" x14ac:dyDescent="0.25">
      <c r="A350" s="9">
        <v>699</v>
      </c>
      <c r="B350" s="10">
        <v>45016</v>
      </c>
      <c r="C350" s="9">
        <v>8</v>
      </c>
      <c r="D350" s="9" t="str">
        <f>"2211"</f>
        <v>2211</v>
      </c>
      <c r="E350" s="9" t="str">
        <f>"Вклады до востребования юридических лиц"</f>
        <v>Вклады до востребования юридических лиц</v>
      </c>
      <c r="F350" s="9" t="str">
        <f>"1"</f>
        <v>1</v>
      </c>
      <c r="G350" s="9" t="str">
        <f>"7"</f>
        <v>7</v>
      </c>
      <c r="H350" s="9" t="str">
        <f>"1"</f>
        <v>1</v>
      </c>
      <c r="I350" s="11">
        <v>138000000</v>
      </c>
    </row>
    <row r="351" spans="1:9" x14ac:dyDescent="0.25">
      <c r="A351" s="9">
        <v>698</v>
      </c>
      <c r="B351" s="10">
        <v>45016</v>
      </c>
      <c r="C351" s="9">
        <v>8</v>
      </c>
      <c r="D351" s="9" t="str">
        <f>"2212"</f>
        <v>2212</v>
      </c>
      <c r="E351" s="9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351" s="9" t="str">
        <f>"1"</f>
        <v>1</v>
      </c>
      <c r="G351" s="9" t="str">
        <f>"9"</f>
        <v>9</v>
      </c>
      <c r="H351" s="9" t="str">
        <f>""</f>
        <v/>
      </c>
      <c r="I351" s="11">
        <v>303686259.83999997</v>
      </c>
    </row>
    <row r="352" spans="1:9" x14ac:dyDescent="0.25">
      <c r="A352" s="9">
        <v>700</v>
      </c>
      <c r="B352" s="10">
        <v>45016</v>
      </c>
      <c r="C352" s="9">
        <v>8</v>
      </c>
      <c r="D352" s="9" t="str">
        <f>"2213"</f>
        <v>2213</v>
      </c>
      <c r="E352" s="9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52" s="9" t="str">
        <f>"1"</f>
        <v>1</v>
      </c>
      <c r="G352" s="9" t="str">
        <f>"9"</f>
        <v>9</v>
      </c>
      <c r="H352" s="9" t="str">
        <f>"1"</f>
        <v>1</v>
      </c>
      <c r="I352" s="11">
        <v>9348572356</v>
      </c>
    </row>
    <row r="353" spans="1:9" x14ac:dyDescent="0.25">
      <c r="A353" s="9">
        <v>701</v>
      </c>
      <c r="B353" s="10">
        <v>45016</v>
      </c>
      <c r="C353" s="9">
        <v>8</v>
      </c>
      <c r="D353" s="9" t="str">
        <f>"2213"</f>
        <v>2213</v>
      </c>
      <c r="E353" s="9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53" s="9" t="str">
        <f>"1"</f>
        <v>1</v>
      </c>
      <c r="G353" s="9" t="str">
        <f>"9"</f>
        <v>9</v>
      </c>
      <c r="H353" s="9" t="str">
        <f>"2"</f>
        <v>2</v>
      </c>
      <c r="I353" s="11">
        <v>1242908655.6600001</v>
      </c>
    </row>
    <row r="354" spans="1:9" x14ac:dyDescent="0.25">
      <c r="A354" s="9">
        <v>702</v>
      </c>
      <c r="B354" s="10">
        <v>45016</v>
      </c>
      <c r="C354" s="9">
        <v>8</v>
      </c>
      <c r="D354" s="9" t="str">
        <f>"2213"</f>
        <v>2213</v>
      </c>
      <c r="E354" s="9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354" s="9" t="str">
        <f>"2"</f>
        <v>2</v>
      </c>
      <c r="G354" s="9" t="str">
        <f>"9"</f>
        <v>9</v>
      </c>
      <c r="H354" s="9" t="str">
        <f>"2"</f>
        <v>2</v>
      </c>
      <c r="I354" s="11">
        <v>2212380000</v>
      </c>
    </row>
    <row r="355" spans="1:9" x14ac:dyDescent="0.25">
      <c r="A355" s="9">
        <v>703</v>
      </c>
      <c r="B355" s="10">
        <v>45016</v>
      </c>
      <c r="C355" s="9">
        <v>8</v>
      </c>
      <c r="D355" s="9" t="str">
        <f>"2214"</f>
        <v>2214</v>
      </c>
      <c r="E355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55" s="9" t="str">
        <f>"2"</f>
        <v>2</v>
      </c>
      <c r="G355" s="9" t="str">
        <f>"9"</f>
        <v>9</v>
      </c>
      <c r="H355" s="9" t="str">
        <f>"1"</f>
        <v>1</v>
      </c>
      <c r="I355" s="11">
        <v>494372602.44</v>
      </c>
    </row>
    <row r="356" spans="1:9" x14ac:dyDescent="0.25">
      <c r="A356" s="9">
        <v>704</v>
      </c>
      <c r="B356" s="10">
        <v>45016</v>
      </c>
      <c r="C356" s="9">
        <v>8</v>
      </c>
      <c r="D356" s="9" t="str">
        <f>"2214"</f>
        <v>2214</v>
      </c>
      <c r="E356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56" s="9" t="str">
        <f>"1"</f>
        <v>1</v>
      </c>
      <c r="G356" s="9" t="str">
        <f>"9"</f>
        <v>9</v>
      </c>
      <c r="H356" s="9" t="str">
        <f>"1"</f>
        <v>1</v>
      </c>
      <c r="I356" s="11">
        <v>40643478517.480003</v>
      </c>
    </row>
    <row r="357" spans="1:9" x14ac:dyDescent="0.25">
      <c r="A357" s="9">
        <v>705</v>
      </c>
      <c r="B357" s="10">
        <v>45016</v>
      </c>
      <c r="C357" s="9">
        <v>8</v>
      </c>
      <c r="D357" s="9" t="str">
        <f>"2214"</f>
        <v>2214</v>
      </c>
      <c r="E357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57" s="9" t="str">
        <f>"2"</f>
        <v>2</v>
      </c>
      <c r="G357" s="9" t="str">
        <f>"9"</f>
        <v>9</v>
      </c>
      <c r="H357" s="9" t="str">
        <f>"2"</f>
        <v>2</v>
      </c>
      <c r="I357" s="11">
        <v>221045391.00999999</v>
      </c>
    </row>
    <row r="358" spans="1:9" x14ac:dyDescent="0.25">
      <c r="A358" s="9">
        <v>708</v>
      </c>
      <c r="B358" s="10">
        <v>45016</v>
      </c>
      <c r="C358" s="9">
        <v>8</v>
      </c>
      <c r="D358" s="9" t="str">
        <f>"2214"</f>
        <v>2214</v>
      </c>
      <c r="E358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58" s="9" t="str">
        <f>"1"</f>
        <v>1</v>
      </c>
      <c r="G358" s="9" t="str">
        <f>"9"</f>
        <v>9</v>
      </c>
      <c r="H358" s="9" t="str">
        <f>"2"</f>
        <v>2</v>
      </c>
      <c r="I358" s="11">
        <v>337873979.79000002</v>
      </c>
    </row>
    <row r="359" spans="1:9" x14ac:dyDescent="0.25">
      <c r="A359" s="9">
        <v>1</v>
      </c>
      <c r="B359" s="10">
        <v>45016</v>
      </c>
      <c r="C359" s="9">
        <v>8</v>
      </c>
      <c r="D359" s="9" t="str">
        <f>"2215"</f>
        <v>2215</v>
      </c>
      <c r="E359" s="9" t="str">
        <f>"Краткосрочные вклады юридических лиц"</f>
        <v>Краткосрочные вклады юридических лиц</v>
      </c>
      <c r="F359" s="9" t="str">
        <f>"2"</f>
        <v>2</v>
      </c>
      <c r="G359" s="9" t="str">
        <f>"7"</f>
        <v>7</v>
      </c>
      <c r="H359" s="9" t="str">
        <f>"2"</f>
        <v>2</v>
      </c>
      <c r="I359" s="11">
        <v>35554045744.449997</v>
      </c>
    </row>
    <row r="360" spans="1:9" x14ac:dyDescent="0.25">
      <c r="A360" s="9">
        <v>5</v>
      </c>
      <c r="B360" s="10">
        <v>45016</v>
      </c>
      <c r="C360" s="9">
        <v>8</v>
      </c>
      <c r="D360" s="9" t="str">
        <f>"2215"</f>
        <v>2215</v>
      </c>
      <c r="E360" s="9" t="str">
        <f>"Краткосрочные вклады юридических лиц"</f>
        <v>Краткосрочные вклады юридических лиц</v>
      </c>
      <c r="F360" s="9" t="str">
        <f>"1"</f>
        <v>1</v>
      </c>
      <c r="G360" s="9" t="str">
        <f>"8"</f>
        <v>8</v>
      </c>
      <c r="H360" s="9" t="str">
        <f>"3"</f>
        <v>3</v>
      </c>
      <c r="I360" s="11">
        <v>191738987.87</v>
      </c>
    </row>
    <row r="361" spans="1:9" x14ac:dyDescent="0.25">
      <c r="A361" s="9">
        <v>706</v>
      </c>
      <c r="B361" s="10">
        <v>45016</v>
      </c>
      <c r="C361" s="9">
        <v>8</v>
      </c>
      <c r="D361" s="9" t="str">
        <f>"2215"</f>
        <v>2215</v>
      </c>
      <c r="E361" s="9" t="str">
        <f>"Краткосрочные вклады юридических лиц"</f>
        <v>Краткосрочные вклады юридических лиц</v>
      </c>
      <c r="F361" s="9" t="str">
        <f>"1"</f>
        <v>1</v>
      </c>
      <c r="G361" s="9" t="str">
        <f>"5"</f>
        <v>5</v>
      </c>
      <c r="H361" s="9" t="str">
        <f>"1"</f>
        <v>1</v>
      </c>
      <c r="I361" s="11">
        <v>4696231520.9499998</v>
      </c>
    </row>
    <row r="362" spans="1:9" x14ac:dyDescent="0.25">
      <c r="A362" s="9">
        <v>707</v>
      </c>
      <c r="B362" s="10">
        <v>45016</v>
      </c>
      <c r="C362" s="9">
        <v>8</v>
      </c>
      <c r="D362" s="9" t="str">
        <f>"2215"</f>
        <v>2215</v>
      </c>
      <c r="E362" s="9" t="str">
        <f>"Краткосрочные вклады юридических лиц"</f>
        <v>Краткосрочные вклады юридических лиц</v>
      </c>
      <c r="F362" s="9" t="str">
        <f>"1"</f>
        <v>1</v>
      </c>
      <c r="G362" s="9" t="str">
        <f>"5"</f>
        <v>5</v>
      </c>
      <c r="H362" s="9" t="str">
        <f>"2"</f>
        <v>2</v>
      </c>
      <c r="I362" s="11">
        <v>120106635.44</v>
      </c>
    </row>
    <row r="363" spans="1:9" x14ac:dyDescent="0.25">
      <c r="A363" s="9">
        <v>709</v>
      </c>
      <c r="B363" s="10">
        <v>45016</v>
      </c>
      <c r="C363" s="9">
        <v>8</v>
      </c>
      <c r="D363" s="9" t="str">
        <f>"2215"</f>
        <v>2215</v>
      </c>
      <c r="E363" s="9" t="str">
        <f>"Краткосрочные вклады юридических лиц"</f>
        <v>Краткосрочные вклады юридических лиц</v>
      </c>
      <c r="F363" s="9" t="str">
        <f>"1"</f>
        <v>1</v>
      </c>
      <c r="G363" s="9" t="str">
        <f>"7"</f>
        <v>7</v>
      </c>
      <c r="H363" s="9" t="str">
        <f>"2"</f>
        <v>2</v>
      </c>
      <c r="I363" s="11">
        <v>31789155302.48</v>
      </c>
    </row>
    <row r="364" spans="1:9" x14ac:dyDescent="0.25">
      <c r="A364" s="9">
        <v>710</v>
      </c>
      <c r="B364" s="10">
        <v>45016</v>
      </c>
      <c r="C364" s="9">
        <v>8</v>
      </c>
      <c r="D364" s="9" t="str">
        <f>"2215"</f>
        <v>2215</v>
      </c>
      <c r="E364" s="9" t="str">
        <f>"Краткосрочные вклады юридических лиц"</f>
        <v>Краткосрочные вклады юридических лиц</v>
      </c>
      <c r="F364" s="9" t="str">
        <f>"1"</f>
        <v>1</v>
      </c>
      <c r="G364" s="9" t="str">
        <f>"6"</f>
        <v>6</v>
      </c>
      <c r="H364" s="9" t="str">
        <f>"1"</f>
        <v>1</v>
      </c>
      <c r="I364" s="11">
        <v>3257182622.6399999</v>
      </c>
    </row>
    <row r="365" spans="1:9" x14ac:dyDescent="0.25">
      <c r="A365" s="9">
        <v>711</v>
      </c>
      <c r="B365" s="10">
        <v>45016</v>
      </c>
      <c r="C365" s="9">
        <v>8</v>
      </c>
      <c r="D365" s="9" t="str">
        <f>"2215"</f>
        <v>2215</v>
      </c>
      <c r="E365" s="9" t="str">
        <f>"Краткосрочные вклады юридических лиц"</f>
        <v>Краткосрочные вклады юридических лиц</v>
      </c>
      <c r="F365" s="9" t="str">
        <f>"1"</f>
        <v>1</v>
      </c>
      <c r="G365" s="9" t="str">
        <f>"6"</f>
        <v>6</v>
      </c>
      <c r="H365" s="9" t="str">
        <f>"2"</f>
        <v>2</v>
      </c>
      <c r="I365" s="11">
        <v>9212706.7599999998</v>
      </c>
    </row>
    <row r="366" spans="1:9" x14ac:dyDescent="0.25">
      <c r="A366" s="9">
        <v>712</v>
      </c>
      <c r="B366" s="10">
        <v>45016</v>
      </c>
      <c r="C366" s="9">
        <v>8</v>
      </c>
      <c r="D366" s="9" t="str">
        <f>"2215"</f>
        <v>2215</v>
      </c>
      <c r="E366" s="9" t="str">
        <f>"Краткосрочные вклады юридических лиц"</f>
        <v>Краткосрочные вклады юридических лиц</v>
      </c>
      <c r="F366" s="9" t="str">
        <f>"1"</f>
        <v>1</v>
      </c>
      <c r="G366" s="9" t="str">
        <f>"7"</f>
        <v>7</v>
      </c>
      <c r="H366" s="9" t="str">
        <f>"1"</f>
        <v>1</v>
      </c>
      <c r="I366" s="11">
        <v>116043374325.88</v>
      </c>
    </row>
    <row r="367" spans="1:9" x14ac:dyDescent="0.25">
      <c r="A367" s="9">
        <v>713</v>
      </c>
      <c r="B367" s="10">
        <v>45016</v>
      </c>
      <c r="C367" s="9">
        <v>8</v>
      </c>
      <c r="D367" s="9" t="str">
        <f>"2215"</f>
        <v>2215</v>
      </c>
      <c r="E367" s="9" t="str">
        <f>"Краткосрочные вклады юридических лиц"</f>
        <v>Краткосрочные вклады юридических лиц</v>
      </c>
      <c r="F367" s="9" t="str">
        <f>"1"</f>
        <v>1</v>
      </c>
      <c r="G367" s="9" t="str">
        <f>"8"</f>
        <v>8</v>
      </c>
      <c r="H367" s="9" t="str">
        <f>"1"</f>
        <v>1</v>
      </c>
      <c r="I367" s="11">
        <v>36265714764.879997</v>
      </c>
    </row>
    <row r="368" spans="1:9" x14ac:dyDescent="0.25">
      <c r="A368" s="9">
        <v>714</v>
      </c>
      <c r="B368" s="10">
        <v>45016</v>
      </c>
      <c r="C368" s="9">
        <v>8</v>
      </c>
      <c r="D368" s="9" t="str">
        <f>"2215"</f>
        <v>2215</v>
      </c>
      <c r="E368" s="9" t="str">
        <f>"Краткосрочные вклады юридических лиц"</f>
        <v>Краткосрочные вклады юридических лиц</v>
      </c>
      <c r="F368" s="9" t="str">
        <f>"1"</f>
        <v>1</v>
      </c>
      <c r="G368" s="9" t="str">
        <f>"8"</f>
        <v>8</v>
      </c>
      <c r="H368" s="9" t="str">
        <f>"2"</f>
        <v>2</v>
      </c>
      <c r="I368" s="11">
        <v>18383640955.779999</v>
      </c>
    </row>
    <row r="369" spans="1:9" x14ac:dyDescent="0.25">
      <c r="A369" s="9">
        <v>715</v>
      </c>
      <c r="B369" s="10">
        <v>45016</v>
      </c>
      <c r="C369" s="9">
        <v>8</v>
      </c>
      <c r="D369" s="9" t="str">
        <f>"2215"</f>
        <v>2215</v>
      </c>
      <c r="E369" s="9" t="str">
        <f>"Краткосрочные вклады юридических лиц"</f>
        <v>Краткосрочные вклады юридических лиц</v>
      </c>
      <c r="F369" s="9" t="str">
        <f>"2"</f>
        <v>2</v>
      </c>
      <c r="G369" s="9" t="str">
        <f>"7"</f>
        <v>7</v>
      </c>
      <c r="H369" s="9" t="str">
        <f>"1"</f>
        <v>1</v>
      </c>
      <c r="I369" s="11">
        <v>305683776.35000002</v>
      </c>
    </row>
    <row r="370" spans="1:9" x14ac:dyDescent="0.25">
      <c r="A370" s="9">
        <v>716</v>
      </c>
      <c r="B370" s="10">
        <v>45016</v>
      </c>
      <c r="C370" s="9">
        <v>8</v>
      </c>
      <c r="D370" s="9" t="str">
        <f>"2215"</f>
        <v>2215</v>
      </c>
      <c r="E370" s="9" t="str">
        <f>"Краткосрочные вклады юридических лиц"</f>
        <v>Краткосрочные вклады юридических лиц</v>
      </c>
      <c r="F370" s="9" t="str">
        <f>"1"</f>
        <v>1</v>
      </c>
      <c r="G370" s="9" t="str">
        <f>"7"</f>
        <v>7</v>
      </c>
      <c r="H370" s="9" t="str">
        <f>"3"</f>
        <v>3</v>
      </c>
      <c r="I370" s="11">
        <v>367869307.74000001</v>
      </c>
    </row>
    <row r="371" spans="1:9" x14ac:dyDescent="0.25">
      <c r="A371" s="9">
        <v>2</v>
      </c>
      <c r="B371" s="10">
        <v>45016</v>
      </c>
      <c r="C371" s="9">
        <v>8</v>
      </c>
      <c r="D371" s="9" t="str">
        <f>"2217"</f>
        <v>2217</v>
      </c>
      <c r="E371" s="9" t="str">
        <f>"Долгосрочные вклады юридических лиц"</f>
        <v>Долгосрочные вклады юридических лиц</v>
      </c>
      <c r="F371" s="9" t="str">
        <f>"1"</f>
        <v>1</v>
      </c>
      <c r="G371" s="9" t="str">
        <f>"7"</f>
        <v>7</v>
      </c>
      <c r="H371" s="9" t="str">
        <f>"2"</f>
        <v>2</v>
      </c>
      <c r="I371" s="11">
        <v>16682929899.57</v>
      </c>
    </row>
    <row r="372" spans="1:9" x14ac:dyDescent="0.25">
      <c r="A372" s="9">
        <v>3</v>
      </c>
      <c r="B372" s="10">
        <v>45016</v>
      </c>
      <c r="C372" s="9">
        <v>8</v>
      </c>
      <c r="D372" s="9" t="str">
        <f>"2217"</f>
        <v>2217</v>
      </c>
      <c r="E372" s="9" t="str">
        <f>"Долгосрочные вклады юридических лиц"</f>
        <v>Долгосрочные вклады юридических лиц</v>
      </c>
      <c r="F372" s="9" t="str">
        <f>"1"</f>
        <v>1</v>
      </c>
      <c r="G372" s="9" t="str">
        <f>"5"</f>
        <v>5</v>
      </c>
      <c r="H372" s="9" t="str">
        <f>"2"</f>
        <v>2</v>
      </c>
      <c r="I372" s="11">
        <v>453943633.68000001</v>
      </c>
    </row>
    <row r="373" spans="1:9" x14ac:dyDescent="0.25">
      <c r="A373" s="9">
        <v>4</v>
      </c>
      <c r="B373" s="10">
        <v>45016</v>
      </c>
      <c r="C373" s="9">
        <v>8</v>
      </c>
      <c r="D373" s="9" t="str">
        <f>"2217"</f>
        <v>2217</v>
      </c>
      <c r="E373" s="9" t="str">
        <f>"Долгосрочные вклады юридических лиц"</f>
        <v>Долгосрочные вклады юридических лиц</v>
      </c>
      <c r="F373" s="9" t="str">
        <f>"1"</f>
        <v>1</v>
      </c>
      <c r="G373" s="9" t="str">
        <f>"7"</f>
        <v>7</v>
      </c>
      <c r="H373" s="9" t="str">
        <f>"1"</f>
        <v>1</v>
      </c>
      <c r="I373" s="11">
        <v>24078800236.360001</v>
      </c>
    </row>
    <row r="374" spans="1:9" x14ac:dyDescent="0.25">
      <c r="A374" s="9">
        <v>7</v>
      </c>
      <c r="B374" s="10">
        <v>45016</v>
      </c>
      <c r="C374" s="9">
        <v>8</v>
      </c>
      <c r="D374" s="9" t="str">
        <f>"2217"</f>
        <v>2217</v>
      </c>
      <c r="E374" s="9" t="str">
        <f>"Долгосрочные вклады юридических лиц"</f>
        <v>Долгосрочные вклады юридических лиц</v>
      </c>
      <c r="F374" s="9" t="str">
        <f>"1"</f>
        <v>1</v>
      </c>
      <c r="G374" s="9" t="str">
        <f>"8"</f>
        <v>8</v>
      </c>
      <c r="H374" s="9" t="str">
        <f>"2"</f>
        <v>2</v>
      </c>
      <c r="I374" s="11">
        <v>16410025761.66</v>
      </c>
    </row>
    <row r="375" spans="1:9" x14ac:dyDescent="0.25">
      <c r="A375" s="9">
        <v>8</v>
      </c>
      <c r="B375" s="10">
        <v>45016</v>
      </c>
      <c r="C375" s="9">
        <v>8</v>
      </c>
      <c r="D375" s="9" t="str">
        <f>"2217"</f>
        <v>2217</v>
      </c>
      <c r="E375" s="9" t="str">
        <f>"Долгосрочные вклады юридических лиц"</f>
        <v>Долгосрочные вклады юридических лиц</v>
      </c>
      <c r="F375" s="9" t="str">
        <f>"1"</f>
        <v>1</v>
      </c>
      <c r="G375" s="9" t="str">
        <f>"5"</f>
        <v>5</v>
      </c>
      <c r="H375" s="9" t="str">
        <f>"1"</f>
        <v>1</v>
      </c>
      <c r="I375" s="11">
        <v>670915549.95000005</v>
      </c>
    </row>
    <row r="376" spans="1:9" x14ac:dyDescent="0.25">
      <c r="A376" s="9">
        <v>6</v>
      </c>
      <c r="B376" s="10">
        <v>45016</v>
      </c>
      <c r="C376" s="9">
        <v>8</v>
      </c>
      <c r="D376" s="9" t="str">
        <f>"2218"</f>
        <v>2218</v>
      </c>
      <c r="E376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76" s="9" t="str">
        <f>"1"</f>
        <v>1</v>
      </c>
      <c r="G376" s="9" t="str">
        <f>"5"</f>
        <v>5</v>
      </c>
      <c r="H376" s="9" t="str">
        <f>"1"</f>
        <v>1</v>
      </c>
      <c r="I376" s="11">
        <v>1668064936.1600001</v>
      </c>
    </row>
    <row r="377" spans="1:9" x14ac:dyDescent="0.25">
      <c r="A377" s="9">
        <v>9</v>
      </c>
      <c r="B377" s="10">
        <v>45016</v>
      </c>
      <c r="C377" s="9">
        <v>8</v>
      </c>
      <c r="D377" s="9" t="str">
        <f>"2218"</f>
        <v>2218</v>
      </c>
      <c r="E377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77" s="9" t="str">
        <f>"1"</f>
        <v>1</v>
      </c>
      <c r="G377" s="9" t="str">
        <f>"7"</f>
        <v>7</v>
      </c>
      <c r="H377" s="9" t="str">
        <f>"2"</f>
        <v>2</v>
      </c>
      <c r="I377" s="11">
        <v>1083087652.5</v>
      </c>
    </row>
    <row r="378" spans="1:9" x14ac:dyDescent="0.25">
      <c r="A378" s="9">
        <v>10</v>
      </c>
      <c r="B378" s="10">
        <v>45016</v>
      </c>
      <c r="C378" s="9">
        <v>8</v>
      </c>
      <c r="D378" s="9" t="str">
        <f>"2219"</f>
        <v>2219</v>
      </c>
      <c r="E378" s="9" t="str">
        <f>"Условные вклады юридических лиц"</f>
        <v>Условные вклады юридических лиц</v>
      </c>
      <c r="F378" s="9" t="str">
        <f>"1"</f>
        <v>1</v>
      </c>
      <c r="G378" s="9" t="str">
        <f>"7"</f>
        <v>7</v>
      </c>
      <c r="H378" s="9" t="str">
        <f>"1"</f>
        <v>1</v>
      </c>
      <c r="I378" s="11">
        <v>8151893144.4099998</v>
      </c>
    </row>
    <row r="379" spans="1:9" x14ac:dyDescent="0.25">
      <c r="A379" s="9">
        <v>11</v>
      </c>
      <c r="B379" s="10">
        <v>45016</v>
      </c>
      <c r="C379" s="9">
        <v>8</v>
      </c>
      <c r="D379" s="9" t="str">
        <f>"2219"</f>
        <v>2219</v>
      </c>
      <c r="E379" s="9" t="str">
        <f>"Условные вклады юридических лиц"</f>
        <v>Условные вклады юридических лиц</v>
      </c>
      <c r="F379" s="9" t="str">
        <f>"1"</f>
        <v>1</v>
      </c>
      <c r="G379" s="9" t="str">
        <f>"6"</f>
        <v>6</v>
      </c>
      <c r="H379" s="9" t="str">
        <f>"1"</f>
        <v>1</v>
      </c>
      <c r="I379" s="11">
        <v>2505009.23</v>
      </c>
    </row>
    <row r="380" spans="1:9" x14ac:dyDescent="0.25">
      <c r="A380" s="9">
        <v>16</v>
      </c>
      <c r="B380" s="10">
        <v>45016</v>
      </c>
      <c r="C380" s="9">
        <v>8</v>
      </c>
      <c r="D380" s="9" t="str">
        <f>"2219"</f>
        <v>2219</v>
      </c>
      <c r="E380" s="9" t="str">
        <f>"Условные вклады юридических лиц"</f>
        <v>Условные вклады юридических лиц</v>
      </c>
      <c r="F380" s="9" t="str">
        <f>"1"</f>
        <v>1</v>
      </c>
      <c r="G380" s="9" t="str">
        <f>"7"</f>
        <v>7</v>
      </c>
      <c r="H380" s="9" t="str">
        <f>"2"</f>
        <v>2</v>
      </c>
      <c r="I380" s="11">
        <v>3660378050.8299999</v>
      </c>
    </row>
    <row r="381" spans="1:9" x14ac:dyDescent="0.25">
      <c r="A381" s="9">
        <v>12</v>
      </c>
      <c r="B381" s="10">
        <v>45016</v>
      </c>
      <c r="C381" s="9">
        <v>8</v>
      </c>
      <c r="D381" s="9" t="str">
        <f>"2220"</f>
        <v>2220</v>
      </c>
      <c r="E381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81" s="9" t="str">
        <f>"1"</f>
        <v>1</v>
      </c>
      <c r="G381" s="9" t="str">
        <f>"6"</f>
        <v>6</v>
      </c>
      <c r="H381" s="9" t="str">
        <f>"1"</f>
        <v>1</v>
      </c>
      <c r="I381" s="11">
        <v>1362430000</v>
      </c>
    </row>
    <row r="382" spans="1:9" x14ac:dyDescent="0.25">
      <c r="A382" s="9">
        <v>13</v>
      </c>
      <c r="B382" s="10">
        <v>45016</v>
      </c>
      <c r="C382" s="9">
        <v>8</v>
      </c>
      <c r="D382" s="9" t="str">
        <f>"2220"</f>
        <v>2220</v>
      </c>
      <c r="E382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82" s="9" t="str">
        <f>"1"</f>
        <v>1</v>
      </c>
      <c r="G382" s="9" t="str">
        <f>"7"</f>
        <v>7</v>
      </c>
      <c r="H382" s="9" t="str">
        <f>"1"</f>
        <v>1</v>
      </c>
      <c r="I382" s="11">
        <v>18519168401</v>
      </c>
    </row>
    <row r="383" spans="1:9" x14ac:dyDescent="0.25">
      <c r="A383" s="9">
        <v>14</v>
      </c>
      <c r="B383" s="10">
        <v>45016</v>
      </c>
      <c r="C383" s="9">
        <v>8</v>
      </c>
      <c r="D383" s="9" t="str">
        <f>"2220"</f>
        <v>2220</v>
      </c>
      <c r="E383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83" s="9" t="str">
        <f>"1"</f>
        <v>1</v>
      </c>
      <c r="G383" s="9" t="str">
        <f>"7"</f>
        <v>7</v>
      </c>
      <c r="H383" s="9" t="str">
        <f>"2"</f>
        <v>2</v>
      </c>
      <c r="I383" s="11">
        <v>9263198738.9799995</v>
      </c>
    </row>
    <row r="384" spans="1:9" x14ac:dyDescent="0.25">
      <c r="A384" s="9">
        <v>15</v>
      </c>
      <c r="B384" s="10">
        <v>45016</v>
      </c>
      <c r="C384" s="9">
        <v>8</v>
      </c>
      <c r="D384" s="9" t="str">
        <f>"2220"</f>
        <v>2220</v>
      </c>
      <c r="E384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84" s="9" t="str">
        <f>"1"</f>
        <v>1</v>
      </c>
      <c r="G384" s="9" t="str">
        <f>"5"</f>
        <v>5</v>
      </c>
      <c r="H384" s="9" t="str">
        <f>"1"</f>
        <v>1</v>
      </c>
      <c r="I384" s="11">
        <v>100001000</v>
      </c>
    </row>
    <row r="385" spans="1:9" x14ac:dyDescent="0.25">
      <c r="A385" s="9">
        <v>17</v>
      </c>
      <c r="B385" s="10">
        <v>45016</v>
      </c>
      <c r="C385" s="9">
        <v>8</v>
      </c>
      <c r="D385" s="9" t="str">
        <f>"2220"</f>
        <v>2220</v>
      </c>
      <c r="E385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85" s="9" t="str">
        <f>"1"</f>
        <v>1</v>
      </c>
      <c r="G385" s="9" t="str">
        <f>"8"</f>
        <v>8</v>
      </c>
      <c r="H385" s="9" t="str">
        <f>"1"</f>
        <v>1</v>
      </c>
      <c r="I385" s="11">
        <v>4000000000</v>
      </c>
    </row>
    <row r="386" spans="1:9" x14ac:dyDescent="0.25">
      <c r="A386" s="9">
        <v>18</v>
      </c>
      <c r="B386" s="10">
        <v>45016</v>
      </c>
      <c r="C386" s="9">
        <v>8</v>
      </c>
      <c r="D386" s="9" t="str">
        <f>"2223"</f>
        <v>2223</v>
      </c>
      <c r="E386" s="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86" s="9" t="str">
        <f>"1"</f>
        <v>1</v>
      </c>
      <c r="G386" s="9" t="str">
        <f>"7"</f>
        <v>7</v>
      </c>
      <c r="H386" s="9" t="str">
        <f>"1"</f>
        <v>1</v>
      </c>
      <c r="I386" s="11">
        <v>12031685916.780001</v>
      </c>
    </row>
    <row r="387" spans="1:9" x14ac:dyDescent="0.25">
      <c r="A387" s="9">
        <v>22</v>
      </c>
      <c r="B387" s="10">
        <v>45016</v>
      </c>
      <c r="C387" s="9">
        <v>8</v>
      </c>
      <c r="D387" s="9" t="str">
        <f>"2223"</f>
        <v>2223</v>
      </c>
      <c r="E387" s="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87" s="9" t="str">
        <f>"1"</f>
        <v>1</v>
      </c>
      <c r="G387" s="9" t="str">
        <f>"7"</f>
        <v>7</v>
      </c>
      <c r="H387" s="9" t="str">
        <f>"2"</f>
        <v>2</v>
      </c>
      <c r="I387" s="11">
        <v>16731607393.309999</v>
      </c>
    </row>
    <row r="388" spans="1:9" x14ac:dyDescent="0.25">
      <c r="A388" s="9">
        <v>19</v>
      </c>
      <c r="B388" s="10">
        <v>45016</v>
      </c>
      <c r="C388" s="9">
        <v>8</v>
      </c>
      <c r="D388" s="9" t="str">
        <f>"2227"</f>
        <v>2227</v>
      </c>
      <c r="E388" s="9" t="str">
        <f>"Обязательства по аренде"</f>
        <v>Обязательства по аренде</v>
      </c>
      <c r="F388" s="9" t="str">
        <f>"1"</f>
        <v>1</v>
      </c>
      <c r="G388" s="9" t="str">
        <f>"7"</f>
        <v>7</v>
      </c>
      <c r="H388" s="9" t="str">
        <f>"1"</f>
        <v>1</v>
      </c>
      <c r="I388" s="11">
        <v>367569713.30000001</v>
      </c>
    </row>
    <row r="389" spans="1:9" x14ac:dyDescent="0.25">
      <c r="A389" s="9">
        <v>23</v>
      </c>
      <c r="B389" s="10">
        <v>45016</v>
      </c>
      <c r="C389" s="9">
        <v>8</v>
      </c>
      <c r="D389" s="9" t="str">
        <f>"2227"</f>
        <v>2227</v>
      </c>
      <c r="E389" s="9" t="str">
        <f>"Обязательства по аренде"</f>
        <v>Обязательства по аренде</v>
      </c>
      <c r="F389" s="9" t="str">
        <f>"1"</f>
        <v>1</v>
      </c>
      <c r="G389" s="9" t="str">
        <f>"9"</f>
        <v>9</v>
      </c>
      <c r="H389" s="9" t="str">
        <f>"1"</f>
        <v>1</v>
      </c>
      <c r="I389" s="11">
        <v>407128349.99000001</v>
      </c>
    </row>
    <row r="390" spans="1:9" x14ac:dyDescent="0.25">
      <c r="A390" s="9">
        <v>20</v>
      </c>
      <c r="B390" s="10">
        <v>45016</v>
      </c>
      <c r="C390" s="9">
        <v>8</v>
      </c>
      <c r="D390" s="9" t="str">
        <f>"2229"</f>
        <v>2229</v>
      </c>
      <c r="E390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90" s="9" t="str">
        <f>"1"</f>
        <v>1</v>
      </c>
      <c r="G390" s="9" t="str">
        <f>"9"</f>
        <v>9</v>
      </c>
      <c r="H390" s="9" t="str">
        <f>"1"</f>
        <v>1</v>
      </c>
      <c r="I390" s="11">
        <v>1459170011.6199999</v>
      </c>
    </row>
    <row r="391" spans="1:9" x14ac:dyDescent="0.25">
      <c r="A391" s="9">
        <v>21</v>
      </c>
      <c r="B391" s="10">
        <v>45016</v>
      </c>
      <c r="C391" s="9">
        <v>8</v>
      </c>
      <c r="D391" s="9" t="str">
        <f>"2229"</f>
        <v>2229</v>
      </c>
      <c r="E391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91" s="9" t="str">
        <f>"1"</f>
        <v>1</v>
      </c>
      <c r="G391" s="9" t="str">
        <f>"9"</f>
        <v>9</v>
      </c>
      <c r="H391" s="9" t="str">
        <f>"2"</f>
        <v>2</v>
      </c>
      <c r="I391" s="11">
        <v>52943424.909999996</v>
      </c>
    </row>
    <row r="392" spans="1:9" x14ac:dyDescent="0.25">
      <c r="A392" s="9">
        <v>24</v>
      </c>
      <c r="B392" s="10">
        <v>45016</v>
      </c>
      <c r="C392" s="9">
        <v>8</v>
      </c>
      <c r="D392" s="9" t="str">
        <f>"2229"</f>
        <v>2229</v>
      </c>
      <c r="E392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F392" s="9" t="str">
        <f>"2"</f>
        <v>2</v>
      </c>
      <c r="G392" s="9" t="str">
        <f>"9"</f>
        <v>9</v>
      </c>
      <c r="H392" s="9" t="str">
        <f>"1"</f>
        <v>1</v>
      </c>
      <c r="I392" s="11">
        <v>18227761.460000001</v>
      </c>
    </row>
    <row r="393" spans="1:9" x14ac:dyDescent="0.25">
      <c r="A393" s="9">
        <v>25</v>
      </c>
      <c r="B393" s="10">
        <v>45016</v>
      </c>
      <c r="C393" s="9">
        <v>8</v>
      </c>
      <c r="D393" s="9" t="str">
        <f>"2237"</f>
        <v>2237</v>
      </c>
      <c r="E393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3" s="9" t="str">
        <f>"1"</f>
        <v>1</v>
      </c>
      <c r="G393" s="9" t="str">
        <f>"5"</f>
        <v>5</v>
      </c>
      <c r="H393" s="9" t="str">
        <f>"1"</f>
        <v>1</v>
      </c>
      <c r="I393" s="11">
        <v>0</v>
      </c>
    </row>
    <row r="394" spans="1:9" x14ac:dyDescent="0.25">
      <c r="A394" s="9">
        <v>26</v>
      </c>
      <c r="B394" s="10">
        <v>45016</v>
      </c>
      <c r="C394" s="9">
        <v>8</v>
      </c>
      <c r="D394" s="9" t="str">
        <f>"2237"</f>
        <v>2237</v>
      </c>
      <c r="E394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4" s="9" t="str">
        <f>"1"</f>
        <v>1</v>
      </c>
      <c r="G394" s="9" t="str">
        <f>"7"</f>
        <v>7</v>
      </c>
      <c r="H394" s="9" t="str">
        <f>"1"</f>
        <v>1</v>
      </c>
      <c r="I394" s="11">
        <v>3981579544.5999999</v>
      </c>
    </row>
    <row r="395" spans="1:9" x14ac:dyDescent="0.25">
      <c r="A395" s="9">
        <v>27</v>
      </c>
      <c r="B395" s="10">
        <v>45016</v>
      </c>
      <c r="C395" s="9">
        <v>8</v>
      </c>
      <c r="D395" s="9" t="str">
        <f>"2237"</f>
        <v>2237</v>
      </c>
      <c r="E395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5" s="9" t="str">
        <f>"1"</f>
        <v>1</v>
      </c>
      <c r="G395" s="9" t="str">
        <f>"5"</f>
        <v>5</v>
      </c>
      <c r="H395" s="9" t="str">
        <f>"2"</f>
        <v>2</v>
      </c>
      <c r="I395" s="11">
        <v>0</v>
      </c>
    </row>
    <row r="396" spans="1:9" x14ac:dyDescent="0.25">
      <c r="A396" s="9">
        <v>28</v>
      </c>
      <c r="B396" s="10">
        <v>45016</v>
      </c>
      <c r="C396" s="9">
        <v>8</v>
      </c>
      <c r="D396" s="9" t="str">
        <f>"2237"</f>
        <v>2237</v>
      </c>
      <c r="E396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6" s="9" t="str">
        <f>"1"</f>
        <v>1</v>
      </c>
      <c r="G396" s="9" t="str">
        <f>"7"</f>
        <v>7</v>
      </c>
      <c r="H396" s="9" t="str">
        <f>"2"</f>
        <v>2</v>
      </c>
      <c r="I396" s="11">
        <v>1066762258.8099999</v>
      </c>
    </row>
    <row r="397" spans="1:9" x14ac:dyDescent="0.25">
      <c r="A397" s="9">
        <v>29</v>
      </c>
      <c r="B397" s="10">
        <v>45016</v>
      </c>
      <c r="C397" s="9">
        <v>8</v>
      </c>
      <c r="D397" s="9" t="str">
        <f>"2237"</f>
        <v>2237</v>
      </c>
      <c r="E397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7" s="9" t="str">
        <f>"1"</f>
        <v>1</v>
      </c>
      <c r="G397" s="9" t="str">
        <f>"5"</f>
        <v>5</v>
      </c>
      <c r="H397" s="9" t="str">
        <f>"3"</f>
        <v>3</v>
      </c>
      <c r="I397" s="11">
        <v>72756494.060000002</v>
      </c>
    </row>
    <row r="398" spans="1:9" x14ac:dyDescent="0.25">
      <c r="A398" s="9">
        <v>30</v>
      </c>
      <c r="B398" s="10">
        <v>45016</v>
      </c>
      <c r="C398" s="9">
        <v>8</v>
      </c>
      <c r="D398" s="9" t="str">
        <f>"2237"</f>
        <v>2237</v>
      </c>
      <c r="E398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8" s="9" t="str">
        <f>"1"</f>
        <v>1</v>
      </c>
      <c r="G398" s="9" t="str">
        <f>"6"</f>
        <v>6</v>
      </c>
      <c r="H398" s="9" t="str">
        <f>"2"</f>
        <v>2</v>
      </c>
      <c r="I398" s="11">
        <v>4832934.28</v>
      </c>
    </row>
    <row r="399" spans="1:9" x14ac:dyDescent="0.25">
      <c r="A399" s="9">
        <v>31</v>
      </c>
      <c r="B399" s="10">
        <v>45016</v>
      </c>
      <c r="C399" s="9">
        <v>8</v>
      </c>
      <c r="D399" s="9" t="str">
        <f>"2237"</f>
        <v>2237</v>
      </c>
      <c r="E399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9" s="9" t="str">
        <f>"1"</f>
        <v>1</v>
      </c>
      <c r="G399" s="9" t="str">
        <f>"8"</f>
        <v>8</v>
      </c>
      <c r="H399" s="9" t="str">
        <f>"2"</f>
        <v>2</v>
      </c>
      <c r="I399" s="11">
        <v>1159961969.9400001</v>
      </c>
    </row>
    <row r="400" spans="1:9" x14ac:dyDescent="0.25">
      <c r="A400" s="9">
        <v>32</v>
      </c>
      <c r="B400" s="10">
        <v>45016</v>
      </c>
      <c r="C400" s="9">
        <v>8</v>
      </c>
      <c r="D400" s="9" t="str">
        <f>"2237"</f>
        <v>2237</v>
      </c>
      <c r="E400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0" s="9" t="str">
        <f>"1"</f>
        <v>1</v>
      </c>
      <c r="G400" s="9" t="str">
        <f>"8"</f>
        <v>8</v>
      </c>
      <c r="H400" s="9" t="str">
        <f>"3"</f>
        <v>3</v>
      </c>
      <c r="I400" s="11">
        <v>99620</v>
      </c>
    </row>
    <row r="401" spans="1:9" x14ac:dyDescent="0.25">
      <c r="A401" s="9">
        <v>33</v>
      </c>
      <c r="B401" s="10">
        <v>45016</v>
      </c>
      <c r="C401" s="9">
        <v>8</v>
      </c>
      <c r="D401" s="9" t="str">
        <f>"2237"</f>
        <v>2237</v>
      </c>
      <c r="E401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1" s="9" t="str">
        <f>"1"</f>
        <v>1</v>
      </c>
      <c r="G401" s="9" t="str">
        <f>"7"</f>
        <v>7</v>
      </c>
      <c r="H401" s="9" t="str">
        <f>"3"</f>
        <v>3</v>
      </c>
      <c r="I401" s="11">
        <v>149658360.47</v>
      </c>
    </row>
    <row r="402" spans="1:9" x14ac:dyDescent="0.25">
      <c r="A402" s="9">
        <v>34</v>
      </c>
      <c r="B402" s="10">
        <v>45016</v>
      </c>
      <c r="C402" s="9">
        <v>8</v>
      </c>
      <c r="D402" s="9" t="str">
        <f>"2237"</f>
        <v>2237</v>
      </c>
      <c r="E402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2" s="9" t="str">
        <f>"1"</f>
        <v>1</v>
      </c>
      <c r="G402" s="9" t="str">
        <f>"9"</f>
        <v>9</v>
      </c>
      <c r="H402" s="9" t="str">
        <f>"2"</f>
        <v>2</v>
      </c>
      <c r="I402" s="11">
        <v>22885126.41</v>
      </c>
    </row>
    <row r="403" spans="1:9" x14ac:dyDescent="0.25">
      <c r="A403" s="9">
        <v>35</v>
      </c>
      <c r="B403" s="10">
        <v>45016</v>
      </c>
      <c r="C403" s="9">
        <v>8</v>
      </c>
      <c r="D403" s="9" t="str">
        <f>"2237"</f>
        <v>2237</v>
      </c>
      <c r="E403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3" s="9" t="str">
        <f>"1"</f>
        <v>1</v>
      </c>
      <c r="G403" s="9" t="str">
        <f>"9"</f>
        <v>9</v>
      </c>
      <c r="H403" s="9" t="str">
        <f>"1"</f>
        <v>1</v>
      </c>
      <c r="I403" s="11">
        <v>6779945</v>
      </c>
    </row>
    <row r="404" spans="1:9" x14ac:dyDescent="0.25">
      <c r="A404" s="9">
        <v>36</v>
      </c>
      <c r="B404" s="10">
        <v>45016</v>
      </c>
      <c r="C404" s="9">
        <v>8</v>
      </c>
      <c r="D404" s="9" t="str">
        <f>"2237"</f>
        <v>2237</v>
      </c>
      <c r="E404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4" s="9" t="str">
        <f>"2"</f>
        <v>2</v>
      </c>
      <c r="G404" s="9" t="str">
        <f>"5"</f>
        <v>5</v>
      </c>
      <c r="H404" s="9" t="str">
        <f>"2"</f>
        <v>2</v>
      </c>
      <c r="I404" s="11">
        <v>1001348.4</v>
      </c>
    </row>
    <row r="405" spans="1:9" x14ac:dyDescent="0.25">
      <c r="A405" s="9">
        <v>37</v>
      </c>
      <c r="B405" s="10">
        <v>45016</v>
      </c>
      <c r="C405" s="9">
        <v>8</v>
      </c>
      <c r="D405" s="9" t="str">
        <f>"2237"</f>
        <v>2237</v>
      </c>
      <c r="E405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5" s="9" t="str">
        <f>"2"</f>
        <v>2</v>
      </c>
      <c r="G405" s="9" t="str">
        <f>"7"</f>
        <v>7</v>
      </c>
      <c r="H405" s="9" t="str">
        <f>"1"</f>
        <v>1</v>
      </c>
      <c r="I405" s="11">
        <v>1149159036.9200001</v>
      </c>
    </row>
    <row r="406" spans="1:9" x14ac:dyDescent="0.25">
      <c r="A406" s="9">
        <v>38</v>
      </c>
      <c r="B406" s="10">
        <v>45016</v>
      </c>
      <c r="C406" s="9">
        <v>8</v>
      </c>
      <c r="D406" s="9" t="str">
        <f>"2237"</f>
        <v>2237</v>
      </c>
      <c r="E406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6" s="9" t="str">
        <f>"2"</f>
        <v>2</v>
      </c>
      <c r="G406" s="9" t="str">
        <f>"8"</f>
        <v>8</v>
      </c>
      <c r="H406" s="9" t="str">
        <f>"2"</f>
        <v>2</v>
      </c>
      <c r="I406" s="11">
        <v>10957345.300000001</v>
      </c>
    </row>
    <row r="407" spans="1:9" x14ac:dyDescent="0.25">
      <c r="A407" s="9">
        <v>39</v>
      </c>
      <c r="B407" s="10">
        <v>45016</v>
      </c>
      <c r="C407" s="9">
        <v>8</v>
      </c>
      <c r="D407" s="9" t="str">
        <f>"2237"</f>
        <v>2237</v>
      </c>
      <c r="E407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7" s="9" t="str">
        <f>"2"</f>
        <v>2</v>
      </c>
      <c r="G407" s="9" t="str">
        <f>"9"</f>
        <v>9</v>
      </c>
      <c r="H407" s="9" t="str">
        <f>"2"</f>
        <v>2</v>
      </c>
      <c r="I407" s="11">
        <v>54840916.039999999</v>
      </c>
    </row>
    <row r="408" spans="1:9" x14ac:dyDescent="0.25">
      <c r="A408" s="9">
        <v>40</v>
      </c>
      <c r="B408" s="10">
        <v>45016</v>
      </c>
      <c r="C408" s="9">
        <v>8</v>
      </c>
      <c r="D408" s="9" t="str">
        <f>"2237"</f>
        <v>2237</v>
      </c>
      <c r="E408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8" s="9" t="str">
        <f>"1"</f>
        <v>1</v>
      </c>
      <c r="G408" s="9" t="str">
        <f>"9"</f>
        <v>9</v>
      </c>
      <c r="H408" s="9" t="str">
        <f>"3"</f>
        <v>3</v>
      </c>
      <c r="I408" s="11">
        <v>528471865.19999999</v>
      </c>
    </row>
    <row r="409" spans="1:9" x14ac:dyDescent="0.25">
      <c r="A409" s="9">
        <v>41</v>
      </c>
      <c r="B409" s="10">
        <v>45016</v>
      </c>
      <c r="C409" s="9">
        <v>8</v>
      </c>
      <c r="D409" s="9" t="str">
        <f>"2237"</f>
        <v>2237</v>
      </c>
      <c r="E409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9" s="9" t="str">
        <f>"2"</f>
        <v>2</v>
      </c>
      <c r="G409" s="9" t="str">
        <f>"7"</f>
        <v>7</v>
      </c>
      <c r="H409" s="9" t="str">
        <f>"2"</f>
        <v>2</v>
      </c>
      <c r="I409" s="11">
        <v>582652278.27999997</v>
      </c>
    </row>
    <row r="410" spans="1:9" x14ac:dyDescent="0.25">
      <c r="A410" s="9">
        <v>45</v>
      </c>
      <c r="B410" s="10">
        <v>45016</v>
      </c>
      <c r="C410" s="9">
        <v>8</v>
      </c>
      <c r="D410" s="9" t="str">
        <f>"2237"</f>
        <v>2237</v>
      </c>
      <c r="E410" s="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10" s="9" t="str">
        <f>"2"</f>
        <v>2</v>
      </c>
      <c r="G410" s="9" t="str">
        <f>"7"</f>
        <v>7</v>
      </c>
      <c r="H410" s="9" t="str">
        <f>"3"</f>
        <v>3</v>
      </c>
      <c r="I410" s="11">
        <v>28386795.59</v>
      </c>
    </row>
    <row r="411" spans="1:9" x14ac:dyDescent="0.25">
      <c r="A411" s="9">
        <v>43</v>
      </c>
      <c r="B411" s="10">
        <v>45016</v>
      </c>
      <c r="C411" s="9">
        <v>8</v>
      </c>
      <c r="D411" s="9" t="str">
        <f>"2239"</f>
        <v>2239</v>
      </c>
      <c r="E411" s="9" t="str">
        <f>"Дисконт по вкладам, привлеченным от клиентов"</f>
        <v>Дисконт по вкладам, привлеченным от клиентов</v>
      </c>
      <c r="F411" s="9" t="str">
        <f>"1"</f>
        <v>1</v>
      </c>
      <c r="G411" s="9" t="str">
        <f>"5"</f>
        <v>5</v>
      </c>
      <c r="H411" s="9" t="str">
        <f>"1"</f>
        <v>1</v>
      </c>
      <c r="I411" s="11">
        <v>-1277482834.3499999</v>
      </c>
    </row>
    <row r="412" spans="1:9" x14ac:dyDescent="0.25">
      <c r="A412" s="9">
        <v>42</v>
      </c>
      <c r="B412" s="10">
        <v>45016</v>
      </c>
      <c r="C412" s="9">
        <v>8</v>
      </c>
      <c r="D412" s="9" t="str">
        <f>"2240"</f>
        <v>2240</v>
      </c>
      <c r="E412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12" s="9" t="str">
        <f>"1"</f>
        <v>1</v>
      </c>
      <c r="G412" s="9" t="str">
        <f>"7"</f>
        <v>7</v>
      </c>
      <c r="H412" s="9" t="str">
        <f>"1"</f>
        <v>1</v>
      </c>
      <c r="I412" s="11">
        <v>3029139945.0700002</v>
      </c>
    </row>
    <row r="413" spans="1:9" x14ac:dyDescent="0.25">
      <c r="A413" s="9">
        <v>44</v>
      </c>
      <c r="B413" s="10">
        <v>45016</v>
      </c>
      <c r="C413" s="9">
        <v>8</v>
      </c>
      <c r="D413" s="9" t="str">
        <f>"2240"</f>
        <v>2240</v>
      </c>
      <c r="E413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13" s="9" t="str">
        <f>"1"</f>
        <v>1</v>
      </c>
      <c r="G413" s="9" t="str">
        <f>"7"</f>
        <v>7</v>
      </c>
      <c r="H413" s="9" t="str">
        <f>"2"</f>
        <v>2</v>
      </c>
      <c r="I413" s="11">
        <v>45171</v>
      </c>
    </row>
    <row r="414" spans="1:9" x14ac:dyDescent="0.25">
      <c r="A414" s="9">
        <v>46</v>
      </c>
      <c r="B414" s="10">
        <v>45016</v>
      </c>
      <c r="C414" s="9">
        <v>8</v>
      </c>
      <c r="D414" s="9" t="str">
        <f>"2240"</f>
        <v>2240</v>
      </c>
      <c r="E414" s="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14" s="9" t="str">
        <f>"1"</f>
        <v>1</v>
      </c>
      <c r="G414" s="9" t="str">
        <f>"9"</f>
        <v>9</v>
      </c>
      <c r="H414" s="9" t="str">
        <f>"1"</f>
        <v>1</v>
      </c>
      <c r="I414" s="11">
        <v>5551945510</v>
      </c>
    </row>
    <row r="415" spans="1:9" x14ac:dyDescent="0.25">
      <c r="A415" s="9">
        <v>47</v>
      </c>
      <c r="B415" s="10">
        <v>45016</v>
      </c>
      <c r="C415" s="9">
        <v>8</v>
      </c>
      <c r="D415" s="9" t="str">
        <f>"2241"</f>
        <v>2241</v>
      </c>
      <c r="E415" s="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15" s="9" t="str">
        <f>"1"</f>
        <v>1</v>
      </c>
      <c r="G415" s="9" t="str">
        <f>"9"</f>
        <v>9</v>
      </c>
      <c r="H415" s="9" t="str">
        <f>"1"</f>
        <v>1</v>
      </c>
      <c r="I415" s="11">
        <v>5194005335.0699997</v>
      </c>
    </row>
    <row r="416" spans="1:9" x14ac:dyDescent="0.25">
      <c r="A416" s="9">
        <v>48</v>
      </c>
      <c r="B416" s="10">
        <v>45016</v>
      </c>
      <c r="C416" s="9">
        <v>8</v>
      </c>
      <c r="D416" s="9" t="str">
        <f>"2241"</f>
        <v>2241</v>
      </c>
      <c r="E416" s="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16" s="9" t="str">
        <f>"1"</f>
        <v>1</v>
      </c>
      <c r="G416" s="9" t="str">
        <f>"9"</f>
        <v>9</v>
      </c>
      <c r="H416" s="9" t="str">
        <f>"2"</f>
        <v>2</v>
      </c>
      <c r="I416" s="11">
        <v>16341090421.74</v>
      </c>
    </row>
    <row r="417" spans="1:9" x14ac:dyDescent="0.25">
      <c r="A417" s="9">
        <v>50</v>
      </c>
      <c r="B417" s="10">
        <v>45016</v>
      </c>
      <c r="C417" s="9">
        <v>8</v>
      </c>
      <c r="D417" s="9" t="str">
        <f>"2255"</f>
        <v>2255</v>
      </c>
      <c r="E417" s="9" t="str">
        <f>"Операции «РЕПО» с ценными бумагами"</f>
        <v>Операции «РЕПО» с ценными бумагами</v>
      </c>
      <c r="F417" s="9" t="str">
        <f>"1"</f>
        <v>1</v>
      </c>
      <c r="G417" s="9" t="str">
        <f>"5"</f>
        <v>5</v>
      </c>
      <c r="H417" s="9" t="str">
        <f>"1"</f>
        <v>1</v>
      </c>
      <c r="I417" s="11">
        <v>56602668834.349998</v>
      </c>
    </row>
    <row r="418" spans="1:9" x14ac:dyDescent="0.25">
      <c r="A418" s="9">
        <v>51</v>
      </c>
      <c r="B418" s="10">
        <v>45016</v>
      </c>
      <c r="C418" s="9">
        <v>8</v>
      </c>
      <c r="D418" s="9" t="str">
        <f>"2301"</f>
        <v>2301</v>
      </c>
      <c r="E418" s="9" t="str">
        <f>"Выпущенные в обращение облигации"</f>
        <v>Выпущенные в обращение облигации</v>
      </c>
      <c r="F418" s="9" t="str">
        <f>"1"</f>
        <v>1</v>
      </c>
      <c r="G418" s="9" t="str">
        <f>"4"</f>
        <v>4</v>
      </c>
      <c r="H418" s="9" t="str">
        <f>"1"</f>
        <v>1</v>
      </c>
      <c r="I418" s="11">
        <v>74065035000</v>
      </c>
    </row>
    <row r="419" spans="1:9" x14ac:dyDescent="0.25">
      <c r="A419" s="9">
        <v>55</v>
      </c>
      <c r="B419" s="10">
        <v>45016</v>
      </c>
      <c r="C419" s="9">
        <v>8</v>
      </c>
      <c r="D419" s="9" t="str">
        <f>"2301"</f>
        <v>2301</v>
      </c>
      <c r="E419" s="9" t="str">
        <f>"Выпущенные в обращение облигации"</f>
        <v>Выпущенные в обращение облигации</v>
      </c>
      <c r="F419" s="9" t="str">
        <f>"1"</f>
        <v>1</v>
      </c>
      <c r="G419" s="9" t="str">
        <f>"9"</f>
        <v>9</v>
      </c>
      <c r="H419" s="9" t="str">
        <f>"2"</f>
        <v>2</v>
      </c>
      <c r="I419" s="11">
        <v>6730479000</v>
      </c>
    </row>
    <row r="420" spans="1:9" x14ac:dyDescent="0.25">
      <c r="A420" s="9">
        <v>57</v>
      </c>
      <c r="B420" s="10">
        <v>45016</v>
      </c>
      <c r="C420" s="9">
        <v>8</v>
      </c>
      <c r="D420" s="9" t="str">
        <f>"2301"</f>
        <v>2301</v>
      </c>
      <c r="E420" s="9" t="str">
        <f>"Выпущенные в обращение облигации"</f>
        <v>Выпущенные в обращение облигации</v>
      </c>
      <c r="F420" s="9" t="str">
        <f>"1"</f>
        <v>1</v>
      </c>
      <c r="G420" s="9" t="str">
        <f>"5"</f>
        <v>5</v>
      </c>
      <c r="H420" s="9" t="str">
        <f>"1"</f>
        <v>1</v>
      </c>
      <c r="I420" s="11">
        <v>188893818293</v>
      </c>
    </row>
    <row r="421" spans="1:9" x14ac:dyDescent="0.25">
      <c r="A421" s="9">
        <v>49</v>
      </c>
      <c r="B421" s="10">
        <v>45016</v>
      </c>
      <c r="C421" s="9">
        <v>8</v>
      </c>
      <c r="D421" s="9" t="str">
        <f>"2304"</f>
        <v>2304</v>
      </c>
      <c r="E421" s="9" t="str">
        <f>"Премия по выпущенным в обращение ценным бумагам"</f>
        <v>Премия по выпущенным в обращение ценным бумагам</v>
      </c>
      <c r="F421" s="9" t="str">
        <f>"1"</f>
        <v>1</v>
      </c>
      <c r="G421" s="9" t="str">
        <f>"9"</f>
        <v>9</v>
      </c>
      <c r="H421" s="9" t="str">
        <f>"2"</f>
        <v>2</v>
      </c>
      <c r="I421" s="11">
        <v>2327304.7799999998</v>
      </c>
    </row>
    <row r="422" spans="1:9" x14ac:dyDescent="0.25">
      <c r="A422" s="9">
        <v>53</v>
      </c>
      <c r="B422" s="10">
        <v>45016</v>
      </c>
      <c r="C422" s="9">
        <v>8</v>
      </c>
      <c r="D422" s="9" t="str">
        <f>"2304"</f>
        <v>2304</v>
      </c>
      <c r="E422" s="9" t="str">
        <f>"Премия по выпущенным в обращение ценным бумагам"</f>
        <v>Премия по выпущенным в обращение ценным бумагам</v>
      </c>
      <c r="F422" s="9" t="str">
        <f>"1"</f>
        <v>1</v>
      </c>
      <c r="G422" s="9" t="str">
        <f>"4"</f>
        <v>4</v>
      </c>
      <c r="H422" s="9" t="str">
        <f>"1"</f>
        <v>1</v>
      </c>
      <c r="I422" s="11">
        <v>1841969086.8399999</v>
      </c>
    </row>
    <row r="423" spans="1:9" x14ac:dyDescent="0.25">
      <c r="A423" s="9">
        <v>54</v>
      </c>
      <c r="B423" s="10">
        <v>45016</v>
      </c>
      <c r="C423" s="9">
        <v>8</v>
      </c>
      <c r="D423" s="9" t="str">
        <f>"2304"</f>
        <v>2304</v>
      </c>
      <c r="E423" s="9" t="str">
        <f>"Премия по выпущенным в обращение ценным бумагам"</f>
        <v>Премия по выпущенным в обращение ценным бумагам</v>
      </c>
      <c r="F423" s="9" t="str">
        <f>"1"</f>
        <v>1</v>
      </c>
      <c r="G423" s="9" t="str">
        <f>"5"</f>
        <v>5</v>
      </c>
      <c r="H423" s="9" t="str">
        <f>"1"</f>
        <v>1</v>
      </c>
      <c r="I423" s="11">
        <v>1976966295.4000001</v>
      </c>
    </row>
    <row r="424" spans="1:9" x14ac:dyDescent="0.25">
      <c r="A424" s="9">
        <v>52</v>
      </c>
      <c r="B424" s="10">
        <v>45016</v>
      </c>
      <c r="C424" s="9">
        <v>8</v>
      </c>
      <c r="D424" s="9" t="str">
        <f>"2305"</f>
        <v>2305</v>
      </c>
      <c r="E424" s="9" t="str">
        <f>"Дисконт по выпущенным в обращение ценным бумагам"</f>
        <v>Дисконт по выпущенным в обращение ценным бумагам</v>
      </c>
      <c r="F424" s="9" t="str">
        <f>"1"</f>
        <v>1</v>
      </c>
      <c r="G424" s="9" t="str">
        <f>"5"</f>
        <v>5</v>
      </c>
      <c r="H424" s="9" t="str">
        <f>"1"</f>
        <v>1</v>
      </c>
      <c r="I424" s="11">
        <v>-2282135014.6399999</v>
      </c>
    </row>
    <row r="425" spans="1:9" x14ac:dyDescent="0.25">
      <c r="A425" s="9">
        <v>56</v>
      </c>
      <c r="B425" s="10">
        <v>45016</v>
      </c>
      <c r="C425" s="9">
        <v>8</v>
      </c>
      <c r="D425" s="9" t="str">
        <f>"2305"</f>
        <v>2305</v>
      </c>
      <c r="E425" s="9" t="str">
        <f>"Дисконт по выпущенным в обращение ценным бумагам"</f>
        <v>Дисконт по выпущенным в обращение ценным бумагам</v>
      </c>
      <c r="F425" s="9" t="str">
        <f>"1"</f>
        <v>1</v>
      </c>
      <c r="G425" s="9" t="str">
        <f>"4"</f>
        <v>4</v>
      </c>
      <c r="H425" s="9" t="str">
        <f>"1"</f>
        <v>1</v>
      </c>
      <c r="I425" s="11">
        <v>-1953862323.1099999</v>
      </c>
    </row>
    <row r="426" spans="1:9" x14ac:dyDescent="0.25">
      <c r="A426" s="9">
        <v>59</v>
      </c>
      <c r="B426" s="10">
        <v>45016</v>
      </c>
      <c r="C426" s="9">
        <v>8</v>
      </c>
      <c r="D426" s="9" t="str">
        <f>"2305"</f>
        <v>2305</v>
      </c>
      <c r="E426" s="9" t="str">
        <f>"Дисконт по выпущенным в обращение ценным бумагам"</f>
        <v>Дисконт по выпущенным в обращение ценным бумагам</v>
      </c>
      <c r="F426" s="9" t="str">
        <f>"1"</f>
        <v>1</v>
      </c>
      <c r="G426" s="9" t="str">
        <f>"9"</f>
        <v>9</v>
      </c>
      <c r="H426" s="9" t="str">
        <f>"2"</f>
        <v>2</v>
      </c>
      <c r="I426" s="11">
        <v>-23572929.030000001</v>
      </c>
    </row>
    <row r="427" spans="1:9" x14ac:dyDescent="0.25">
      <c r="A427" s="9">
        <v>58</v>
      </c>
      <c r="B427" s="10">
        <v>45016</v>
      </c>
      <c r="C427" s="9">
        <v>8</v>
      </c>
      <c r="D427" s="9" t="str">
        <f>"2306"</f>
        <v>2306</v>
      </c>
      <c r="E427" s="9" t="str">
        <f>"Выкупленные облигации"</f>
        <v>Выкупленные облигации</v>
      </c>
      <c r="F427" s="9" t="str">
        <f>"1"</f>
        <v>1</v>
      </c>
      <c r="G427" s="9" t="str">
        <f>"9"</f>
        <v>9</v>
      </c>
      <c r="H427" s="9" t="str">
        <f>"2"</f>
        <v>2</v>
      </c>
      <c r="I427" s="11">
        <v>-451710000</v>
      </c>
    </row>
    <row r="428" spans="1:9" x14ac:dyDescent="0.25">
      <c r="A428" s="9">
        <v>60</v>
      </c>
      <c r="B428" s="10">
        <v>45016</v>
      </c>
      <c r="C428" s="9">
        <v>8</v>
      </c>
      <c r="D428" s="9" t="str">
        <f>"2306"</f>
        <v>2306</v>
      </c>
      <c r="E428" s="9" t="str">
        <f>"Выкупленные облигации"</f>
        <v>Выкупленные облигации</v>
      </c>
      <c r="F428" s="9" t="str">
        <f>"1"</f>
        <v>1</v>
      </c>
      <c r="G428" s="9" t="str">
        <f>"4"</f>
        <v>4</v>
      </c>
      <c r="H428" s="9" t="str">
        <f>"1"</f>
        <v>1</v>
      </c>
      <c r="I428" s="11">
        <v>-4470206400</v>
      </c>
    </row>
    <row r="429" spans="1:9" x14ac:dyDescent="0.25">
      <c r="A429" s="9">
        <v>64</v>
      </c>
      <c r="B429" s="10">
        <v>45016</v>
      </c>
      <c r="C429" s="9">
        <v>8</v>
      </c>
      <c r="D429" s="9" t="str">
        <f>"2306"</f>
        <v>2306</v>
      </c>
      <c r="E429" s="9" t="str">
        <f>"Выкупленные облигации"</f>
        <v>Выкупленные облигации</v>
      </c>
      <c r="F429" s="9" t="str">
        <f>"1"</f>
        <v>1</v>
      </c>
      <c r="G429" s="9" t="str">
        <f>"5"</f>
        <v>5</v>
      </c>
      <c r="H429" s="9" t="str">
        <f>"1"</f>
        <v>1</v>
      </c>
      <c r="I429" s="11">
        <v>-49533856293</v>
      </c>
    </row>
    <row r="430" spans="1:9" x14ac:dyDescent="0.25">
      <c r="A430" s="9">
        <v>66</v>
      </c>
      <c r="B430" s="10">
        <v>45016</v>
      </c>
      <c r="C430" s="9">
        <v>8</v>
      </c>
      <c r="D430" s="9" t="str">
        <f>"2404"</f>
        <v>2404</v>
      </c>
      <c r="E430" s="9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30" s="9" t="str">
        <f>"1"</f>
        <v>1</v>
      </c>
      <c r="G430" s="9" t="str">
        <f>"5"</f>
        <v>5</v>
      </c>
      <c r="H430" s="9" t="str">
        <f>"1"</f>
        <v>1</v>
      </c>
      <c r="I430" s="11">
        <v>-136956000399.58</v>
      </c>
    </row>
    <row r="431" spans="1:9" x14ac:dyDescent="0.25">
      <c r="A431" s="9">
        <v>62</v>
      </c>
      <c r="B431" s="10">
        <v>45016</v>
      </c>
      <c r="C431" s="9">
        <v>8</v>
      </c>
      <c r="D431" s="9" t="str">
        <f>"2405"</f>
        <v>2405</v>
      </c>
      <c r="E431" s="9" t="str">
        <f>"Выкупленные субординированные облигации"</f>
        <v>Выкупленные субординированные облигации</v>
      </c>
      <c r="F431" s="9" t="str">
        <f>"1"</f>
        <v>1</v>
      </c>
      <c r="G431" s="9" t="str">
        <f>"4"</f>
        <v>4</v>
      </c>
      <c r="H431" s="9" t="str">
        <f>"1"</f>
        <v>1</v>
      </c>
      <c r="I431" s="11">
        <v>-748100000</v>
      </c>
    </row>
    <row r="432" spans="1:9" x14ac:dyDescent="0.25">
      <c r="A432" s="9">
        <v>63</v>
      </c>
      <c r="B432" s="10">
        <v>45016</v>
      </c>
      <c r="C432" s="9">
        <v>8</v>
      </c>
      <c r="D432" s="9" t="str">
        <f>"2406"</f>
        <v>2406</v>
      </c>
      <c r="E432" s="9" t="str">
        <f>"Субординированные облигации"</f>
        <v>Субординированные облигации</v>
      </c>
      <c r="F432" s="9" t="str">
        <f>"1"</f>
        <v>1</v>
      </c>
      <c r="G432" s="9" t="str">
        <f>"5"</f>
        <v>5</v>
      </c>
      <c r="H432" s="9" t="str">
        <f>"1"</f>
        <v>1</v>
      </c>
      <c r="I432" s="11">
        <v>243700000000</v>
      </c>
    </row>
    <row r="433" spans="1:9" x14ac:dyDescent="0.25">
      <c r="A433" s="9">
        <v>67</v>
      </c>
      <c r="B433" s="10">
        <v>45016</v>
      </c>
      <c r="C433" s="9">
        <v>8</v>
      </c>
      <c r="D433" s="9" t="str">
        <f>"2406"</f>
        <v>2406</v>
      </c>
      <c r="E433" s="9" t="str">
        <f>"Субординированные облигации"</f>
        <v>Субординированные облигации</v>
      </c>
      <c r="F433" s="9" t="str">
        <f>"1"</f>
        <v>1</v>
      </c>
      <c r="G433" s="9" t="str">
        <f>"9"</f>
        <v>9</v>
      </c>
      <c r="H433" s="9" t="str">
        <f>"1"</f>
        <v>1</v>
      </c>
      <c r="I433" s="11">
        <v>748100000</v>
      </c>
    </row>
    <row r="434" spans="1:9" x14ac:dyDescent="0.25">
      <c r="A434" s="9">
        <v>61</v>
      </c>
      <c r="B434" s="10">
        <v>45016</v>
      </c>
      <c r="C434" s="9">
        <v>8</v>
      </c>
      <c r="D434" s="9" t="str">
        <f>"2705"</f>
        <v>2705</v>
      </c>
      <c r="E434" s="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34" s="9" t="str">
        <f>"1"</f>
        <v>1</v>
      </c>
      <c r="G434" s="9" t="str">
        <f>"4"</f>
        <v>4</v>
      </c>
      <c r="H434" s="9" t="str">
        <f>"1"</f>
        <v>1</v>
      </c>
      <c r="I434" s="11">
        <v>25936401.620000001</v>
      </c>
    </row>
    <row r="435" spans="1:9" x14ac:dyDescent="0.25">
      <c r="A435" s="9">
        <v>72</v>
      </c>
      <c r="B435" s="10">
        <v>45016</v>
      </c>
      <c r="C435" s="9">
        <v>8</v>
      </c>
      <c r="D435" s="9" t="str">
        <f>"2706"</f>
        <v>2706</v>
      </c>
      <c r="E435" s="9" t="str">
        <f>"Начисленные расходы по займам и финансовому лизингу"</f>
        <v>Начисленные расходы по займам и финансовому лизингу</v>
      </c>
      <c r="F435" s="9" t="str">
        <f>"1"</f>
        <v>1</v>
      </c>
      <c r="G435" s="9" t="str">
        <f>"5"</f>
        <v>5</v>
      </c>
      <c r="H435" s="9" t="str">
        <f>"1"</f>
        <v>1</v>
      </c>
      <c r="I435" s="11">
        <v>368122246.13</v>
      </c>
    </row>
    <row r="436" spans="1:9" x14ac:dyDescent="0.25">
      <c r="A436" s="9">
        <v>65</v>
      </c>
      <c r="B436" s="10">
        <v>45016</v>
      </c>
      <c r="C436" s="9">
        <v>8</v>
      </c>
      <c r="D436" s="9" t="str">
        <f>"2712"</f>
        <v>2712</v>
      </c>
      <c r="E436" s="9" t="str">
        <f>"Начисленные расходы по срочным вкладам других банков"</f>
        <v>Начисленные расходы по срочным вкладам других банков</v>
      </c>
      <c r="F436" s="9" t="str">
        <f>"1"</f>
        <v>1</v>
      </c>
      <c r="G436" s="9" t="str">
        <f>"3"</f>
        <v>3</v>
      </c>
      <c r="H436" s="9" t="str">
        <f>"1"</f>
        <v>1</v>
      </c>
      <c r="I436" s="11">
        <v>20213698.760000002</v>
      </c>
    </row>
    <row r="437" spans="1:9" x14ac:dyDescent="0.25">
      <c r="A437" s="9">
        <v>68</v>
      </c>
      <c r="B437" s="10">
        <v>45016</v>
      </c>
      <c r="C437" s="9">
        <v>8</v>
      </c>
      <c r="D437" s="9" t="str">
        <f>"2712"</f>
        <v>2712</v>
      </c>
      <c r="E437" s="9" t="str">
        <f>"Начисленные расходы по срочным вкладам других банков"</f>
        <v>Начисленные расходы по срочным вкладам других банков</v>
      </c>
      <c r="F437" s="9" t="str">
        <f>"2"</f>
        <v>2</v>
      </c>
      <c r="G437" s="9" t="str">
        <f>"4"</f>
        <v>4</v>
      </c>
      <c r="H437" s="9" t="str">
        <f>"2"</f>
        <v>2</v>
      </c>
      <c r="I437" s="11">
        <v>12421821.73</v>
      </c>
    </row>
    <row r="438" spans="1:9" x14ac:dyDescent="0.25">
      <c r="A438" s="9">
        <v>69</v>
      </c>
      <c r="B438" s="10">
        <v>45016</v>
      </c>
      <c r="C438" s="9">
        <v>8</v>
      </c>
      <c r="D438" s="9" t="str">
        <f>"2712"</f>
        <v>2712</v>
      </c>
      <c r="E438" s="9" t="str">
        <f>"Начисленные расходы по срочным вкладам других банков"</f>
        <v>Начисленные расходы по срочным вкладам других банков</v>
      </c>
      <c r="F438" s="9" t="str">
        <f>"1"</f>
        <v>1</v>
      </c>
      <c r="G438" s="9" t="str">
        <f>"4"</f>
        <v>4</v>
      </c>
      <c r="H438" s="9" t="str">
        <f>"3"</f>
        <v>3</v>
      </c>
      <c r="I438" s="11">
        <v>0</v>
      </c>
    </row>
    <row r="439" spans="1:9" x14ac:dyDescent="0.25">
      <c r="A439" s="9">
        <v>70</v>
      </c>
      <c r="B439" s="10">
        <v>45016</v>
      </c>
      <c r="C439" s="9">
        <v>8</v>
      </c>
      <c r="D439" s="9" t="str">
        <f>"2712"</f>
        <v>2712</v>
      </c>
      <c r="E439" s="9" t="str">
        <f>"Начисленные расходы по срочным вкладам других банков"</f>
        <v>Начисленные расходы по срочным вкладам других банков</v>
      </c>
      <c r="F439" s="9" t="str">
        <f>"2"</f>
        <v>2</v>
      </c>
      <c r="G439" s="9" t="str">
        <f>"4"</f>
        <v>4</v>
      </c>
      <c r="H439" s="9" t="str">
        <f>"3"</f>
        <v>3</v>
      </c>
      <c r="I439" s="11">
        <v>0.06</v>
      </c>
    </row>
    <row r="440" spans="1:9" x14ac:dyDescent="0.25">
      <c r="A440" s="9">
        <v>71</v>
      </c>
      <c r="B440" s="10">
        <v>45016</v>
      </c>
      <c r="C440" s="9">
        <v>8</v>
      </c>
      <c r="D440" s="9" t="str">
        <f>"2719"</f>
        <v>2719</v>
      </c>
      <c r="E440" s="9" t="str">
        <f>"Начисленные расходы по условным вкладам клиентов"</f>
        <v>Начисленные расходы по условным вкладам клиентов</v>
      </c>
      <c r="F440" s="9" t="str">
        <f>"1"</f>
        <v>1</v>
      </c>
      <c r="G440" s="9" t="str">
        <f>"6"</f>
        <v>6</v>
      </c>
      <c r="H440" s="9" t="str">
        <f>"1"</f>
        <v>1</v>
      </c>
      <c r="I440" s="11">
        <v>11481.29</v>
      </c>
    </row>
    <row r="441" spans="1:9" x14ac:dyDescent="0.25">
      <c r="A441" s="9">
        <v>73</v>
      </c>
      <c r="B441" s="10">
        <v>45016</v>
      </c>
      <c r="C441" s="9">
        <v>8</v>
      </c>
      <c r="D441" s="9" t="str">
        <f>"2719"</f>
        <v>2719</v>
      </c>
      <c r="E441" s="9" t="str">
        <f>"Начисленные расходы по условным вкладам клиентов"</f>
        <v>Начисленные расходы по условным вкладам клиентов</v>
      </c>
      <c r="F441" s="9" t="str">
        <f>"1"</f>
        <v>1</v>
      </c>
      <c r="G441" s="9" t="str">
        <f>"7"</f>
        <v>7</v>
      </c>
      <c r="H441" s="9" t="str">
        <f>"2"</f>
        <v>2</v>
      </c>
      <c r="I441" s="11">
        <v>324886057.43000001</v>
      </c>
    </row>
    <row r="442" spans="1:9" x14ac:dyDescent="0.25">
      <c r="A442" s="9">
        <v>74</v>
      </c>
      <c r="B442" s="10">
        <v>45016</v>
      </c>
      <c r="C442" s="9">
        <v>8</v>
      </c>
      <c r="D442" s="9" t="str">
        <f>"2719"</f>
        <v>2719</v>
      </c>
      <c r="E442" s="9" t="str">
        <f>"Начисленные расходы по условным вкладам клиентов"</f>
        <v>Начисленные расходы по условным вкладам клиентов</v>
      </c>
      <c r="F442" s="9" t="str">
        <f>"1"</f>
        <v>1</v>
      </c>
      <c r="G442" s="9" t="str">
        <f>"7"</f>
        <v>7</v>
      </c>
      <c r="H442" s="9" t="str">
        <f>"1"</f>
        <v>1</v>
      </c>
      <c r="I442" s="11">
        <v>145146910.72999999</v>
      </c>
    </row>
    <row r="443" spans="1:9" x14ac:dyDescent="0.25">
      <c r="A443" s="9">
        <v>75</v>
      </c>
      <c r="B443" s="10">
        <v>45016</v>
      </c>
      <c r="C443" s="9">
        <v>8</v>
      </c>
      <c r="D443" s="9" t="str">
        <f>"2720"</f>
        <v>2720</v>
      </c>
      <c r="E443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43" s="9" t="str">
        <f>"1"</f>
        <v>1</v>
      </c>
      <c r="G443" s="9" t="str">
        <f>"7"</f>
        <v>7</v>
      </c>
      <c r="H443" s="9" t="str">
        <f>"1"</f>
        <v>1</v>
      </c>
      <c r="I443" s="11">
        <v>30246.58</v>
      </c>
    </row>
    <row r="444" spans="1:9" x14ac:dyDescent="0.25">
      <c r="A444" s="9">
        <v>77</v>
      </c>
      <c r="B444" s="10">
        <v>45016</v>
      </c>
      <c r="C444" s="9">
        <v>8</v>
      </c>
      <c r="D444" s="9" t="str">
        <f>"2720"</f>
        <v>2720</v>
      </c>
      <c r="E444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44" s="9" t="str">
        <f>"1"</f>
        <v>1</v>
      </c>
      <c r="G444" s="9" t="str">
        <f>"7"</f>
        <v>7</v>
      </c>
      <c r="H444" s="9" t="str">
        <f>"2"</f>
        <v>2</v>
      </c>
      <c r="I444" s="11">
        <v>35667.4</v>
      </c>
    </row>
    <row r="445" spans="1:9" x14ac:dyDescent="0.25">
      <c r="A445" s="9">
        <v>78</v>
      </c>
      <c r="B445" s="10">
        <v>45016</v>
      </c>
      <c r="C445" s="9">
        <v>8</v>
      </c>
      <c r="D445" s="9" t="str">
        <f>"2720"</f>
        <v>2720</v>
      </c>
      <c r="E445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45" s="9" t="str">
        <f>"1"</f>
        <v>1</v>
      </c>
      <c r="G445" s="9" t="str">
        <f>"5"</f>
        <v>5</v>
      </c>
      <c r="H445" s="9" t="str">
        <f>"2"</f>
        <v>2</v>
      </c>
      <c r="I445" s="11">
        <v>121.96</v>
      </c>
    </row>
    <row r="446" spans="1:9" x14ac:dyDescent="0.25">
      <c r="A446" s="9">
        <v>76</v>
      </c>
      <c r="B446" s="10">
        <v>45016</v>
      </c>
      <c r="C446" s="9">
        <v>8</v>
      </c>
      <c r="D446" s="9" t="str">
        <f>"2721"</f>
        <v>2721</v>
      </c>
      <c r="E446" s="9" t="str">
        <f>"Начисленные расходы по срочным вкладам клиентов"</f>
        <v>Начисленные расходы по срочным вкладам клиентов</v>
      </c>
      <c r="F446" s="9" t="str">
        <f>"1"</f>
        <v>1</v>
      </c>
      <c r="G446" s="9" t="str">
        <f>"5"</f>
        <v>5</v>
      </c>
      <c r="H446" s="9" t="str">
        <f>"2"</f>
        <v>2</v>
      </c>
      <c r="I446" s="11">
        <v>4529756.92</v>
      </c>
    </row>
    <row r="447" spans="1:9" x14ac:dyDescent="0.25">
      <c r="A447" s="9">
        <v>79</v>
      </c>
      <c r="B447" s="10">
        <v>45016</v>
      </c>
      <c r="C447" s="9">
        <v>8</v>
      </c>
      <c r="D447" s="9" t="str">
        <f>"2721"</f>
        <v>2721</v>
      </c>
      <c r="E447" s="9" t="str">
        <f>"Начисленные расходы по срочным вкладам клиентов"</f>
        <v>Начисленные расходы по срочным вкладам клиентов</v>
      </c>
      <c r="F447" s="9" t="str">
        <f>"1"</f>
        <v>1</v>
      </c>
      <c r="G447" s="9" t="str">
        <f>"5"</f>
        <v>5</v>
      </c>
      <c r="H447" s="9" t="str">
        <f>"1"</f>
        <v>1</v>
      </c>
      <c r="I447" s="11">
        <v>44122626.729999997</v>
      </c>
    </row>
    <row r="448" spans="1:9" x14ac:dyDescent="0.25">
      <c r="A448" s="9">
        <v>80</v>
      </c>
      <c r="B448" s="10">
        <v>45016</v>
      </c>
      <c r="C448" s="9">
        <v>8</v>
      </c>
      <c r="D448" s="9" t="str">
        <f>"2721"</f>
        <v>2721</v>
      </c>
      <c r="E448" s="9" t="str">
        <f>"Начисленные расходы по срочным вкладам клиентов"</f>
        <v>Начисленные расходы по срочным вкладам клиентов</v>
      </c>
      <c r="F448" s="9" t="str">
        <f>"1"</f>
        <v>1</v>
      </c>
      <c r="G448" s="9" t="str">
        <f>"6"</f>
        <v>6</v>
      </c>
      <c r="H448" s="9" t="str">
        <f>"1"</f>
        <v>1</v>
      </c>
      <c r="I448" s="11">
        <v>36373494.950000003</v>
      </c>
    </row>
    <row r="449" spans="1:9" x14ac:dyDescent="0.25">
      <c r="A449" s="9">
        <v>81</v>
      </c>
      <c r="B449" s="10">
        <v>45016</v>
      </c>
      <c r="C449" s="9">
        <v>8</v>
      </c>
      <c r="D449" s="9" t="str">
        <f>"2721"</f>
        <v>2721</v>
      </c>
      <c r="E449" s="9" t="str">
        <f>"Начисленные расходы по срочным вкладам клиентов"</f>
        <v>Начисленные расходы по срочным вкладам клиентов</v>
      </c>
      <c r="F449" s="9" t="str">
        <f>"1"</f>
        <v>1</v>
      </c>
      <c r="G449" s="9" t="str">
        <f>"7"</f>
        <v>7</v>
      </c>
      <c r="H449" s="9" t="str">
        <f>"3"</f>
        <v>3</v>
      </c>
      <c r="I449" s="11">
        <v>515875.66</v>
      </c>
    </row>
    <row r="450" spans="1:9" x14ac:dyDescent="0.25">
      <c r="A450" s="9">
        <v>82</v>
      </c>
      <c r="B450" s="10">
        <v>45016</v>
      </c>
      <c r="C450" s="9">
        <v>8</v>
      </c>
      <c r="D450" s="9" t="str">
        <f>"2721"</f>
        <v>2721</v>
      </c>
      <c r="E450" s="9" t="str">
        <f>"Начисленные расходы по срочным вкладам клиентов"</f>
        <v>Начисленные расходы по срочным вкладам клиентов</v>
      </c>
      <c r="F450" s="9" t="str">
        <f>"1"</f>
        <v>1</v>
      </c>
      <c r="G450" s="9" t="str">
        <f>"6"</f>
        <v>6</v>
      </c>
      <c r="H450" s="9" t="str">
        <f>"2"</f>
        <v>2</v>
      </c>
      <c r="I450" s="11">
        <v>785.98</v>
      </c>
    </row>
    <row r="451" spans="1:9" x14ac:dyDescent="0.25">
      <c r="A451" s="9">
        <v>83</v>
      </c>
      <c r="B451" s="10">
        <v>45016</v>
      </c>
      <c r="C451" s="9">
        <v>8</v>
      </c>
      <c r="D451" s="9" t="str">
        <f>"2721"</f>
        <v>2721</v>
      </c>
      <c r="E451" s="9" t="str">
        <f>"Начисленные расходы по срочным вкладам клиентов"</f>
        <v>Начисленные расходы по срочным вкладам клиентов</v>
      </c>
      <c r="F451" s="9" t="str">
        <f>"1"</f>
        <v>1</v>
      </c>
      <c r="G451" s="9" t="str">
        <f>"7"</f>
        <v>7</v>
      </c>
      <c r="H451" s="9" t="str">
        <f>"1"</f>
        <v>1</v>
      </c>
      <c r="I451" s="11">
        <v>1234342189.4200001</v>
      </c>
    </row>
    <row r="452" spans="1:9" x14ac:dyDescent="0.25">
      <c r="A452" s="9">
        <v>84</v>
      </c>
      <c r="B452" s="10">
        <v>45016</v>
      </c>
      <c r="C452" s="9">
        <v>8</v>
      </c>
      <c r="D452" s="9" t="str">
        <f>"2721"</f>
        <v>2721</v>
      </c>
      <c r="E452" s="9" t="str">
        <f>"Начисленные расходы по срочным вкладам клиентов"</f>
        <v>Начисленные расходы по срочным вкладам клиентов</v>
      </c>
      <c r="F452" s="9" t="str">
        <f>"1"</f>
        <v>1</v>
      </c>
      <c r="G452" s="9" t="str">
        <f>"8"</f>
        <v>8</v>
      </c>
      <c r="H452" s="9" t="str">
        <f>"2"</f>
        <v>2</v>
      </c>
      <c r="I452" s="11">
        <v>28531661.370000001</v>
      </c>
    </row>
    <row r="453" spans="1:9" x14ac:dyDescent="0.25">
      <c r="A453" s="9">
        <v>85</v>
      </c>
      <c r="B453" s="10">
        <v>45016</v>
      </c>
      <c r="C453" s="9">
        <v>8</v>
      </c>
      <c r="D453" s="9" t="str">
        <f>"2721"</f>
        <v>2721</v>
      </c>
      <c r="E453" s="9" t="str">
        <f>"Начисленные расходы по срочным вкладам клиентов"</f>
        <v>Начисленные расходы по срочным вкладам клиентов</v>
      </c>
      <c r="F453" s="9" t="str">
        <f>"1"</f>
        <v>1</v>
      </c>
      <c r="G453" s="9" t="str">
        <f>"7"</f>
        <v>7</v>
      </c>
      <c r="H453" s="9" t="str">
        <f>"2"</f>
        <v>2</v>
      </c>
      <c r="I453" s="11">
        <v>54319478.159999996</v>
      </c>
    </row>
    <row r="454" spans="1:9" x14ac:dyDescent="0.25">
      <c r="A454" s="9">
        <v>86</v>
      </c>
      <c r="B454" s="10">
        <v>45016</v>
      </c>
      <c r="C454" s="9">
        <v>8</v>
      </c>
      <c r="D454" s="9" t="str">
        <f>"2721"</f>
        <v>2721</v>
      </c>
      <c r="E454" s="9" t="str">
        <f>"Начисленные расходы по срочным вкладам клиентов"</f>
        <v>Начисленные расходы по срочным вкладам клиентов</v>
      </c>
      <c r="F454" s="9" t="str">
        <f>"1"</f>
        <v>1</v>
      </c>
      <c r="G454" s="9" t="str">
        <f>"9"</f>
        <v>9</v>
      </c>
      <c r="H454" s="9" t="str">
        <f>"1"</f>
        <v>1</v>
      </c>
      <c r="I454" s="11">
        <v>937579184.17999995</v>
      </c>
    </row>
    <row r="455" spans="1:9" x14ac:dyDescent="0.25">
      <c r="A455" s="9">
        <v>87</v>
      </c>
      <c r="B455" s="10">
        <v>45016</v>
      </c>
      <c r="C455" s="9">
        <v>8</v>
      </c>
      <c r="D455" s="9" t="str">
        <f>"2721"</f>
        <v>2721</v>
      </c>
      <c r="E455" s="9" t="str">
        <f>"Начисленные расходы по срочным вкладам клиентов"</f>
        <v>Начисленные расходы по срочным вкладам клиентов</v>
      </c>
      <c r="F455" s="9" t="str">
        <f>"1"</f>
        <v>1</v>
      </c>
      <c r="G455" s="9" t="str">
        <f>"8"</f>
        <v>8</v>
      </c>
      <c r="H455" s="9" t="str">
        <f>"1"</f>
        <v>1</v>
      </c>
      <c r="I455" s="11">
        <v>407161820.32999998</v>
      </c>
    </row>
    <row r="456" spans="1:9" x14ac:dyDescent="0.25">
      <c r="A456" s="9">
        <v>88</v>
      </c>
      <c r="B456" s="10">
        <v>45016</v>
      </c>
      <c r="C456" s="9">
        <v>8</v>
      </c>
      <c r="D456" s="9" t="str">
        <f>"2721"</f>
        <v>2721</v>
      </c>
      <c r="E456" s="9" t="str">
        <f>"Начисленные расходы по срочным вкладам клиентов"</f>
        <v>Начисленные расходы по срочным вкладам клиентов</v>
      </c>
      <c r="F456" s="9" t="str">
        <f>"1"</f>
        <v>1</v>
      </c>
      <c r="G456" s="9" t="str">
        <f>"8"</f>
        <v>8</v>
      </c>
      <c r="H456" s="9" t="str">
        <f>"3"</f>
        <v>3</v>
      </c>
      <c r="I456" s="11">
        <v>653533.34</v>
      </c>
    </row>
    <row r="457" spans="1:9" x14ac:dyDescent="0.25">
      <c r="A457" s="9">
        <v>89</v>
      </c>
      <c r="B457" s="10">
        <v>45016</v>
      </c>
      <c r="C457" s="9">
        <v>8</v>
      </c>
      <c r="D457" s="9" t="str">
        <f>"2721"</f>
        <v>2721</v>
      </c>
      <c r="E457" s="9" t="str">
        <f>"Начисленные расходы по срочным вкладам клиентов"</f>
        <v>Начисленные расходы по срочным вкладам клиентов</v>
      </c>
      <c r="F457" s="9" t="str">
        <f>"1"</f>
        <v>1</v>
      </c>
      <c r="G457" s="9" t="str">
        <f>"9"</f>
        <v>9</v>
      </c>
      <c r="H457" s="9" t="str">
        <f>"2"</f>
        <v>2</v>
      </c>
      <c r="I457" s="11">
        <v>132036958.04000001</v>
      </c>
    </row>
    <row r="458" spans="1:9" x14ac:dyDescent="0.25">
      <c r="A458" s="9">
        <v>90</v>
      </c>
      <c r="B458" s="10">
        <v>45016</v>
      </c>
      <c r="C458" s="9">
        <v>8</v>
      </c>
      <c r="D458" s="9" t="str">
        <f>"2721"</f>
        <v>2721</v>
      </c>
      <c r="E458" s="9" t="str">
        <f>"Начисленные расходы по срочным вкладам клиентов"</f>
        <v>Начисленные расходы по срочным вкладам клиентов</v>
      </c>
      <c r="F458" s="9" t="str">
        <f>"1"</f>
        <v>1</v>
      </c>
      <c r="G458" s="9" t="str">
        <f>"9"</f>
        <v>9</v>
      </c>
      <c r="H458" s="9" t="str">
        <f>"3"</f>
        <v>3</v>
      </c>
      <c r="I458" s="11">
        <v>5998.99</v>
      </c>
    </row>
    <row r="459" spans="1:9" x14ac:dyDescent="0.25">
      <c r="A459" s="9">
        <v>91</v>
      </c>
      <c r="B459" s="10">
        <v>45016</v>
      </c>
      <c r="C459" s="9">
        <v>8</v>
      </c>
      <c r="D459" s="9" t="str">
        <f>"2721"</f>
        <v>2721</v>
      </c>
      <c r="E459" s="9" t="str">
        <f>"Начисленные расходы по срочным вкладам клиентов"</f>
        <v>Начисленные расходы по срочным вкладам клиентов</v>
      </c>
      <c r="F459" s="9" t="str">
        <f>"2"</f>
        <v>2</v>
      </c>
      <c r="G459" s="9" t="str">
        <f>"7"</f>
        <v>7</v>
      </c>
      <c r="H459" s="9" t="str">
        <f>"1"</f>
        <v>1</v>
      </c>
      <c r="I459" s="11">
        <v>875594.54</v>
      </c>
    </row>
    <row r="460" spans="1:9" x14ac:dyDescent="0.25">
      <c r="A460" s="9">
        <v>92</v>
      </c>
      <c r="B460" s="10">
        <v>45016</v>
      </c>
      <c r="C460" s="9">
        <v>8</v>
      </c>
      <c r="D460" s="9" t="str">
        <f>"2721"</f>
        <v>2721</v>
      </c>
      <c r="E460" s="9" t="str">
        <f>"Начисленные расходы по срочным вкладам клиентов"</f>
        <v>Начисленные расходы по срочным вкладам клиентов</v>
      </c>
      <c r="F460" s="9" t="str">
        <f>"2"</f>
        <v>2</v>
      </c>
      <c r="G460" s="9" t="str">
        <f>"9"</f>
        <v>9</v>
      </c>
      <c r="H460" s="9" t="str">
        <f>"1"</f>
        <v>1</v>
      </c>
      <c r="I460" s="11">
        <v>39584039.340000004</v>
      </c>
    </row>
    <row r="461" spans="1:9" x14ac:dyDescent="0.25">
      <c r="A461" s="9">
        <v>93</v>
      </c>
      <c r="B461" s="10">
        <v>45016</v>
      </c>
      <c r="C461" s="9">
        <v>8</v>
      </c>
      <c r="D461" s="9" t="str">
        <f>"2721"</f>
        <v>2721</v>
      </c>
      <c r="E461" s="9" t="str">
        <f>"Начисленные расходы по срочным вкладам клиентов"</f>
        <v>Начисленные расходы по срочным вкладам клиентов</v>
      </c>
      <c r="F461" s="9" t="str">
        <f>"2"</f>
        <v>2</v>
      </c>
      <c r="G461" s="9" t="str">
        <f>"9"</f>
        <v>9</v>
      </c>
      <c r="H461" s="9" t="str">
        <f>"3"</f>
        <v>3</v>
      </c>
      <c r="I461" s="11">
        <v>49056.23</v>
      </c>
    </row>
    <row r="462" spans="1:9" x14ac:dyDescent="0.25">
      <c r="A462" s="9">
        <v>94</v>
      </c>
      <c r="B462" s="10">
        <v>45016</v>
      </c>
      <c r="C462" s="9">
        <v>8</v>
      </c>
      <c r="D462" s="9" t="str">
        <f>"2721"</f>
        <v>2721</v>
      </c>
      <c r="E462" s="9" t="str">
        <f>"Начисленные расходы по срочным вкладам клиентов"</f>
        <v>Начисленные расходы по срочным вкладам клиентов</v>
      </c>
      <c r="F462" s="9" t="str">
        <f>"2"</f>
        <v>2</v>
      </c>
      <c r="G462" s="9" t="str">
        <f>"9"</f>
        <v>9</v>
      </c>
      <c r="H462" s="9" t="str">
        <f>"2"</f>
        <v>2</v>
      </c>
      <c r="I462" s="11">
        <v>46803742.710000001</v>
      </c>
    </row>
    <row r="463" spans="1:9" x14ac:dyDescent="0.25">
      <c r="A463" s="9">
        <v>95</v>
      </c>
      <c r="B463" s="10">
        <v>45016</v>
      </c>
      <c r="C463" s="9">
        <v>8</v>
      </c>
      <c r="D463" s="9" t="str">
        <f>"2721"</f>
        <v>2721</v>
      </c>
      <c r="E463" s="9" t="str">
        <f>"Начисленные расходы по срочным вкладам клиентов"</f>
        <v>Начисленные расходы по срочным вкладам клиентов</v>
      </c>
      <c r="F463" s="9" t="str">
        <f>"2"</f>
        <v>2</v>
      </c>
      <c r="G463" s="9" t="str">
        <f>"7"</f>
        <v>7</v>
      </c>
      <c r="H463" s="9" t="str">
        <f>"2"</f>
        <v>2</v>
      </c>
      <c r="I463" s="11">
        <v>6504416.2199999997</v>
      </c>
    </row>
    <row r="464" spans="1:9" x14ac:dyDescent="0.25">
      <c r="A464" s="9">
        <v>97</v>
      </c>
      <c r="B464" s="10">
        <v>45016</v>
      </c>
      <c r="C464" s="9">
        <v>8</v>
      </c>
      <c r="D464" s="9" t="str">
        <f>"2723"</f>
        <v>2723</v>
      </c>
      <c r="E464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64" s="9" t="str">
        <f>"1"</f>
        <v>1</v>
      </c>
      <c r="G464" s="9" t="str">
        <f>"7"</f>
        <v>7</v>
      </c>
      <c r="H464" s="9" t="str">
        <f>"2"</f>
        <v>2</v>
      </c>
      <c r="I464" s="11">
        <v>14103316.710000001</v>
      </c>
    </row>
    <row r="465" spans="1:9" x14ac:dyDescent="0.25">
      <c r="A465" s="9">
        <v>99</v>
      </c>
      <c r="B465" s="10">
        <v>45016</v>
      </c>
      <c r="C465" s="9">
        <v>8</v>
      </c>
      <c r="D465" s="9" t="str">
        <f>"2723"</f>
        <v>2723</v>
      </c>
      <c r="E465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65" s="9" t="str">
        <f>"2"</f>
        <v>2</v>
      </c>
      <c r="G465" s="9" t="str">
        <f>"9"</f>
        <v>9</v>
      </c>
      <c r="H465" s="9" t="str">
        <f>"2"</f>
        <v>2</v>
      </c>
      <c r="I465" s="11">
        <v>184365</v>
      </c>
    </row>
    <row r="466" spans="1:9" x14ac:dyDescent="0.25">
      <c r="A466" s="9">
        <v>101</v>
      </c>
      <c r="B466" s="10">
        <v>45016</v>
      </c>
      <c r="C466" s="9">
        <v>8</v>
      </c>
      <c r="D466" s="9" t="str">
        <f>"2723"</f>
        <v>2723</v>
      </c>
      <c r="E466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66" s="9" t="str">
        <f>"1"</f>
        <v>1</v>
      </c>
      <c r="G466" s="9" t="str">
        <f>"7"</f>
        <v>7</v>
      </c>
      <c r="H466" s="9" t="str">
        <f>"1"</f>
        <v>1</v>
      </c>
      <c r="I466" s="11">
        <v>200301549.5</v>
      </c>
    </row>
    <row r="467" spans="1:9" x14ac:dyDescent="0.25">
      <c r="A467" s="9">
        <v>103</v>
      </c>
      <c r="B467" s="10">
        <v>45016</v>
      </c>
      <c r="C467" s="9">
        <v>8</v>
      </c>
      <c r="D467" s="9" t="str">
        <f>"2723"</f>
        <v>2723</v>
      </c>
      <c r="E467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67" s="9" t="str">
        <f>"1"</f>
        <v>1</v>
      </c>
      <c r="G467" s="9" t="str">
        <f>"9"</f>
        <v>9</v>
      </c>
      <c r="H467" s="9" t="str">
        <f>"1"</f>
        <v>1</v>
      </c>
      <c r="I467" s="11">
        <v>458566127.42000002</v>
      </c>
    </row>
    <row r="468" spans="1:9" x14ac:dyDescent="0.25">
      <c r="A468" s="9">
        <v>104</v>
      </c>
      <c r="B468" s="10">
        <v>45016</v>
      </c>
      <c r="C468" s="9">
        <v>8</v>
      </c>
      <c r="D468" s="9" t="str">
        <f>"2723"</f>
        <v>2723</v>
      </c>
      <c r="E468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468" s="9" t="str">
        <f>"1"</f>
        <v>1</v>
      </c>
      <c r="G468" s="9" t="str">
        <f>"9"</f>
        <v>9</v>
      </c>
      <c r="H468" s="9" t="str">
        <f>"2"</f>
        <v>2</v>
      </c>
      <c r="I468" s="11">
        <v>7357821.3899999997</v>
      </c>
    </row>
    <row r="469" spans="1:9" x14ac:dyDescent="0.25">
      <c r="A469" s="9">
        <v>96</v>
      </c>
      <c r="B469" s="10">
        <v>45016</v>
      </c>
      <c r="C469" s="9">
        <v>8</v>
      </c>
      <c r="D469" s="9" t="str">
        <f>"2724"</f>
        <v>2724</v>
      </c>
      <c r="E469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69" s="9" t="str">
        <f>"1"</f>
        <v>1</v>
      </c>
      <c r="G469" s="9" t="str">
        <f>"6"</f>
        <v>6</v>
      </c>
      <c r="H469" s="9" t="str">
        <f>"1"</f>
        <v>1</v>
      </c>
      <c r="I469" s="11">
        <v>12994376.699999999</v>
      </c>
    </row>
    <row r="470" spans="1:9" x14ac:dyDescent="0.25">
      <c r="A470" s="9">
        <v>98</v>
      </c>
      <c r="B470" s="10">
        <v>45016</v>
      </c>
      <c r="C470" s="9">
        <v>8</v>
      </c>
      <c r="D470" s="9" t="str">
        <f>"2724"</f>
        <v>2724</v>
      </c>
      <c r="E470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0" s="9" t="str">
        <f>"1"</f>
        <v>1</v>
      </c>
      <c r="G470" s="9" t="str">
        <f>"7"</f>
        <v>7</v>
      </c>
      <c r="H470" s="9" t="str">
        <f>"1"</f>
        <v>1</v>
      </c>
      <c r="I470" s="11">
        <v>103581862.73</v>
      </c>
    </row>
    <row r="471" spans="1:9" x14ac:dyDescent="0.25">
      <c r="A471" s="9">
        <v>100</v>
      </c>
      <c r="B471" s="10">
        <v>45016</v>
      </c>
      <c r="C471" s="9">
        <v>8</v>
      </c>
      <c r="D471" s="9" t="str">
        <f>"2724"</f>
        <v>2724</v>
      </c>
      <c r="E471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1" s="9" t="str">
        <f>"1"</f>
        <v>1</v>
      </c>
      <c r="G471" s="9" t="str">
        <f>"5"</f>
        <v>5</v>
      </c>
      <c r="H471" s="9" t="str">
        <f>"1"</f>
        <v>1</v>
      </c>
      <c r="I471" s="11">
        <v>788801.49</v>
      </c>
    </row>
    <row r="472" spans="1:9" x14ac:dyDescent="0.25">
      <c r="A472" s="9">
        <v>102</v>
      </c>
      <c r="B472" s="10">
        <v>45016</v>
      </c>
      <c r="C472" s="9">
        <v>8</v>
      </c>
      <c r="D472" s="9" t="str">
        <f>"2724"</f>
        <v>2724</v>
      </c>
      <c r="E472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2" s="9" t="str">
        <f>"2"</f>
        <v>2</v>
      </c>
      <c r="G472" s="9" t="str">
        <f>"9"</f>
        <v>9</v>
      </c>
      <c r="H472" s="9" t="str">
        <f>"1"</f>
        <v>1</v>
      </c>
      <c r="I472" s="11">
        <v>20986838.43</v>
      </c>
    </row>
    <row r="473" spans="1:9" x14ac:dyDescent="0.25">
      <c r="A473" s="9">
        <v>105</v>
      </c>
      <c r="B473" s="10">
        <v>45016</v>
      </c>
      <c r="C473" s="9">
        <v>8</v>
      </c>
      <c r="D473" s="9" t="str">
        <f>"2724"</f>
        <v>2724</v>
      </c>
      <c r="E473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3" s="9" t="str">
        <f>"1"</f>
        <v>1</v>
      </c>
      <c r="G473" s="9" t="str">
        <f>"9"</f>
        <v>9</v>
      </c>
      <c r="H473" s="9" t="str">
        <f>"1"</f>
        <v>1</v>
      </c>
      <c r="I473" s="11">
        <v>2563803755.0500002</v>
      </c>
    </row>
    <row r="474" spans="1:9" x14ac:dyDescent="0.25">
      <c r="A474" s="9">
        <v>106</v>
      </c>
      <c r="B474" s="10">
        <v>45016</v>
      </c>
      <c r="C474" s="9">
        <v>8</v>
      </c>
      <c r="D474" s="9" t="str">
        <f>"2724"</f>
        <v>2724</v>
      </c>
      <c r="E474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4" s="9" t="str">
        <f>"1"</f>
        <v>1</v>
      </c>
      <c r="G474" s="9" t="str">
        <f>"9"</f>
        <v>9</v>
      </c>
      <c r="H474" s="9" t="str">
        <f>"2"</f>
        <v>2</v>
      </c>
      <c r="I474" s="11">
        <v>814495.28</v>
      </c>
    </row>
    <row r="475" spans="1:9" x14ac:dyDescent="0.25">
      <c r="A475" s="9">
        <v>107</v>
      </c>
      <c r="B475" s="10">
        <v>45016</v>
      </c>
      <c r="C475" s="9">
        <v>8</v>
      </c>
      <c r="D475" s="9" t="str">
        <f>"2724"</f>
        <v>2724</v>
      </c>
      <c r="E475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5" s="9" t="str">
        <f>"1"</f>
        <v>1</v>
      </c>
      <c r="G475" s="9" t="str">
        <f>"8"</f>
        <v>8</v>
      </c>
      <c r="H475" s="9" t="str">
        <f>"1"</f>
        <v>1</v>
      </c>
      <c r="I475" s="11">
        <v>24547945.210000001</v>
      </c>
    </row>
    <row r="476" spans="1:9" x14ac:dyDescent="0.25">
      <c r="A476" s="9">
        <v>108</v>
      </c>
      <c r="B476" s="10">
        <v>45016</v>
      </c>
      <c r="C476" s="9">
        <v>8</v>
      </c>
      <c r="D476" s="9" t="str">
        <f>"2724"</f>
        <v>2724</v>
      </c>
      <c r="E476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6" s="9" t="str">
        <f>"2"</f>
        <v>2</v>
      </c>
      <c r="G476" s="9" t="str">
        <f>"9"</f>
        <v>9</v>
      </c>
      <c r="H476" s="9" t="str">
        <f>"2"</f>
        <v>2</v>
      </c>
      <c r="I476" s="11">
        <v>178845.95</v>
      </c>
    </row>
    <row r="477" spans="1:9" x14ac:dyDescent="0.25">
      <c r="A477" s="9">
        <v>109</v>
      </c>
      <c r="B477" s="10">
        <v>45016</v>
      </c>
      <c r="C477" s="9">
        <v>8</v>
      </c>
      <c r="D477" s="9" t="str">
        <f>"2724"</f>
        <v>2724</v>
      </c>
      <c r="E477" s="9" t="str">
        <f>"Начисленные расходы по сберегательным вкладам клиентов"</f>
        <v>Начисленные расходы по сберегательным вкладам клиентов</v>
      </c>
      <c r="F477" s="9" t="str">
        <f>"1"</f>
        <v>1</v>
      </c>
      <c r="G477" s="9" t="str">
        <f>"7"</f>
        <v>7</v>
      </c>
      <c r="H477" s="9" t="str">
        <f>"2"</f>
        <v>2</v>
      </c>
      <c r="I477" s="11">
        <v>12668220.5</v>
      </c>
    </row>
    <row r="478" spans="1:9" x14ac:dyDescent="0.25">
      <c r="A478" s="9">
        <v>112</v>
      </c>
      <c r="B478" s="10">
        <v>45016</v>
      </c>
      <c r="C478" s="9">
        <v>8</v>
      </c>
      <c r="D478" s="9" t="str">
        <f>"2725"</f>
        <v>2725</v>
      </c>
      <c r="E478" s="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78" s="9" t="str">
        <f>"1"</f>
        <v>1</v>
      </c>
      <c r="G478" s="9" t="str">
        <f>"5"</f>
        <v>5</v>
      </c>
      <c r="H478" s="9" t="str">
        <f>"1"</f>
        <v>1</v>
      </c>
      <c r="I478" s="11">
        <v>4495733.9800000004</v>
      </c>
    </row>
    <row r="479" spans="1:9" x14ac:dyDescent="0.25">
      <c r="A479" s="9">
        <v>110</v>
      </c>
      <c r="B479" s="10">
        <v>45016</v>
      </c>
      <c r="C479" s="9">
        <v>8</v>
      </c>
      <c r="D479" s="9" t="str">
        <f>"2730"</f>
        <v>2730</v>
      </c>
      <c r="E479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79" s="9" t="str">
        <f>"1"</f>
        <v>1</v>
      </c>
      <c r="G479" s="9" t="str">
        <f>"4"</f>
        <v>4</v>
      </c>
      <c r="H479" s="9" t="str">
        <f>"1"</f>
        <v>1</v>
      </c>
      <c r="I479" s="11">
        <v>2433139267.8699999</v>
      </c>
    </row>
    <row r="480" spans="1:9" x14ac:dyDescent="0.25">
      <c r="A480" s="9">
        <v>111</v>
      </c>
      <c r="B480" s="10">
        <v>45016</v>
      </c>
      <c r="C480" s="9">
        <v>8</v>
      </c>
      <c r="D480" s="9" t="str">
        <f>"2730"</f>
        <v>2730</v>
      </c>
      <c r="E480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80" s="9" t="str">
        <f>"1"</f>
        <v>1</v>
      </c>
      <c r="G480" s="9" t="str">
        <f>"5"</f>
        <v>5</v>
      </c>
      <c r="H480" s="9" t="str">
        <f>"1"</f>
        <v>1</v>
      </c>
      <c r="I480" s="11">
        <v>3726433306.79</v>
      </c>
    </row>
    <row r="481" spans="1:9" x14ac:dyDescent="0.25">
      <c r="A481" s="9">
        <v>113</v>
      </c>
      <c r="B481" s="10">
        <v>45016</v>
      </c>
      <c r="C481" s="9">
        <v>8</v>
      </c>
      <c r="D481" s="9" t="str">
        <f>"2730"</f>
        <v>2730</v>
      </c>
      <c r="E481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481" s="9" t="str">
        <f>"1"</f>
        <v>1</v>
      </c>
      <c r="G481" s="9" t="str">
        <f>"9"</f>
        <v>9</v>
      </c>
      <c r="H481" s="9" t="str">
        <f>"2"</f>
        <v>2</v>
      </c>
      <c r="I481" s="11">
        <v>8720523.5399999991</v>
      </c>
    </row>
    <row r="482" spans="1:9" x14ac:dyDescent="0.25">
      <c r="A482" s="9">
        <v>114</v>
      </c>
      <c r="B482" s="10">
        <v>45016</v>
      </c>
      <c r="C482" s="9">
        <v>8</v>
      </c>
      <c r="D482" s="9" t="str">
        <f>"2756"</f>
        <v>2756</v>
      </c>
      <c r="E482" s="9" t="str">
        <f>"Начисленные расходы по субординированным облигациям"</f>
        <v>Начисленные расходы по субординированным облигациям</v>
      </c>
      <c r="F482" s="9" t="str">
        <f>"1"</f>
        <v>1</v>
      </c>
      <c r="G482" s="9" t="str">
        <f>"5"</f>
        <v>5</v>
      </c>
      <c r="H482" s="9" t="str">
        <f>"1"</f>
        <v>1</v>
      </c>
      <c r="I482" s="11">
        <v>3465955555.5599999</v>
      </c>
    </row>
    <row r="483" spans="1:9" x14ac:dyDescent="0.25">
      <c r="A483" s="9">
        <v>115</v>
      </c>
      <c r="B483" s="10">
        <v>45016</v>
      </c>
      <c r="C483" s="9">
        <v>8</v>
      </c>
      <c r="D483" s="9" t="str">
        <f>"2770"</f>
        <v>2770</v>
      </c>
      <c r="E483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3" s="9" t="str">
        <f>"1"</f>
        <v>1</v>
      </c>
      <c r="G483" s="9" t="str">
        <f>"1"</f>
        <v>1</v>
      </c>
      <c r="H483" s="9" t="str">
        <f>"1"</f>
        <v>1</v>
      </c>
      <c r="I483" s="11">
        <v>1500000</v>
      </c>
    </row>
    <row r="484" spans="1:9" x14ac:dyDescent="0.25">
      <c r="A484" s="9">
        <v>116</v>
      </c>
      <c r="B484" s="10">
        <v>45016</v>
      </c>
      <c r="C484" s="9">
        <v>8</v>
      </c>
      <c r="D484" s="9" t="str">
        <f>"2770"</f>
        <v>2770</v>
      </c>
      <c r="E484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4" s="9" t="str">
        <f>"1"</f>
        <v>1</v>
      </c>
      <c r="G484" s="9" t="str">
        <f>"4"</f>
        <v>4</v>
      </c>
      <c r="H484" s="9" t="str">
        <f>"1"</f>
        <v>1</v>
      </c>
      <c r="I484" s="11">
        <v>300000</v>
      </c>
    </row>
    <row r="485" spans="1:9" x14ac:dyDescent="0.25">
      <c r="A485" s="9">
        <v>117</v>
      </c>
      <c r="B485" s="10">
        <v>45016</v>
      </c>
      <c r="C485" s="9">
        <v>8</v>
      </c>
      <c r="D485" s="9" t="str">
        <f>"2770"</f>
        <v>2770</v>
      </c>
      <c r="E485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5" s="9" t="str">
        <f>"1"</f>
        <v>1</v>
      </c>
      <c r="G485" s="9" t="str">
        <f>"5"</f>
        <v>5</v>
      </c>
      <c r="H485" s="9" t="str">
        <f>"1"</f>
        <v>1</v>
      </c>
      <c r="I485" s="11">
        <v>14770749.34</v>
      </c>
    </row>
    <row r="486" spans="1:9" x14ac:dyDescent="0.25">
      <c r="A486" s="9">
        <v>118</v>
      </c>
      <c r="B486" s="10">
        <v>45016</v>
      </c>
      <c r="C486" s="9">
        <v>8</v>
      </c>
      <c r="D486" s="9" t="str">
        <f>"2770"</f>
        <v>2770</v>
      </c>
      <c r="E486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6" s="9" t="str">
        <f>"1"</f>
        <v>1</v>
      </c>
      <c r="G486" s="9" t="str">
        <f>"8"</f>
        <v>8</v>
      </c>
      <c r="H486" s="9" t="str">
        <f>"1"</f>
        <v>1</v>
      </c>
      <c r="I486" s="11">
        <v>736542.5</v>
      </c>
    </row>
    <row r="487" spans="1:9" x14ac:dyDescent="0.25">
      <c r="A487" s="9">
        <v>119</v>
      </c>
      <c r="B487" s="10">
        <v>45016</v>
      </c>
      <c r="C487" s="9">
        <v>8</v>
      </c>
      <c r="D487" s="9" t="str">
        <f>"2770"</f>
        <v>2770</v>
      </c>
      <c r="E487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7" s="9" t="str">
        <f>"1"</f>
        <v>1</v>
      </c>
      <c r="G487" s="9" t="str">
        <f>"9"</f>
        <v>9</v>
      </c>
      <c r="H487" s="9" t="str">
        <f>"1"</f>
        <v>1</v>
      </c>
      <c r="I487" s="11">
        <v>2075724602.8</v>
      </c>
    </row>
    <row r="488" spans="1:9" x14ac:dyDescent="0.25">
      <c r="A488" s="9">
        <v>120</v>
      </c>
      <c r="B488" s="10">
        <v>45016</v>
      </c>
      <c r="C488" s="9">
        <v>8</v>
      </c>
      <c r="D488" s="9" t="str">
        <f>"2770"</f>
        <v>2770</v>
      </c>
      <c r="E488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8" s="9" t="str">
        <f>"1"</f>
        <v>1</v>
      </c>
      <c r="G488" s="9" t="str">
        <f>"7"</f>
        <v>7</v>
      </c>
      <c r="H488" s="9" t="str">
        <f>"1"</f>
        <v>1</v>
      </c>
      <c r="I488" s="11">
        <v>245912180.24000001</v>
      </c>
    </row>
    <row r="489" spans="1:9" x14ac:dyDescent="0.25">
      <c r="A489" s="9">
        <v>122</v>
      </c>
      <c r="B489" s="10">
        <v>45016</v>
      </c>
      <c r="C489" s="9">
        <v>8</v>
      </c>
      <c r="D489" s="9" t="str">
        <f>"2770"</f>
        <v>2770</v>
      </c>
      <c r="E489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89" s="9" t="str">
        <f>"1"</f>
        <v>1</v>
      </c>
      <c r="G489" s="9" t="str">
        <f>"6"</f>
        <v>6</v>
      </c>
      <c r="H489" s="9" t="str">
        <f>"1"</f>
        <v>1</v>
      </c>
      <c r="I489" s="11">
        <v>6730170.29</v>
      </c>
    </row>
    <row r="490" spans="1:9" x14ac:dyDescent="0.25">
      <c r="A490" s="9">
        <v>123</v>
      </c>
      <c r="B490" s="10">
        <v>45016</v>
      </c>
      <c r="C490" s="9">
        <v>8</v>
      </c>
      <c r="D490" s="9" t="str">
        <f>"2770"</f>
        <v>2770</v>
      </c>
      <c r="E490" s="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90" s="9" t="str">
        <f>"2"</f>
        <v>2</v>
      </c>
      <c r="G490" s="9" t="str">
        <f>"7"</f>
        <v>7</v>
      </c>
      <c r="H490" s="9" t="str">
        <f>"1"</f>
        <v>1</v>
      </c>
      <c r="I490" s="11">
        <v>236007147.5</v>
      </c>
    </row>
    <row r="491" spans="1:9" x14ac:dyDescent="0.25">
      <c r="A491" s="9">
        <v>121</v>
      </c>
      <c r="B491" s="10">
        <v>45016</v>
      </c>
      <c r="C491" s="9">
        <v>8</v>
      </c>
      <c r="D491" s="9" t="str">
        <f>"2792"</f>
        <v>2792</v>
      </c>
      <c r="E491" s="9" t="str">
        <f>"Предоплата вознаграждения по предоставленным займам"</f>
        <v>Предоплата вознаграждения по предоставленным займам</v>
      </c>
      <c r="F491" s="9" t="str">
        <f>"1"</f>
        <v>1</v>
      </c>
      <c r="G491" s="9" t="str">
        <f>"7"</f>
        <v>7</v>
      </c>
      <c r="H491" s="9" t="str">
        <f>"1"</f>
        <v>1</v>
      </c>
      <c r="I491" s="11">
        <v>4264612.16</v>
      </c>
    </row>
    <row r="492" spans="1:9" x14ac:dyDescent="0.25">
      <c r="A492" s="9">
        <v>125</v>
      </c>
      <c r="B492" s="10">
        <v>45016</v>
      </c>
      <c r="C492" s="9">
        <v>8</v>
      </c>
      <c r="D492" s="9" t="str">
        <f>"2792"</f>
        <v>2792</v>
      </c>
      <c r="E492" s="9" t="str">
        <f>"Предоплата вознаграждения по предоставленным займам"</f>
        <v>Предоплата вознаграждения по предоставленным займам</v>
      </c>
      <c r="F492" s="9" t="str">
        <f>"1"</f>
        <v>1</v>
      </c>
      <c r="G492" s="9" t="str">
        <f>"9"</f>
        <v>9</v>
      </c>
      <c r="H492" s="9" t="str">
        <f>"1"</f>
        <v>1</v>
      </c>
      <c r="I492" s="11">
        <v>5840429.3899999997</v>
      </c>
    </row>
    <row r="493" spans="1:9" x14ac:dyDescent="0.25">
      <c r="A493" s="9">
        <v>124</v>
      </c>
      <c r="B493" s="10">
        <v>45016</v>
      </c>
      <c r="C493" s="9">
        <v>8</v>
      </c>
      <c r="D493" s="9" t="str">
        <f>"2794"</f>
        <v>2794</v>
      </c>
      <c r="E493" s="9" t="str">
        <f>"Доходы будущих периодов"</f>
        <v>Доходы будущих периодов</v>
      </c>
      <c r="F493" s="9" t="str">
        <f>"1"</f>
        <v>1</v>
      </c>
      <c r="G493" s="9" t="str">
        <f>"2"</f>
        <v>2</v>
      </c>
      <c r="H493" s="9" t="str">
        <f>"1"</f>
        <v>1</v>
      </c>
      <c r="I493" s="11">
        <v>11741.57</v>
      </c>
    </row>
    <row r="494" spans="1:9" x14ac:dyDescent="0.25">
      <c r="A494" s="9">
        <v>126</v>
      </c>
      <c r="B494" s="10">
        <v>45016</v>
      </c>
      <c r="C494" s="9">
        <v>8</v>
      </c>
      <c r="D494" s="9" t="str">
        <f>"2794"</f>
        <v>2794</v>
      </c>
      <c r="E494" s="9" t="str">
        <f>"Доходы будущих периодов"</f>
        <v>Доходы будущих периодов</v>
      </c>
      <c r="F494" s="9" t="str">
        <f>"1"</f>
        <v>1</v>
      </c>
      <c r="G494" s="9" t="str">
        <f>"5"</f>
        <v>5</v>
      </c>
      <c r="H494" s="9" t="str">
        <f>"1"</f>
        <v>1</v>
      </c>
      <c r="I494" s="11">
        <v>22289.72</v>
      </c>
    </row>
    <row r="495" spans="1:9" x14ac:dyDescent="0.25">
      <c r="A495" s="9">
        <v>127</v>
      </c>
      <c r="B495" s="10">
        <v>45016</v>
      </c>
      <c r="C495" s="9">
        <v>8</v>
      </c>
      <c r="D495" s="9" t="str">
        <f>"2794"</f>
        <v>2794</v>
      </c>
      <c r="E495" s="9" t="str">
        <f>"Доходы будущих периодов"</f>
        <v>Доходы будущих периодов</v>
      </c>
      <c r="F495" s="9" t="str">
        <f>"1"</f>
        <v>1</v>
      </c>
      <c r="G495" s="9" t="str">
        <f>"7"</f>
        <v>7</v>
      </c>
      <c r="H495" s="9" t="str">
        <f>"3"</f>
        <v>3</v>
      </c>
      <c r="I495" s="11">
        <v>3614204.17</v>
      </c>
    </row>
    <row r="496" spans="1:9" x14ac:dyDescent="0.25">
      <c r="A496" s="9">
        <v>128</v>
      </c>
      <c r="B496" s="10">
        <v>45016</v>
      </c>
      <c r="C496" s="9">
        <v>8</v>
      </c>
      <c r="D496" s="9" t="str">
        <f>"2794"</f>
        <v>2794</v>
      </c>
      <c r="E496" s="9" t="str">
        <f>"Доходы будущих периодов"</f>
        <v>Доходы будущих периодов</v>
      </c>
      <c r="F496" s="9" t="str">
        <f>"1"</f>
        <v>1</v>
      </c>
      <c r="G496" s="9" t="str">
        <f>"6"</f>
        <v>6</v>
      </c>
      <c r="H496" s="9" t="str">
        <f>"1"</f>
        <v>1</v>
      </c>
      <c r="I496" s="11">
        <v>306084.19</v>
      </c>
    </row>
    <row r="497" spans="1:9" x14ac:dyDescent="0.25">
      <c r="A497" s="9">
        <v>129</v>
      </c>
      <c r="B497" s="10">
        <v>45016</v>
      </c>
      <c r="C497" s="9">
        <v>8</v>
      </c>
      <c r="D497" s="9" t="str">
        <f>"2794"</f>
        <v>2794</v>
      </c>
      <c r="E497" s="9" t="str">
        <f>"Доходы будущих периодов"</f>
        <v>Доходы будущих периодов</v>
      </c>
      <c r="F497" s="9" t="str">
        <f>"1"</f>
        <v>1</v>
      </c>
      <c r="G497" s="9" t="str">
        <f>"7"</f>
        <v>7</v>
      </c>
      <c r="H497" s="9" t="str">
        <f>"1"</f>
        <v>1</v>
      </c>
      <c r="I497" s="11">
        <v>695053935.76999998</v>
      </c>
    </row>
    <row r="498" spans="1:9" x14ac:dyDescent="0.25">
      <c r="A498" s="9">
        <v>130</v>
      </c>
      <c r="B498" s="10">
        <v>45016</v>
      </c>
      <c r="C498" s="9">
        <v>8</v>
      </c>
      <c r="D498" s="9" t="str">
        <f>"2794"</f>
        <v>2794</v>
      </c>
      <c r="E498" s="9" t="str">
        <f>"Доходы будущих периодов"</f>
        <v>Доходы будущих периодов</v>
      </c>
      <c r="F498" s="9" t="str">
        <f>"1"</f>
        <v>1</v>
      </c>
      <c r="G498" s="9" t="str">
        <f>"7"</f>
        <v>7</v>
      </c>
      <c r="H498" s="9" t="str">
        <f>"2"</f>
        <v>2</v>
      </c>
      <c r="I498" s="11">
        <v>59788305.689999998</v>
      </c>
    </row>
    <row r="499" spans="1:9" x14ac:dyDescent="0.25">
      <c r="A499" s="9">
        <v>131</v>
      </c>
      <c r="B499" s="10">
        <v>45016</v>
      </c>
      <c r="C499" s="9">
        <v>8</v>
      </c>
      <c r="D499" s="9" t="str">
        <f>"2794"</f>
        <v>2794</v>
      </c>
      <c r="E499" s="9" t="str">
        <f>"Доходы будущих периодов"</f>
        <v>Доходы будущих периодов</v>
      </c>
      <c r="F499" s="9" t="str">
        <f>"2"</f>
        <v>2</v>
      </c>
      <c r="G499" s="9" t="str">
        <f>"9"</f>
        <v>9</v>
      </c>
      <c r="H499" s="9" t="str">
        <f>"1"</f>
        <v>1</v>
      </c>
      <c r="I499" s="11">
        <v>710719.28</v>
      </c>
    </row>
    <row r="500" spans="1:9" x14ac:dyDescent="0.25">
      <c r="A500" s="9">
        <v>132</v>
      </c>
      <c r="B500" s="10">
        <v>45016</v>
      </c>
      <c r="C500" s="9">
        <v>8</v>
      </c>
      <c r="D500" s="9" t="str">
        <f>"2794"</f>
        <v>2794</v>
      </c>
      <c r="E500" s="9" t="str">
        <f>"Доходы будущих периодов"</f>
        <v>Доходы будущих периодов</v>
      </c>
      <c r="F500" s="9" t="str">
        <f>"1"</f>
        <v>1</v>
      </c>
      <c r="G500" s="9" t="str">
        <f>"9"</f>
        <v>9</v>
      </c>
      <c r="H500" s="9" t="str">
        <f>"1"</f>
        <v>1</v>
      </c>
      <c r="I500" s="11">
        <v>43227221.07</v>
      </c>
    </row>
    <row r="501" spans="1:9" x14ac:dyDescent="0.25">
      <c r="A501" s="9">
        <v>138</v>
      </c>
      <c r="B501" s="10">
        <v>45016</v>
      </c>
      <c r="C501" s="9">
        <v>8</v>
      </c>
      <c r="D501" s="9" t="str">
        <f>"2794"</f>
        <v>2794</v>
      </c>
      <c r="E501" s="9" t="str">
        <f>"Доходы будущих периодов"</f>
        <v>Доходы будущих периодов</v>
      </c>
      <c r="F501" s="9" t="str">
        <f>"1"</f>
        <v>1</v>
      </c>
      <c r="G501" s="9" t="str">
        <f>"8"</f>
        <v>8</v>
      </c>
      <c r="H501" s="9" t="str">
        <f>"1"</f>
        <v>1</v>
      </c>
      <c r="I501" s="11">
        <v>301742.03000000003</v>
      </c>
    </row>
    <row r="502" spans="1:9" x14ac:dyDescent="0.25">
      <c r="A502" s="9">
        <v>140</v>
      </c>
      <c r="B502" s="10">
        <v>45016</v>
      </c>
      <c r="C502" s="9">
        <v>8</v>
      </c>
      <c r="D502" s="9" t="str">
        <f>"2794"</f>
        <v>2794</v>
      </c>
      <c r="E502" s="9" t="str">
        <f>"Доходы будущих периодов"</f>
        <v>Доходы будущих периодов</v>
      </c>
      <c r="F502" s="9" t="str">
        <f>"2"</f>
        <v>2</v>
      </c>
      <c r="G502" s="9" t="str">
        <f>"7"</f>
        <v>7</v>
      </c>
      <c r="H502" s="9" t="str">
        <f>"1"</f>
        <v>1</v>
      </c>
      <c r="I502" s="11">
        <v>28859936.800000001</v>
      </c>
    </row>
    <row r="503" spans="1:9" x14ac:dyDescent="0.25">
      <c r="A503" s="9">
        <v>135</v>
      </c>
      <c r="B503" s="10">
        <v>45016</v>
      </c>
      <c r="C503" s="9">
        <v>8</v>
      </c>
      <c r="D503" s="9" t="str">
        <f>"2799"</f>
        <v>2799</v>
      </c>
      <c r="E503" s="9" t="str">
        <f>"Прочие предоплаты"</f>
        <v>Прочие предоплаты</v>
      </c>
      <c r="F503" s="9" t="str">
        <f>"1"</f>
        <v>1</v>
      </c>
      <c r="G503" s="9" t="str">
        <f>"9"</f>
        <v>9</v>
      </c>
      <c r="H503" s="9" t="str">
        <f>"1"</f>
        <v>1</v>
      </c>
      <c r="I503" s="11">
        <v>502014979</v>
      </c>
    </row>
    <row r="504" spans="1:9" x14ac:dyDescent="0.25">
      <c r="A504" s="9">
        <v>360</v>
      </c>
      <c r="B504" s="10">
        <v>45016</v>
      </c>
      <c r="C504" s="9">
        <v>8</v>
      </c>
      <c r="D504" s="9" t="str">
        <f>"2811"</f>
        <v>2811</v>
      </c>
      <c r="E504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504" s="9" t="str">
        <f>"1"</f>
        <v>1</v>
      </c>
      <c r="G504" s="9" t="str">
        <f>""</f>
        <v/>
      </c>
      <c r="H504" s="9" t="str">
        <f>"2"</f>
        <v>2</v>
      </c>
      <c r="I504" s="11">
        <v>18068.400000000001</v>
      </c>
    </row>
    <row r="505" spans="1:9" x14ac:dyDescent="0.25">
      <c r="A505" s="9">
        <v>361</v>
      </c>
      <c r="B505" s="10">
        <v>45016</v>
      </c>
      <c r="C505" s="9">
        <v>8</v>
      </c>
      <c r="D505" s="9" t="str">
        <f>"2811"</f>
        <v>2811</v>
      </c>
      <c r="E505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505" s="9" t="str">
        <f>"2"</f>
        <v>2</v>
      </c>
      <c r="G505" s="9" t="str">
        <f>""</f>
        <v/>
      </c>
      <c r="H505" s="9" t="str">
        <f>"2"</f>
        <v>2</v>
      </c>
      <c r="I505" s="11">
        <v>36331163.460000001</v>
      </c>
    </row>
    <row r="506" spans="1:9" x14ac:dyDescent="0.25">
      <c r="A506" s="9">
        <v>363</v>
      </c>
      <c r="B506" s="10">
        <v>45016</v>
      </c>
      <c r="C506" s="9">
        <v>8</v>
      </c>
      <c r="D506" s="9" t="str">
        <f>"2813"</f>
        <v>2813</v>
      </c>
      <c r="E506" s="9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506" s="9" t="str">
        <f>"2"</f>
        <v>2</v>
      </c>
      <c r="G506" s="9" t="str">
        <f>""</f>
        <v/>
      </c>
      <c r="H506" s="9" t="str">
        <f>"2"</f>
        <v>2</v>
      </c>
      <c r="I506" s="11">
        <v>4916400</v>
      </c>
    </row>
    <row r="507" spans="1:9" x14ac:dyDescent="0.25">
      <c r="A507" s="9">
        <v>133</v>
      </c>
      <c r="B507" s="10">
        <v>45016</v>
      </c>
      <c r="C507" s="9">
        <v>8</v>
      </c>
      <c r="D507" s="9" t="str">
        <f>"2818"</f>
        <v>2818</v>
      </c>
      <c r="E507" s="9" t="str">
        <f>"Начисленные прочие комиссионные расходы"</f>
        <v>Начисленные прочие комиссионные расходы</v>
      </c>
      <c r="F507" s="9" t="str">
        <f>"2"</f>
        <v>2</v>
      </c>
      <c r="G507" s="9" t="str">
        <f>""</f>
        <v/>
      </c>
      <c r="H507" s="9" t="str">
        <f>"3"</f>
        <v>3</v>
      </c>
      <c r="I507" s="11">
        <v>58600</v>
      </c>
    </row>
    <row r="508" spans="1:9" x14ac:dyDescent="0.25">
      <c r="A508" s="9">
        <v>137</v>
      </c>
      <c r="B508" s="10">
        <v>45016</v>
      </c>
      <c r="C508" s="9">
        <v>8</v>
      </c>
      <c r="D508" s="9" t="str">
        <f>"2818"</f>
        <v>2818</v>
      </c>
      <c r="E508" s="9" t="str">
        <f>"Начисленные прочие комиссионные расходы"</f>
        <v>Начисленные прочие комиссионные расходы</v>
      </c>
      <c r="F508" s="9" t="str">
        <f>"2"</f>
        <v>2</v>
      </c>
      <c r="G508" s="9" t="str">
        <f>""</f>
        <v/>
      </c>
      <c r="H508" s="9" t="str">
        <f>"2"</f>
        <v>2</v>
      </c>
      <c r="I508" s="11">
        <v>2167820.58</v>
      </c>
    </row>
    <row r="509" spans="1:9" x14ac:dyDescent="0.25">
      <c r="A509" s="9">
        <v>139</v>
      </c>
      <c r="B509" s="10">
        <v>45016</v>
      </c>
      <c r="C509" s="9">
        <v>8</v>
      </c>
      <c r="D509" s="9" t="str">
        <f>"2818"</f>
        <v>2818</v>
      </c>
      <c r="E509" s="9" t="str">
        <f>"Начисленные прочие комиссионные расходы"</f>
        <v>Начисленные прочие комиссионные расходы</v>
      </c>
      <c r="F509" s="9" t="str">
        <f>"1"</f>
        <v>1</v>
      </c>
      <c r="G509" s="9" t="str">
        <f>""</f>
        <v/>
      </c>
      <c r="H509" s="9" t="str">
        <f>"1"</f>
        <v>1</v>
      </c>
      <c r="I509" s="11">
        <v>771634.57</v>
      </c>
    </row>
    <row r="510" spans="1:9" x14ac:dyDescent="0.25">
      <c r="A510" s="9">
        <v>362</v>
      </c>
      <c r="B510" s="10">
        <v>45016</v>
      </c>
      <c r="C510" s="9">
        <v>8</v>
      </c>
      <c r="D510" s="9" t="str">
        <f>"2818"</f>
        <v>2818</v>
      </c>
      <c r="E510" s="9" t="str">
        <f>"Начисленные прочие комиссионные расходы"</f>
        <v>Начисленные прочие комиссионные расходы</v>
      </c>
      <c r="F510" s="9" t="str">
        <f>"1"</f>
        <v>1</v>
      </c>
      <c r="G510" s="9" t="str">
        <f>""</f>
        <v/>
      </c>
      <c r="H510" s="9" t="str">
        <f>"2"</f>
        <v>2</v>
      </c>
      <c r="I510" s="11">
        <v>311418</v>
      </c>
    </row>
    <row r="511" spans="1:9" x14ac:dyDescent="0.25">
      <c r="A511" s="9">
        <v>136</v>
      </c>
      <c r="B511" s="10">
        <v>45016</v>
      </c>
      <c r="C511" s="9">
        <v>8</v>
      </c>
      <c r="D511" s="9" t="str">
        <f>"2851"</f>
        <v>2851</v>
      </c>
      <c r="E511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11" s="9" t="str">
        <f>"1"</f>
        <v>1</v>
      </c>
      <c r="G511" s="9" t="str">
        <f>"1"</f>
        <v>1</v>
      </c>
      <c r="H511" s="9" t="str">
        <f>"1"</f>
        <v>1</v>
      </c>
      <c r="I511" s="11">
        <v>1347800449.3599999</v>
      </c>
    </row>
    <row r="512" spans="1:9" x14ac:dyDescent="0.25">
      <c r="A512" s="9">
        <v>134</v>
      </c>
      <c r="B512" s="10">
        <v>45016</v>
      </c>
      <c r="C512" s="9">
        <v>8</v>
      </c>
      <c r="D512" s="9" t="str">
        <f>"2854"</f>
        <v>2854</v>
      </c>
      <c r="E512" s="9" t="str">
        <f>"Расчеты с работниками"</f>
        <v>Расчеты с работниками</v>
      </c>
      <c r="F512" s="9" t="str">
        <f>""</f>
        <v/>
      </c>
      <c r="G512" s="9" t="str">
        <f>""</f>
        <v/>
      </c>
      <c r="H512" s="9" t="str">
        <f>""</f>
        <v/>
      </c>
      <c r="I512" s="11">
        <v>4721383.59</v>
      </c>
    </row>
    <row r="513" spans="1:9" x14ac:dyDescent="0.25">
      <c r="A513" s="9">
        <v>141</v>
      </c>
      <c r="B513" s="10">
        <v>45016</v>
      </c>
      <c r="C513" s="9">
        <v>8</v>
      </c>
      <c r="D513" s="9" t="str">
        <f>"2855"</f>
        <v>2855</v>
      </c>
      <c r="E513" s="9" t="str">
        <f>"Кредиторы по документарным расчетам"</f>
        <v>Кредиторы по документарным расчетам</v>
      </c>
      <c r="F513" s="9" t="str">
        <f>"1"</f>
        <v>1</v>
      </c>
      <c r="G513" s="9" t="str">
        <f>"7"</f>
        <v>7</v>
      </c>
      <c r="H513" s="9" t="str">
        <f>"2"</f>
        <v>2</v>
      </c>
      <c r="I513" s="11">
        <v>1471273997.76</v>
      </c>
    </row>
    <row r="514" spans="1:9" x14ac:dyDescent="0.25">
      <c r="A514" s="9">
        <v>142</v>
      </c>
      <c r="B514" s="10">
        <v>45016</v>
      </c>
      <c r="C514" s="9">
        <v>8</v>
      </c>
      <c r="D514" s="9" t="str">
        <f>"2856"</f>
        <v>2856</v>
      </c>
      <c r="E514" s="9" t="str">
        <f>"Кредиторы по капитальным вложениям"</f>
        <v>Кредиторы по капитальным вложениям</v>
      </c>
      <c r="F514" s="9" t="str">
        <f>"2"</f>
        <v>2</v>
      </c>
      <c r="G514" s="9" t="str">
        <f>"7"</f>
        <v>7</v>
      </c>
      <c r="H514" s="9" t="str">
        <f>"2"</f>
        <v>2</v>
      </c>
      <c r="I514" s="11">
        <v>7642058.4000000004</v>
      </c>
    </row>
    <row r="515" spans="1:9" x14ac:dyDescent="0.25">
      <c r="A515" s="9">
        <v>144</v>
      </c>
      <c r="B515" s="10">
        <v>45016</v>
      </c>
      <c r="C515" s="9">
        <v>8</v>
      </c>
      <c r="D515" s="9" t="str">
        <f>"2856"</f>
        <v>2856</v>
      </c>
      <c r="E515" s="9" t="str">
        <f>"Кредиторы по капитальным вложениям"</f>
        <v>Кредиторы по капитальным вложениям</v>
      </c>
      <c r="F515" s="9" t="str">
        <f>"1"</f>
        <v>1</v>
      </c>
      <c r="G515" s="9" t="str">
        <f>"7"</f>
        <v>7</v>
      </c>
      <c r="H515" s="9" t="str">
        <f>"1"</f>
        <v>1</v>
      </c>
      <c r="I515" s="11">
        <v>2952113</v>
      </c>
    </row>
    <row r="516" spans="1:9" x14ac:dyDescent="0.25">
      <c r="A516" s="9">
        <v>146</v>
      </c>
      <c r="B516" s="10">
        <v>45016</v>
      </c>
      <c r="C516" s="9">
        <v>8</v>
      </c>
      <c r="D516" s="9" t="str">
        <f>"2857"</f>
        <v>2857</v>
      </c>
      <c r="E516" s="9" t="str">
        <f>"Отложенные налоговые обязательства"</f>
        <v>Отложенные налоговые обязательства</v>
      </c>
      <c r="F516" s="9" t="str">
        <f>""</f>
        <v/>
      </c>
      <c r="G516" s="9" t="str">
        <f>""</f>
        <v/>
      </c>
      <c r="H516" s="9" t="str">
        <f>""</f>
        <v/>
      </c>
      <c r="I516" s="11">
        <v>8958295172.6800003</v>
      </c>
    </row>
    <row r="517" spans="1:9" x14ac:dyDescent="0.25">
      <c r="A517" s="9">
        <v>143</v>
      </c>
      <c r="B517" s="10">
        <v>45016</v>
      </c>
      <c r="C517" s="9">
        <v>8</v>
      </c>
      <c r="D517" s="9" t="str">
        <f>"2860"</f>
        <v>2860</v>
      </c>
      <c r="E517" s="9" t="str">
        <f>"Прочие кредиторы по банковской деятельности"</f>
        <v>Прочие кредиторы по банковской деятельности</v>
      </c>
      <c r="F517" s="9" t="str">
        <f>"1"</f>
        <v>1</v>
      </c>
      <c r="G517" s="9" t="str">
        <f>"4"</f>
        <v>4</v>
      </c>
      <c r="H517" s="9" t="str">
        <f>"1"</f>
        <v>1</v>
      </c>
      <c r="I517" s="11">
        <v>4321591.7</v>
      </c>
    </row>
    <row r="518" spans="1:9" x14ac:dyDescent="0.25">
      <c r="A518" s="9">
        <v>145</v>
      </c>
      <c r="B518" s="10">
        <v>45016</v>
      </c>
      <c r="C518" s="9">
        <v>8</v>
      </c>
      <c r="D518" s="9" t="str">
        <f>"2860"</f>
        <v>2860</v>
      </c>
      <c r="E518" s="9" t="str">
        <f>"Прочие кредиторы по банковской деятельности"</f>
        <v>Прочие кредиторы по банковской деятельности</v>
      </c>
      <c r="F518" s="9" t="str">
        <f>"1"</f>
        <v>1</v>
      </c>
      <c r="G518" s="9" t="str">
        <f>"2"</f>
        <v>2</v>
      </c>
      <c r="H518" s="9" t="str">
        <f>"1"</f>
        <v>1</v>
      </c>
      <c r="I518" s="11">
        <v>1939761.93</v>
      </c>
    </row>
    <row r="519" spans="1:9" x14ac:dyDescent="0.25">
      <c r="A519" s="9">
        <v>147</v>
      </c>
      <c r="B519" s="10">
        <v>45016</v>
      </c>
      <c r="C519" s="9">
        <v>8</v>
      </c>
      <c r="D519" s="9" t="str">
        <f>"2860"</f>
        <v>2860</v>
      </c>
      <c r="E519" s="9" t="str">
        <f>"Прочие кредиторы по банковской деятельности"</f>
        <v>Прочие кредиторы по банковской деятельности</v>
      </c>
      <c r="F519" s="9" t="str">
        <f>"1"</f>
        <v>1</v>
      </c>
      <c r="G519" s="9" t="str">
        <f>"4"</f>
        <v>4</v>
      </c>
      <c r="H519" s="9" t="str">
        <f>"2"</f>
        <v>2</v>
      </c>
      <c r="I519" s="11">
        <v>708118.66</v>
      </c>
    </row>
    <row r="520" spans="1:9" x14ac:dyDescent="0.25">
      <c r="A520" s="9">
        <v>148</v>
      </c>
      <c r="B520" s="10">
        <v>45016</v>
      </c>
      <c r="C520" s="9">
        <v>8</v>
      </c>
      <c r="D520" s="9" t="str">
        <f>"2860"</f>
        <v>2860</v>
      </c>
      <c r="E520" s="9" t="str">
        <f>"Прочие кредиторы по банковской деятельности"</f>
        <v>Прочие кредиторы по банковской деятельности</v>
      </c>
      <c r="F520" s="9" t="str">
        <f>"1"</f>
        <v>1</v>
      </c>
      <c r="G520" s="9" t="str">
        <f>"5"</f>
        <v>5</v>
      </c>
      <c r="H520" s="9" t="str">
        <f>"1"</f>
        <v>1</v>
      </c>
      <c r="I520" s="11">
        <v>699376501.47000003</v>
      </c>
    </row>
    <row r="521" spans="1:9" x14ac:dyDescent="0.25">
      <c r="A521" s="9">
        <v>150</v>
      </c>
      <c r="B521" s="10">
        <v>45016</v>
      </c>
      <c r="C521" s="9">
        <v>8</v>
      </c>
      <c r="D521" s="9" t="str">
        <f>"2860"</f>
        <v>2860</v>
      </c>
      <c r="E521" s="9" t="str">
        <f>"Прочие кредиторы по банковской деятельности"</f>
        <v>Прочие кредиторы по банковской деятельности</v>
      </c>
      <c r="F521" s="9" t="str">
        <f>"1"</f>
        <v>1</v>
      </c>
      <c r="G521" s="9" t="str">
        <f>"7"</f>
        <v>7</v>
      </c>
      <c r="H521" s="9" t="str">
        <f>"1"</f>
        <v>1</v>
      </c>
      <c r="I521" s="11">
        <v>12547108.08</v>
      </c>
    </row>
    <row r="522" spans="1:9" x14ac:dyDescent="0.25">
      <c r="A522" s="9">
        <v>151</v>
      </c>
      <c r="B522" s="10">
        <v>45016</v>
      </c>
      <c r="C522" s="9">
        <v>8</v>
      </c>
      <c r="D522" s="9" t="str">
        <f>"2860"</f>
        <v>2860</v>
      </c>
      <c r="E522" s="9" t="str">
        <f>"Прочие кредиторы по банковской деятельности"</f>
        <v>Прочие кредиторы по банковской деятельности</v>
      </c>
      <c r="F522" s="9" t="str">
        <f>"1"</f>
        <v>1</v>
      </c>
      <c r="G522" s="9" t="str">
        <f>"9"</f>
        <v>9</v>
      </c>
      <c r="H522" s="9" t="str">
        <f>"1"</f>
        <v>1</v>
      </c>
      <c r="I522" s="11">
        <v>220341715.12</v>
      </c>
    </row>
    <row r="523" spans="1:9" x14ac:dyDescent="0.25">
      <c r="A523" s="9">
        <v>152</v>
      </c>
      <c r="B523" s="10">
        <v>45016</v>
      </c>
      <c r="C523" s="9">
        <v>8</v>
      </c>
      <c r="D523" s="9" t="str">
        <f>"2860"</f>
        <v>2860</v>
      </c>
      <c r="E523" s="9" t="str">
        <f>"Прочие кредиторы по банковской деятельности"</f>
        <v>Прочие кредиторы по банковской деятельности</v>
      </c>
      <c r="F523" s="9" t="str">
        <f>"2"</f>
        <v>2</v>
      </c>
      <c r="G523" s="9" t="str">
        <f>"9"</f>
        <v>9</v>
      </c>
      <c r="H523" s="9" t="str">
        <f>"2"</f>
        <v>2</v>
      </c>
      <c r="I523" s="11">
        <v>2258550000</v>
      </c>
    </row>
    <row r="524" spans="1:9" x14ac:dyDescent="0.25">
      <c r="A524" s="9">
        <v>153</v>
      </c>
      <c r="B524" s="10">
        <v>45016</v>
      </c>
      <c r="C524" s="9">
        <v>8</v>
      </c>
      <c r="D524" s="9" t="str">
        <f>"2860"</f>
        <v>2860</v>
      </c>
      <c r="E524" s="9" t="str">
        <f>"Прочие кредиторы по банковской деятельности"</f>
        <v>Прочие кредиторы по банковской деятельности</v>
      </c>
      <c r="F524" s="9" t="str">
        <f>"1"</f>
        <v>1</v>
      </c>
      <c r="G524" s="9" t="str">
        <f>"9"</f>
        <v>9</v>
      </c>
      <c r="H524" s="9" t="str">
        <f>"2"</f>
        <v>2</v>
      </c>
      <c r="I524" s="11">
        <v>12422025</v>
      </c>
    </row>
    <row r="525" spans="1:9" x14ac:dyDescent="0.25">
      <c r="A525" s="9">
        <v>154</v>
      </c>
      <c r="B525" s="10">
        <v>45016</v>
      </c>
      <c r="C525" s="9">
        <v>8</v>
      </c>
      <c r="D525" s="9" t="str">
        <f>"2860"</f>
        <v>2860</v>
      </c>
      <c r="E525" s="9" t="str">
        <f>"Прочие кредиторы по банковской деятельности"</f>
        <v>Прочие кредиторы по банковской деятельности</v>
      </c>
      <c r="F525" s="9" t="str">
        <f>"1"</f>
        <v>1</v>
      </c>
      <c r="G525" s="9" t="str">
        <f>"7"</f>
        <v>7</v>
      </c>
      <c r="H525" s="9" t="str">
        <f>"2"</f>
        <v>2</v>
      </c>
      <c r="I525" s="11">
        <v>89178747.370000005</v>
      </c>
    </row>
    <row r="526" spans="1:9" x14ac:dyDescent="0.25">
      <c r="A526" s="9">
        <v>364</v>
      </c>
      <c r="B526" s="10">
        <v>45016</v>
      </c>
      <c r="C526" s="9">
        <v>8</v>
      </c>
      <c r="D526" s="9" t="str">
        <f>"2860"</f>
        <v>2860</v>
      </c>
      <c r="E526" s="9" t="str">
        <f>"Прочие кредиторы по банковской деятельности"</f>
        <v>Прочие кредиторы по банковской деятельности</v>
      </c>
      <c r="F526" s="9" t="str">
        <f>"2"</f>
        <v>2</v>
      </c>
      <c r="G526" s="9" t="str">
        <f>"7"</f>
        <v>7</v>
      </c>
      <c r="H526" s="9" t="str">
        <f>"1"</f>
        <v>1</v>
      </c>
      <c r="I526" s="11">
        <v>4000</v>
      </c>
    </row>
    <row r="527" spans="1:9" x14ac:dyDescent="0.25">
      <c r="A527" s="9">
        <v>149</v>
      </c>
      <c r="B527" s="10">
        <v>45016</v>
      </c>
      <c r="C527" s="9">
        <v>8</v>
      </c>
      <c r="D527" s="9" t="str">
        <f>"2861"</f>
        <v>2861</v>
      </c>
      <c r="E527" s="9" t="str">
        <f>"Резерв на отпускные выплаты"</f>
        <v>Резерв на отпускные выплаты</v>
      </c>
      <c r="F527" s="9" t="str">
        <f>""</f>
        <v/>
      </c>
      <c r="G527" s="9" t="str">
        <f>""</f>
        <v/>
      </c>
      <c r="H527" s="9" t="str">
        <f>""</f>
        <v/>
      </c>
      <c r="I527" s="11">
        <v>763205252.97000003</v>
      </c>
    </row>
    <row r="528" spans="1:9" x14ac:dyDescent="0.25">
      <c r="A528" s="9">
        <v>155</v>
      </c>
      <c r="B528" s="10">
        <v>45016</v>
      </c>
      <c r="C528" s="9">
        <v>8</v>
      </c>
      <c r="D528" s="9" t="str">
        <f>"2863"</f>
        <v>2863</v>
      </c>
      <c r="E528" s="9" t="str">
        <f>"Обязательства по привилегированным акциям"</f>
        <v>Обязательства по привилегированным акциям</v>
      </c>
      <c r="F528" s="9" t="str">
        <f>"1"</f>
        <v>1</v>
      </c>
      <c r="G528" s="9" t="str">
        <f>"7"</f>
        <v>7</v>
      </c>
      <c r="H528" s="9" t="str">
        <f>"1"</f>
        <v>1</v>
      </c>
      <c r="I528" s="11">
        <v>619155683.60000002</v>
      </c>
    </row>
    <row r="529" spans="1:9" x14ac:dyDescent="0.25">
      <c r="A529" s="9">
        <v>157</v>
      </c>
      <c r="B529" s="10">
        <v>45016</v>
      </c>
      <c r="C529" s="9">
        <v>8</v>
      </c>
      <c r="D529" s="9" t="str">
        <f>"2867"</f>
        <v>2867</v>
      </c>
      <c r="E529" s="9" t="str">
        <f>"Прочие кредиторы по неосновной деятельности"</f>
        <v>Прочие кредиторы по неосновной деятельности</v>
      </c>
      <c r="F529" s="9" t="str">
        <f>"1"</f>
        <v>1</v>
      </c>
      <c r="G529" s="9" t="str">
        <f>"9"</f>
        <v>9</v>
      </c>
      <c r="H529" s="9" t="str">
        <f>"1"</f>
        <v>1</v>
      </c>
      <c r="I529" s="11">
        <v>917.09</v>
      </c>
    </row>
    <row r="530" spans="1:9" x14ac:dyDescent="0.25">
      <c r="A530" s="9">
        <v>156</v>
      </c>
      <c r="B530" s="10">
        <v>45016</v>
      </c>
      <c r="C530" s="9">
        <v>8</v>
      </c>
      <c r="D530" s="9" t="str">
        <f>"2868"</f>
        <v>2868</v>
      </c>
      <c r="E530" s="9" t="str">
        <f>"Оценочные обязательства"</f>
        <v>Оценочные обязательства</v>
      </c>
      <c r="F530" s="9" t="str">
        <f>"1"</f>
        <v>1</v>
      </c>
      <c r="G530" s="9" t="str">
        <f>"7"</f>
        <v>7</v>
      </c>
      <c r="H530" s="9" t="str">
        <f>"1"</f>
        <v>1</v>
      </c>
      <c r="I530" s="11">
        <v>1156530.56</v>
      </c>
    </row>
    <row r="531" spans="1:9" x14ac:dyDescent="0.25">
      <c r="A531" s="9">
        <v>158</v>
      </c>
      <c r="B531" s="10">
        <v>45016</v>
      </c>
      <c r="C531" s="9">
        <v>8</v>
      </c>
      <c r="D531" s="9" t="str">
        <f>"2869"</f>
        <v>2869</v>
      </c>
      <c r="E531" s="9" t="str">
        <f>"Выданные гарантии"</f>
        <v>Выданные гарантии</v>
      </c>
      <c r="F531" s="9" t="str">
        <f>"1"</f>
        <v>1</v>
      </c>
      <c r="G531" s="9" t="str">
        <f>"6"</f>
        <v>6</v>
      </c>
      <c r="H531" s="9" t="str">
        <f>"1"</f>
        <v>1</v>
      </c>
      <c r="I531" s="11">
        <v>2138992.3199999998</v>
      </c>
    </row>
    <row r="532" spans="1:9" x14ac:dyDescent="0.25">
      <c r="A532" s="9">
        <v>159</v>
      </c>
      <c r="B532" s="10">
        <v>45016</v>
      </c>
      <c r="C532" s="9">
        <v>8</v>
      </c>
      <c r="D532" s="9" t="str">
        <f>"2869"</f>
        <v>2869</v>
      </c>
      <c r="E532" s="9" t="str">
        <f>"Выданные гарантии"</f>
        <v>Выданные гарантии</v>
      </c>
      <c r="F532" s="9" t="str">
        <f>"1"</f>
        <v>1</v>
      </c>
      <c r="G532" s="9" t="str">
        <f>"7"</f>
        <v>7</v>
      </c>
      <c r="H532" s="9" t="str">
        <f>"3"</f>
        <v>3</v>
      </c>
      <c r="I532" s="11">
        <v>18627115.260000002</v>
      </c>
    </row>
    <row r="533" spans="1:9" x14ac:dyDescent="0.25">
      <c r="A533" s="9">
        <v>160</v>
      </c>
      <c r="B533" s="10">
        <v>45016</v>
      </c>
      <c r="C533" s="9">
        <v>8</v>
      </c>
      <c r="D533" s="9" t="str">
        <f>"2869"</f>
        <v>2869</v>
      </c>
      <c r="E533" s="9" t="str">
        <f>"Выданные гарантии"</f>
        <v>Выданные гарантии</v>
      </c>
      <c r="F533" s="9" t="str">
        <f>"1"</f>
        <v>1</v>
      </c>
      <c r="G533" s="9" t="str">
        <f>"7"</f>
        <v>7</v>
      </c>
      <c r="H533" s="9" t="str">
        <f>"2"</f>
        <v>2</v>
      </c>
      <c r="I533" s="11">
        <v>97619661.840000004</v>
      </c>
    </row>
    <row r="534" spans="1:9" x14ac:dyDescent="0.25">
      <c r="A534" s="9">
        <v>161</v>
      </c>
      <c r="B534" s="10">
        <v>45016</v>
      </c>
      <c r="C534" s="9">
        <v>8</v>
      </c>
      <c r="D534" s="9" t="str">
        <f>"2869"</f>
        <v>2869</v>
      </c>
      <c r="E534" s="9" t="str">
        <f>"Выданные гарантии"</f>
        <v>Выданные гарантии</v>
      </c>
      <c r="F534" s="9" t="str">
        <f>"1"</f>
        <v>1</v>
      </c>
      <c r="G534" s="9" t="str">
        <f>"9"</f>
        <v>9</v>
      </c>
      <c r="H534" s="9" t="str">
        <f>"2"</f>
        <v>2</v>
      </c>
      <c r="I534" s="11">
        <v>223677.76</v>
      </c>
    </row>
    <row r="535" spans="1:9" x14ac:dyDescent="0.25">
      <c r="A535" s="9">
        <v>164</v>
      </c>
      <c r="B535" s="10">
        <v>45016</v>
      </c>
      <c r="C535" s="9">
        <v>8</v>
      </c>
      <c r="D535" s="9" t="str">
        <f>"2869"</f>
        <v>2869</v>
      </c>
      <c r="E535" s="9" t="str">
        <f>"Выданные гарантии"</f>
        <v>Выданные гарантии</v>
      </c>
      <c r="F535" s="9" t="str">
        <f>"1"</f>
        <v>1</v>
      </c>
      <c r="G535" s="9" t="str">
        <f>"7"</f>
        <v>7</v>
      </c>
      <c r="H535" s="9" t="str">
        <f>"1"</f>
        <v>1</v>
      </c>
      <c r="I535" s="11">
        <v>1499203427.7</v>
      </c>
    </row>
    <row r="536" spans="1:9" x14ac:dyDescent="0.25">
      <c r="A536" s="9">
        <v>162</v>
      </c>
      <c r="B536" s="10">
        <v>45016</v>
      </c>
      <c r="C536" s="9">
        <v>8</v>
      </c>
      <c r="D536" s="9" t="str">
        <f>"2870"</f>
        <v>2870</v>
      </c>
      <c r="E536" s="9" t="str">
        <f>"Прочие транзитные счета"</f>
        <v>Прочие транзитные счета</v>
      </c>
      <c r="F536" s="9" t="str">
        <f>"1"</f>
        <v>1</v>
      </c>
      <c r="G536" s="9" t="str">
        <f>"4"</f>
        <v>4</v>
      </c>
      <c r="H536" s="9" t="str">
        <f>"1"</f>
        <v>1</v>
      </c>
      <c r="I536" s="11">
        <v>4626799.49</v>
      </c>
    </row>
    <row r="537" spans="1:9" x14ac:dyDescent="0.25">
      <c r="A537" s="9">
        <v>163</v>
      </c>
      <c r="B537" s="10">
        <v>45016</v>
      </c>
      <c r="C537" s="9">
        <v>8</v>
      </c>
      <c r="D537" s="9" t="str">
        <f>"2870"</f>
        <v>2870</v>
      </c>
      <c r="E537" s="9" t="str">
        <f>"Прочие транзитные счета"</f>
        <v>Прочие транзитные счета</v>
      </c>
      <c r="F537" s="9" t="str">
        <f>"1"</f>
        <v>1</v>
      </c>
      <c r="G537" s="9" t="str">
        <f>"5"</f>
        <v>5</v>
      </c>
      <c r="H537" s="9" t="str">
        <f>"2"</f>
        <v>2</v>
      </c>
      <c r="I537" s="11">
        <v>6775650</v>
      </c>
    </row>
    <row r="538" spans="1:9" x14ac:dyDescent="0.25">
      <c r="A538" s="9">
        <v>165</v>
      </c>
      <c r="B538" s="10">
        <v>45016</v>
      </c>
      <c r="C538" s="9">
        <v>8</v>
      </c>
      <c r="D538" s="9" t="str">
        <f>"2870"</f>
        <v>2870</v>
      </c>
      <c r="E538" s="9" t="str">
        <f>"Прочие транзитные счета"</f>
        <v>Прочие транзитные счета</v>
      </c>
      <c r="F538" s="9" t="str">
        <f>"1"</f>
        <v>1</v>
      </c>
      <c r="G538" s="9" t="str">
        <f>"4"</f>
        <v>4</v>
      </c>
      <c r="H538" s="9" t="str">
        <f>"2"</f>
        <v>2</v>
      </c>
      <c r="I538" s="11">
        <v>65602240.420000002</v>
      </c>
    </row>
    <row r="539" spans="1:9" x14ac:dyDescent="0.25">
      <c r="A539" s="9">
        <v>166</v>
      </c>
      <c r="B539" s="10">
        <v>45016</v>
      </c>
      <c r="C539" s="9">
        <v>8</v>
      </c>
      <c r="D539" s="9" t="str">
        <f>"2870"</f>
        <v>2870</v>
      </c>
      <c r="E539" s="9" t="str">
        <f>"Прочие транзитные счета"</f>
        <v>Прочие транзитные счета</v>
      </c>
      <c r="F539" s="9" t="str">
        <f>"1"</f>
        <v>1</v>
      </c>
      <c r="G539" s="9" t="str">
        <f>"5"</f>
        <v>5</v>
      </c>
      <c r="H539" s="9" t="str">
        <f>"1"</f>
        <v>1</v>
      </c>
      <c r="I539" s="11">
        <v>743366.47</v>
      </c>
    </row>
    <row r="540" spans="1:9" x14ac:dyDescent="0.25">
      <c r="A540" s="9">
        <v>167</v>
      </c>
      <c r="B540" s="10">
        <v>45016</v>
      </c>
      <c r="C540" s="9">
        <v>8</v>
      </c>
      <c r="D540" s="9" t="str">
        <f>"2870"</f>
        <v>2870</v>
      </c>
      <c r="E540" s="9" t="str">
        <f>"Прочие транзитные счета"</f>
        <v>Прочие транзитные счета</v>
      </c>
      <c r="F540" s="9" t="str">
        <f>"1"</f>
        <v>1</v>
      </c>
      <c r="G540" s="9" t="str">
        <f>"7"</f>
        <v>7</v>
      </c>
      <c r="H540" s="9" t="str">
        <f>"2"</f>
        <v>2</v>
      </c>
      <c r="I540" s="11">
        <v>2270128208.1100001</v>
      </c>
    </row>
    <row r="541" spans="1:9" x14ac:dyDescent="0.25">
      <c r="A541" s="9">
        <v>171</v>
      </c>
      <c r="B541" s="10">
        <v>45016</v>
      </c>
      <c r="C541" s="9">
        <v>8</v>
      </c>
      <c r="D541" s="9" t="str">
        <f>"2870"</f>
        <v>2870</v>
      </c>
      <c r="E541" s="9" t="str">
        <f>"Прочие транзитные счета"</f>
        <v>Прочие транзитные счета</v>
      </c>
      <c r="F541" s="9" t="str">
        <f>"2"</f>
        <v>2</v>
      </c>
      <c r="G541" s="9" t="str">
        <f>"5"</f>
        <v>5</v>
      </c>
      <c r="H541" s="9" t="str">
        <f>"1"</f>
        <v>1</v>
      </c>
      <c r="I541" s="11">
        <v>219503742.84999999</v>
      </c>
    </row>
    <row r="542" spans="1:9" x14ac:dyDescent="0.25">
      <c r="A542" s="9">
        <v>173</v>
      </c>
      <c r="B542" s="10">
        <v>45016</v>
      </c>
      <c r="C542" s="9">
        <v>8</v>
      </c>
      <c r="D542" s="9" t="str">
        <f>"2870"</f>
        <v>2870</v>
      </c>
      <c r="E542" s="9" t="str">
        <f>"Прочие транзитные счета"</f>
        <v>Прочие транзитные счета</v>
      </c>
      <c r="F542" s="9" t="str">
        <f>"1"</f>
        <v>1</v>
      </c>
      <c r="G542" s="9" t="str">
        <f>"9"</f>
        <v>9</v>
      </c>
      <c r="H542" s="9" t="str">
        <f>"2"</f>
        <v>2</v>
      </c>
      <c r="I542" s="11">
        <v>756614.25</v>
      </c>
    </row>
    <row r="543" spans="1:9" x14ac:dyDescent="0.25">
      <c r="A543" s="9">
        <v>175</v>
      </c>
      <c r="B543" s="10">
        <v>45016</v>
      </c>
      <c r="C543" s="9">
        <v>8</v>
      </c>
      <c r="D543" s="9" t="str">
        <f>"2870"</f>
        <v>2870</v>
      </c>
      <c r="E543" s="9" t="str">
        <f>"Прочие транзитные счета"</f>
        <v>Прочие транзитные счета</v>
      </c>
      <c r="F543" s="9" t="str">
        <f>"1"</f>
        <v>1</v>
      </c>
      <c r="G543" s="9" t="str">
        <f>"7"</f>
        <v>7</v>
      </c>
      <c r="H543" s="9" t="str">
        <f>"1"</f>
        <v>1</v>
      </c>
      <c r="I543" s="11">
        <v>232295914.5</v>
      </c>
    </row>
    <row r="544" spans="1:9" x14ac:dyDescent="0.25">
      <c r="A544" s="9">
        <v>176</v>
      </c>
      <c r="B544" s="10">
        <v>45016</v>
      </c>
      <c r="C544" s="9">
        <v>8</v>
      </c>
      <c r="D544" s="9" t="str">
        <f>"2870"</f>
        <v>2870</v>
      </c>
      <c r="E544" s="9" t="str">
        <f>"Прочие транзитные счета"</f>
        <v>Прочие транзитные счета</v>
      </c>
      <c r="F544" s="9" t="str">
        <f>"2"</f>
        <v>2</v>
      </c>
      <c r="G544" s="9" t="str">
        <f>"4"</f>
        <v>4</v>
      </c>
      <c r="H544" s="9" t="str">
        <f>"2"</f>
        <v>2</v>
      </c>
      <c r="I544" s="11">
        <v>11924461.92</v>
      </c>
    </row>
    <row r="545" spans="1:9" x14ac:dyDescent="0.25">
      <c r="A545" s="9">
        <v>177</v>
      </c>
      <c r="B545" s="10">
        <v>45016</v>
      </c>
      <c r="C545" s="9">
        <v>8</v>
      </c>
      <c r="D545" s="9" t="str">
        <f>"2870"</f>
        <v>2870</v>
      </c>
      <c r="E545" s="9" t="str">
        <f>"Прочие транзитные счета"</f>
        <v>Прочие транзитные счета</v>
      </c>
      <c r="F545" s="9" t="str">
        <f>"1"</f>
        <v>1</v>
      </c>
      <c r="G545" s="9" t="str">
        <f>"7"</f>
        <v>7</v>
      </c>
      <c r="H545" s="9" t="str">
        <f>"3"</f>
        <v>3</v>
      </c>
      <c r="I545" s="11">
        <v>65134746.07</v>
      </c>
    </row>
    <row r="546" spans="1:9" x14ac:dyDescent="0.25">
      <c r="A546" s="9">
        <v>179</v>
      </c>
      <c r="B546" s="10">
        <v>45016</v>
      </c>
      <c r="C546" s="9">
        <v>8</v>
      </c>
      <c r="D546" s="9" t="str">
        <f>"2870"</f>
        <v>2870</v>
      </c>
      <c r="E546" s="9" t="str">
        <f>"Прочие транзитные счета"</f>
        <v>Прочие транзитные счета</v>
      </c>
      <c r="F546" s="9" t="str">
        <f>"1"</f>
        <v>1</v>
      </c>
      <c r="G546" s="9" t="str">
        <f>"9"</f>
        <v>9</v>
      </c>
      <c r="H546" s="9" t="str">
        <f>"3"</f>
        <v>3</v>
      </c>
      <c r="I546" s="11">
        <v>0</v>
      </c>
    </row>
    <row r="547" spans="1:9" x14ac:dyDescent="0.25">
      <c r="A547" s="9">
        <v>181</v>
      </c>
      <c r="B547" s="10">
        <v>45016</v>
      </c>
      <c r="C547" s="9">
        <v>8</v>
      </c>
      <c r="D547" s="9" t="str">
        <f>"2870"</f>
        <v>2870</v>
      </c>
      <c r="E547" s="9" t="str">
        <f>"Прочие транзитные счета"</f>
        <v>Прочие транзитные счета</v>
      </c>
      <c r="F547" s="9" t="str">
        <f>"2"</f>
        <v>2</v>
      </c>
      <c r="G547" s="9" t="str">
        <f>"5"</f>
        <v>5</v>
      </c>
      <c r="H547" s="9" t="str">
        <f>"2"</f>
        <v>2</v>
      </c>
      <c r="I547" s="11">
        <v>12148564.279999999</v>
      </c>
    </row>
    <row r="548" spans="1:9" x14ac:dyDescent="0.25">
      <c r="A548" s="9">
        <v>184</v>
      </c>
      <c r="B548" s="10">
        <v>45016</v>
      </c>
      <c r="C548" s="9">
        <v>8</v>
      </c>
      <c r="D548" s="9" t="str">
        <f>"2870"</f>
        <v>2870</v>
      </c>
      <c r="E548" s="9" t="str">
        <f>"Прочие транзитные счета"</f>
        <v>Прочие транзитные счета</v>
      </c>
      <c r="F548" s="9" t="str">
        <f>"1"</f>
        <v>1</v>
      </c>
      <c r="G548" s="9" t="str">
        <f>"9"</f>
        <v>9</v>
      </c>
      <c r="H548" s="9" t="str">
        <f>"1"</f>
        <v>1</v>
      </c>
      <c r="I548" s="11">
        <v>529121543.68000001</v>
      </c>
    </row>
    <row r="549" spans="1:9" x14ac:dyDescent="0.25">
      <c r="A549" s="9">
        <v>189</v>
      </c>
      <c r="B549" s="10">
        <v>45016</v>
      </c>
      <c r="C549" s="9">
        <v>8</v>
      </c>
      <c r="D549" s="9" t="str">
        <f>"2870"</f>
        <v>2870</v>
      </c>
      <c r="E549" s="9" t="str">
        <f>"Прочие транзитные счета"</f>
        <v>Прочие транзитные счета</v>
      </c>
      <c r="F549" s="9" t="str">
        <f>"2"</f>
        <v>2</v>
      </c>
      <c r="G549" s="9" t="str">
        <f>"7"</f>
        <v>7</v>
      </c>
      <c r="H549" s="9" t="str">
        <f>"1"</f>
        <v>1</v>
      </c>
      <c r="I549" s="11">
        <v>27300000</v>
      </c>
    </row>
    <row r="550" spans="1:9" x14ac:dyDescent="0.25">
      <c r="A550" s="9">
        <v>365</v>
      </c>
      <c r="B550" s="10">
        <v>45016</v>
      </c>
      <c r="C550" s="9">
        <v>8</v>
      </c>
      <c r="D550" s="9" t="str">
        <f>"2870"</f>
        <v>2870</v>
      </c>
      <c r="E550" s="9" t="str">
        <f>"Прочие транзитные счета"</f>
        <v>Прочие транзитные счета</v>
      </c>
      <c r="F550" s="9" t="str">
        <f>"2"</f>
        <v>2</v>
      </c>
      <c r="G550" s="9" t="str">
        <f>"9"</f>
        <v>9</v>
      </c>
      <c r="H550" s="9" t="str">
        <f>"1"</f>
        <v>1</v>
      </c>
      <c r="I550" s="11">
        <v>1500000</v>
      </c>
    </row>
    <row r="551" spans="1:9" x14ac:dyDescent="0.25">
      <c r="A551" s="9">
        <v>172</v>
      </c>
      <c r="B551" s="10">
        <v>45016</v>
      </c>
      <c r="C551" s="9">
        <v>8</v>
      </c>
      <c r="D551" s="9" t="str">
        <f>"2874"</f>
        <v>2874</v>
      </c>
      <c r="E551" s="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51" s="9" t="str">
        <f>"2"</f>
        <v>2</v>
      </c>
      <c r="G551" s="9" t="str">
        <f>""</f>
        <v/>
      </c>
      <c r="H551" s="9" t="str">
        <f>"2"</f>
        <v>2</v>
      </c>
      <c r="I551" s="11">
        <v>903.42</v>
      </c>
    </row>
    <row r="552" spans="1:9" x14ac:dyDescent="0.25">
      <c r="A552" s="9">
        <v>180</v>
      </c>
      <c r="B552" s="10">
        <v>45016</v>
      </c>
      <c r="C552" s="9">
        <v>8</v>
      </c>
      <c r="D552" s="9" t="str">
        <f>"2880"</f>
        <v>2880</v>
      </c>
      <c r="E552" s="9" t="str">
        <f>"Обязательства по секьюритизируемым активам"</f>
        <v>Обязательства по секьюритизируемым активам</v>
      </c>
      <c r="F552" s="9" t="str">
        <f>"1"</f>
        <v>1</v>
      </c>
      <c r="G552" s="9" t="str">
        <f>""</f>
        <v/>
      </c>
      <c r="H552" s="9" t="str">
        <f>"1"</f>
        <v>1</v>
      </c>
      <c r="I552" s="11">
        <v>18940428815.049999</v>
      </c>
    </row>
    <row r="553" spans="1:9" x14ac:dyDescent="0.25">
      <c r="A553" s="9">
        <v>174</v>
      </c>
      <c r="B553" s="10">
        <v>45016</v>
      </c>
      <c r="C553" s="9">
        <v>8</v>
      </c>
      <c r="D553" s="9" t="str">
        <f>"2894"</f>
        <v>2894</v>
      </c>
      <c r="E553" s="9" t="str">
        <f>"Обязательства по операциям спот"</f>
        <v>Обязательства по операциям спот</v>
      </c>
      <c r="F553" s="9" t="str">
        <f>"2"</f>
        <v>2</v>
      </c>
      <c r="G553" s="9" t="str">
        <f>"4"</f>
        <v>4</v>
      </c>
      <c r="H553" s="9" t="str">
        <f>"1"</f>
        <v>1</v>
      </c>
      <c r="I553" s="11">
        <v>13962596.300000001</v>
      </c>
    </row>
    <row r="554" spans="1:9" x14ac:dyDescent="0.25">
      <c r="A554" s="9">
        <v>169</v>
      </c>
      <c r="B554" s="10">
        <v>45016</v>
      </c>
      <c r="C554" s="9">
        <v>8</v>
      </c>
      <c r="D554" s="9" t="str">
        <f>"3001"</f>
        <v>3001</v>
      </c>
      <c r="E554" s="9" t="str">
        <f>"Уставный капитал – простые акции"</f>
        <v>Уставный капитал – простые акции</v>
      </c>
      <c r="F554" s="9" t="str">
        <f>""</f>
        <v/>
      </c>
      <c r="G554" s="9" t="str">
        <f>""</f>
        <v/>
      </c>
      <c r="H554" s="9" t="str">
        <f>""</f>
        <v/>
      </c>
      <c r="I554" s="11">
        <v>219900000000</v>
      </c>
    </row>
    <row r="555" spans="1:9" x14ac:dyDescent="0.25">
      <c r="A555" s="9">
        <v>168</v>
      </c>
      <c r="B555" s="10">
        <v>45016</v>
      </c>
      <c r="C555" s="9">
        <v>8</v>
      </c>
      <c r="D555" s="9" t="str">
        <f>"3025"</f>
        <v>3025</v>
      </c>
      <c r="E555" s="9" t="str">
        <f>"Уставный капитал – привилегированные акции"</f>
        <v>Уставный капитал – привилегированные акции</v>
      </c>
      <c r="F555" s="9" t="str">
        <f>""</f>
        <v/>
      </c>
      <c r="G555" s="9" t="str">
        <f>""</f>
        <v/>
      </c>
      <c r="H555" s="9" t="str">
        <f>""</f>
        <v/>
      </c>
      <c r="I555" s="11">
        <v>4500000000</v>
      </c>
    </row>
    <row r="556" spans="1:9" x14ac:dyDescent="0.25">
      <c r="A556" s="9">
        <v>170</v>
      </c>
      <c r="B556" s="10">
        <v>45016</v>
      </c>
      <c r="C556" s="9">
        <v>8</v>
      </c>
      <c r="D556" s="9" t="str">
        <f>"3510"</f>
        <v>3510</v>
      </c>
      <c r="E556" s="9" t="str">
        <f>"Резервный капитал"</f>
        <v>Резервный капитал</v>
      </c>
      <c r="F556" s="9" t="str">
        <f>""</f>
        <v/>
      </c>
      <c r="G556" s="9" t="str">
        <f>""</f>
        <v/>
      </c>
      <c r="H556" s="9" t="str">
        <f>""</f>
        <v/>
      </c>
      <c r="I556" s="11">
        <v>162306188.84999999</v>
      </c>
    </row>
    <row r="557" spans="1:9" x14ac:dyDescent="0.25">
      <c r="A557" s="9">
        <v>178</v>
      </c>
      <c r="B557" s="10">
        <v>45016</v>
      </c>
      <c r="C557" s="9">
        <v>8</v>
      </c>
      <c r="D557" s="9" t="str">
        <f>"3540"</f>
        <v>3540</v>
      </c>
      <c r="E557" s="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557" s="9" t="str">
        <f>""</f>
        <v/>
      </c>
      <c r="G557" s="9" t="str">
        <f>""</f>
        <v/>
      </c>
      <c r="H557" s="9" t="str">
        <f>""</f>
        <v/>
      </c>
      <c r="I557" s="11">
        <v>5609219495.0500002</v>
      </c>
    </row>
    <row r="558" spans="1:9" x14ac:dyDescent="0.25">
      <c r="A558" s="9">
        <v>183</v>
      </c>
      <c r="B558" s="10">
        <v>45016</v>
      </c>
      <c r="C558" s="9">
        <v>8</v>
      </c>
      <c r="D558" s="9" t="str">
        <f>"3561"</f>
        <v>3561</v>
      </c>
      <c r="E558" s="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558" s="9" t="str">
        <f>"1"</f>
        <v>1</v>
      </c>
      <c r="G558" s="9" t="str">
        <f>""</f>
        <v/>
      </c>
      <c r="H558" s="9" t="str">
        <f>"1"</f>
        <v>1</v>
      </c>
      <c r="I558" s="11">
        <v>-15181949087</v>
      </c>
    </row>
    <row r="559" spans="1:9" x14ac:dyDescent="0.25">
      <c r="A559" s="9">
        <v>182</v>
      </c>
      <c r="B559" s="10">
        <v>45016</v>
      </c>
      <c r="C559" s="9">
        <v>8</v>
      </c>
      <c r="D559" s="9" t="str">
        <f>"3562"</f>
        <v>3562</v>
      </c>
      <c r="E559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59" s="9" t="str">
        <f>"1"</f>
        <v>1</v>
      </c>
      <c r="G559" s="9" t="str">
        <f>""</f>
        <v/>
      </c>
      <c r="H559" s="9" t="str">
        <f>"2"</f>
        <v>2</v>
      </c>
      <c r="I559" s="11">
        <v>404453645.32999998</v>
      </c>
    </row>
    <row r="560" spans="1:9" x14ac:dyDescent="0.25">
      <c r="A560" s="9">
        <v>185</v>
      </c>
      <c r="B560" s="10">
        <v>45016</v>
      </c>
      <c r="C560" s="9">
        <v>8</v>
      </c>
      <c r="D560" s="9" t="str">
        <f>"3562"</f>
        <v>3562</v>
      </c>
      <c r="E560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560" s="9" t="str">
        <f>"1"</f>
        <v>1</v>
      </c>
      <c r="G560" s="9" t="str">
        <f>""</f>
        <v/>
      </c>
      <c r="H560" s="9" t="str">
        <f>"1"</f>
        <v>1</v>
      </c>
      <c r="I560" s="11">
        <v>99802222.060000002</v>
      </c>
    </row>
    <row r="561" spans="1:9" x14ac:dyDescent="0.25">
      <c r="A561" s="9">
        <v>187</v>
      </c>
      <c r="B561" s="10">
        <v>45016</v>
      </c>
      <c r="C561" s="9">
        <v>8</v>
      </c>
      <c r="D561" s="9" t="str">
        <f>"3580"</f>
        <v>3580</v>
      </c>
      <c r="E561" s="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561" s="9" t="str">
        <f>""</f>
        <v/>
      </c>
      <c r="G561" s="9" t="str">
        <f>""</f>
        <v/>
      </c>
      <c r="H561" s="9" t="str">
        <f>""</f>
        <v/>
      </c>
      <c r="I561" s="11">
        <v>-92529890152.050003</v>
      </c>
    </row>
    <row r="562" spans="1:9" x14ac:dyDescent="0.25">
      <c r="A562" s="9">
        <v>188</v>
      </c>
      <c r="B562" s="10">
        <v>45016</v>
      </c>
      <c r="C562" s="9">
        <v>8</v>
      </c>
      <c r="D562" s="9" t="str">
        <f>"3599"</f>
        <v>3599</v>
      </c>
      <c r="E562" s="9" t="str">
        <f>"Нераспределенная чистая прибыль (непокрытый убыток)"</f>
        <v>Нераспределенная чистая прибыль (непокрытый убыток)</v>
      </c>
      <c r="F562" s="9" t="str">
        <f>""</f>
        <v/>
      </c>
      <c r="G562" s="9" t="str">
        <f>""</f>
        <v/>
      </c>
      <c r="H562" s="9" t="str">
        <f>""</f>
        <v/>
      </c>
      <c r="I562" s="11">
        <v>10515764925.459999</v>
      </c>
    </row>
    <row r="563" spans="1:9" x14ac:dyDescent="0.25">
      <c r="A563" s="9">
        <v>191</v>
      </c>
      <c r="B563" s="10">
        <v>45016</v>
      </c>
      <c r="C563" s="9">
        <v>8</v>
      </c>
      <c r="D563" s="9" t="str">
        <f>"4052"</f>
        <v>4052</v>
      </c>
      <c r="E563" s="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563" s="9" t="str">
        <f>""</f>
        <v/>
      </c>
      <c r="G563" s="9" t="str">
        <f>""</f>
        <v/>
      </c>
      <c r="H563" s="9" t="str">
        <f>""</f>
        <v/>
      </c>
      <c r="I563" s="11">
        <v>107725801.02</v>
      </c>
    </row>
    <row r="564" spans="1:9" x14ac:dyDescent="0.25">
      <c r="A564" s="9">
        <v>186</v>
      </c>
      <c r="B564" s="10">
        <v>45016</v>
      </c>
      <c r="C564" s="9">
        <v>8</v>
      </c>
      <c r="D564" s="9" t="str">
        <f>"4103"</f>
        <v>4103</v>
      </c>
      <c r="E564" s="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564" s="9" t="str">
        <f>""</f>
        <v/>
      </c>
      <c r="G564" s="9" t="str">
        <f>""</f>
        <v/>
      </c>
      <c r="H564" s="9" t="str">
        <f>""</f>
        <v/>
      </c>
      <c r="I564" s="11">
        <v>206500000</v>
      </c>
    </row>
    <row r="565" spans="1:9" x14ac:dyDescent="0.25">
      <c r="A565" s="9">
        <v>190</v>
      </c>
      <c r="B565" s="10">
        <v>45016</v>
      </c>
      <c r="C565" s="9">
        <v>8</v>
      </c>
      <c r="D565" s="9" t="str">
        <f>"4201"</f>
        <v>4201</v>
      </c>
      <c r="E565" s="9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565" s="9" t="str">
        <f>""</f>
        <v/>
      </c>
      <c r="G565" s="9" t="str">
        <f>""</f>
        <v/>
      </c>
      <c r="H565" s="9" t="str">
        <f>""</f>
        <v/>
      </c>
      <c r="I565" s="11">
        <v>28216897.449999999</v>
      </c>
    </row>
    <row r="566" spans="1:9" x14ac:dyDescent="0.25">
      <c r="A566" s="9">
        <v>193</v>
      </c>
      <c r="B566" s="10">
        <v>45016</v>
      </c>
      <c r="C566" s="9">
        <v>8</v>
      </c>
      <c r="D566" s="9" t="str">
        <f>"4202"</f>
        <v>4202</v>
      </c>
      <c r="E566" s="9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566" s="9" t="str">
        <f>""</f>
        <v/>
      </c>
      <c r="G566" s="9" t="str">
        <f>""</f>
        <v/>
      </c>
      <c r="H566" s="9" t="str">
        <f>""</f>
        <v/>
      </c>
      <c r="I566" s="11">
        <v>4278284.8600000003</v>
      </c>
    </row>
    <row r="567" spans="1:9" x14ac:dyDescent="0.25">
      <c r="A567" s="9">
        <v>192</v>
      </c>
      <c r="B567" s="10">
        <v>45016</v>
      </c>
      <c r="C567" s="9">
        <v>8</v>
      </c>
      <c r="D567" s="9" t="str">
        <f>"4251"</f>
        <v>4251</v>
      </c>
      <c r="E567" s="9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567" s="9" t="str">
        <f>""</f>
        <v/>
      </c>
      <c r="G567" s="9" t="str">
        <f>""</f>
        <v/>
      </c>
      <c r="H567" s="9" t="str">
        <f>""</f>
        <v/>
      </c>
      <c r="I567" s="11">
        <v>387734058.67000002</v>
      </c>
    </row>
    <row r="568" spans="1:9" x14ac:dyDescent="0.25">
      <c r="A568" s="9">
        <v>194</v>
      </c>
      <c r="B568" s="10">
        <v>45016</v>
      </c>
      <c r="C568" s="9">
        <v>8</v>
      </c>
      <c r="D568" s="9" t="str">
        <f>"4253"</f>
        <v>4253</v>
      </c>
      <c r="E568" s="9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568" s="9" t="str">
        <f>""</f>
        <v/>
      </c>
      <c r="G568" s="9" t="str">
        <f>""</f>
        <v/>
      </c>
      <c r="H568" s="9" t="str">
        <f>""</f>
        <v/>
      </c>
      <c r="I568" s="11">
        <v>260947808.63</v>
      </c>
    </row>
    <row r="569" spans="1:9" x14ac:dyDescent="0.25">
      <c r="A569" s="9">
        <v>195</v>
      </c>
      <c r="B569" s="10">
        <v>45016</v>
      </c>
      <c r="C569" s="9">
        <v>8</v>
      </c>
      <c r="D569" s="9" t="str">
        <f>"4254"</f>
        <v>4254</v>
      </c>
      <c r="E569" s="9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569" s="9" t="str">
        <f>""</f>
        <v/>
      </c>
      <c r="G569" s="9" t="str">
        <f>""</f>
        <v/>
      </c>
      <c r="H569" s="9" t="str">
        <f>""</f>
        <v/>
      </c>
      <c r="I569" s="11">
        <v>44670821.850000001</v>
      </c>
    </row>
    <row r="570" spans="1:9" x14ac:dyDescent="0.25">
      <c r="A570" s="9">
        <v>198</v>
      </c>
      <c r="B570" s="10">
        <v>45016</v>
      </c>
      <c r="C570" s="9">
        <v>8</v>
      </c>
      <c r="D570" s="9" t="str">
        <f>"4265"</f>
        <v>4265</v>
      </c>
      <c r="E570" s="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570" s="9" t="str">
        <f>""</f>
        <v/>
      </c>
      <c r="G570" s="9" t="str">
        <f>""</f>
        <v/>
      </c>
      <c r="H570" s="9" t="str">
        <f>""</f>
        <v/>
      </c>
      <c r="I570" s="11">
        <v>89269093.040000007</v>
      </c>
    </row>
    <row r="571" spans="1:9" x14ac:dyDescent="0.25">
      <c r="A571" s="9">
        <v>197</v>
      </c>
      <c r="B571" s="10">
        <v>45016</v>
      </c>
      <c r="C571" s="9">
        <v>8</v>
      </c>
      <c r="D571" s="9" t="str">
        <f>"4267"</f>
        <v>4267</v>
      </c>
      <c r="E571" s="9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F571" s="9" t="str">
        <f>""</f>
        <v/>
      </c>
      <c r="G571" s="9" t="str">
        <f>""</f>
        <v/>
      </c>
      <c r="H571" s="9" t="str">
        <f>""</f>
        <v/>
      </c>
      <c r="I571" s="11">
        <v>2458760.36</v>
      </c>
    </row>
    <row r="572" spans="1:9" x14ac:dyDescent="0.25">
      <c r="A572" s="9">
        <v>196</v>
      </c>
      <c r="B572" s="10">
        <v>45016</v>
      </c>
      <c r="C572" s="9">
        <v>8</v>
      </c>
      <c r="D572" s="9" t="str">
        <f>"4401"</f>
        <v>4401</v>
      </c>
      <c r="E572" s="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572" s="9" t="str">
        <f>""</f>
        <v/>
      </c>
      <c r="G572" s="9" t="str">
        <f>""</f>
        <v/>
      </c>
      <c r="H572" s="9" t="str">
        <f>""</f>
        <v/>
      </c>
      <c r="I572" s="11">
        <v>242061.74</v>
      </c>
    </row>
    <row r="573" spans="1:9" x14ac:dyDescent="0.25">
      <c r="A573" s="9">
        <v>200</v>
      </c>
      <c r="B573" s="10">
        <v>45016</v>
      </c>
      <c r="C573" s="9">
        <v>8</v>
      </c>
      <c r="D573" s="9" t="str">
        <f>"4403"</f>
        <v>4403</v>
      </c>
      <c r="E573" s="9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573" s="9" t="str">
        <f>""</f>
        <v/>
      </c>
      <c r="G573" s="9" t="str">
        <f>""</f>
        <v/>
      </c>
      <c r="H573" s="9" t="str">
        <f>""</f>
        <v/>
      </c>
      <c r="I573" s="11">
        <v>1071742.96</v>
      </c>
    </row>
    <row r="574" spans="1:9" x14ac:dyDescent="0.25">
      <c r="A574" s="9">
        <v>199</v>
      </c>
      <c r="B574" s="10">
        <v>45016</v>
      </c>
      <c r="C574" s="9">
        <v>8</v>
      </c>
      <c r="D574" s="9" t="str">
        <f>"4411"</f>
        <v>4411</v>
      </c>
      <c r="E574" s="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574" s="9" t="str">
        <f>""</f>
        <v/>
      </c>
      <c r="G574" s="9" t="str">
        <f>""</f>
        <v/>
      </c>
      <c r="H574" s="9" t="str">
        <f>""</f>
        <v/>
      </c>
      <c r="I574" s="11">
        <v>4585779063.2600002</v>
      </c>
    </row>
    <row r="575" spans="1:9" x14ac:dyDescent="0.25">
      <c r="A575" s="9">
        <v>202</v>
      </c>
      <c r="B575" s="10">
        <v>45016</v>
      </c>
      <c r="C575" s="9">
        <v>8</v>
      </c>
      <c r="D575" s="9" t="str">
        <f>"4417"</f>
        <v>4417</v>
      </c>
      <c r="E575" s="9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75" s="9" t="str">
        <f>""</f>
        <v/>
      </c>
      <c r="G575" s="9" t="str">
        <f>""</f>
        <v/>
      </c>
      <c r="H575" s="9" t="str">
        <f>""</f>
        <v/>
      </c>
      <c r="I575" s="11">
        <v>20897138957.360001</v>
      </c>
    </row>
    <row r="576" spans="1:9" x14ac:dyDescent="0.25">
      <c r="A576" s="9">
        <v>205</v>
      </c>
      <c r="B576" s="10">
        <v>45016</v>
      </c>
      <c r="C576" s="9">
        <v>8</v>
      </c>
      <c r="D576" s="9" t="str">
        <f>"4424"</f>
        <v>4424</v>
      </c>
      <c r="E576" s="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576" s="9" t="str">
        <f>""</f>
        <v/>
      </c>
      <c r="G576" s="9" t="str">
        <f>""</f>
        <v/>
      </c>
      <c r="H576" s="9" t="str">
        <f>""</f>
        <v/>
      </c>
      <c r="I576" s="11">
        <v>937353918.39999998</v>
      </c>
    </row>
    <row r="577" spans="1:9" x14ac:dyDescent="0.25">
      <c r="A577" s="9">
        <v>201</v>
      </c>
      <c r="B577" s="10">
        <v>45016</v>
      </c>
      <c r="C577" s="9">
        <v>8</v>
      </c>
      <c r="D577" s="9" t="str">
        <f>"4429"</f>
        <v>4429</v>
      </c>
      <c r="E577" s="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77" s="9" t="str">
        <f>""</f>
        <v/>
      </c>
      <c r="G577" s="9" t="str">
        <f>""</f>
        <v/>
      </c>
      <c r="H577" s="9" t="str">
        <f>""</f>
        <v/>
      </c>
      <c r="I577" s="11">
        <v>687499.99</v>
      </c>
    </row>
    <row r="578" spans="1:9" x14ac:dyDescent="0.25">
      <c r="A578" s="9">
        <v>203</v>
      </c>
      <c r="B578" s="10">
        <v>45016</v>
      </c>
      <c r="C578" s="9">
        <v>8</v>
      </c>
      <c r="D578" s="9" t="str">
        <f>"4434"</f>
        <v>4434</v>
      </c>
      <c r="E578" s="9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578" s="9" t="str">
        <f>""</f>
        <v/>
      </c>
      <c r="G578" s="9" t="str">
        <f>""</f>
        <v/>
      </c>
      <c r="H578" s="9" t="str">
        <f>""</f>
        <v/>
      </c>
      <c r="I578" s="11">
        <v>577878731.84000003</v>
      </c>
    </row>
    <row r="579" spans="1:9" x14ac:dyDescent="0.25">
      <c r="A579" s="9">
        <v>204</v>
      </c>
      <c r="B579" s="10">
        <v>45016</v>
      </c>
      <c r="C579" s="9">
        <v>8</v>
      </c>
      <c r="D579" s="9" t="str">
        <f>"4436"</f>
        <v>4436</v>
      </c>
      <c r="E579" s="9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579" s="9" t="str">
        <f>""</f>
        <v/>
      </c>
      <c r="G579" s="9" t="str">
        <f>""</f>
        <v/>
      </c>
      <c r="H579" s="9" t="str">
        <f>""</f>
        <v/>
      </c>
      <c r="I579" s="11">
        <v>3268762009.9299998</v>
      </c>
    </row>
    <row r="580" spans="1:9" x14ac:dyDescent="0.25">
      <c r="A580" s="9">
        <v>206</v>
      </c>
      <c r="B580" s="10">
        <v>45016</v>
      </c>
      <c r="C580" s="9">
        <v>8</v>
      </c>
      <c r="D580" s="9" t="str">
        <f>"4452"</f>
        <v>4452</v>
      </c>
      <c r="E580" s="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80" s="9" t="str">
        <f>""</f>
        <v/>
      </c>
      <c r="G580" s="9" t="str">
        <f>""</f>
        <v/>
      </c>
      <c r="H580" s="9" t="str">
        <f>""</f>
        <v/>
      </c>
      <c r="I580" s="11">
        <v>4081224181.0799999</v>
      </c>
    </row>
    <row r="581" spans="1:9" x14ac:dyDescent="0.25">
      <c r="A581" s="9">
        <v>207</v>
      </c>
      <c r="B581" s="10">
        <v>45016</v>
      </c>
      <c r="C581" s="9">
        <v>8</v>
      </c>
      <c r="D581" s="9" t="str">
        <f>"4453"</f>
        <v>4453</v>
      </c>
      <c r="E581" s="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81" s="9" t="str">
        <f>""</f>
        <v/>
      </c>
      <c r="G581" s="9" t="str">
        <f>""</f>
        <v/>
      </c>
      <c r="H581" s="9" t="str">
        <f>""</f>
        <v/>
      </c>
      <c r="I581" s="11">
        <v>5286868063.3199997</v>
      </c>
    </row>
    <row r="582" spans="1:9" x14ac:dyDescent="0.25">
      <c r="A582" s="9">
        <v>208</v>
      </c>
      <c r="B582" s="10">
        <v>45016</v>
      </c>
      <c r="C582" s="9">
        <v>8</v>
      </c>
      <c r="D582" s="9" t="str">
        <f>"4454"</f>
        <v>4454</v>
      </c>
      <c r="E582" s="9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582" s="9" t="str">
        <f>""</f>
        <v/>
      </c>
      <c r="G582" s="9" t="str">
        <f>""</f>
        <v/>
      </c>
      <c r="H582" s="9" t="str">
        <f>""</f>
        <v/>
      </c>
      <c r="I582" s="11">
        <v>59627824.770000003</v>
      </c>
    </row>
    <row r="583" spans="1:9" x14ac:dyDescent="0.25">
      <c r="A583" s="9">
        <v>209</v>
      </c>
      <c r="B583" s="10">
        <v>45016</v>
      </c>
      <c r="C583" s="9">
        <v>8</v>
      </c>
      <c r="D583" s="9" t="str">
        <f>"4465"</f>
        <v>4465</v>
      </c>
      <c r="E583" s="9" t="s">
        <v>9</v>
      </c>
      <c r="F583" s="9" t="str">
        <f>""</f>
        <v/>
      </c>
      <c r="G583" s="9" t="str">
        <f>""</f>
        <v/>
      </c>
      <c r="H583" s="9" t="str">
        <f>""</f>
        <v/>
      </c>
      <c r="I583" s="11">
        <v>426935996.29000002</v>
      </c>
    </row>
    <row r="584" spans="1:9" x14ac:dyDescent="0.25">
      <c r="A584" s="9">
        <v>210</v>
      </c>
      <c r="B584" s="10">
        <v>45016</v>
      </c>
      <c r="C584" s="9">
        <v>8</v>
      </c>
      <c r="D584" s="9" t="str">
        <f>"4481"</f>
        <v>4481</v>
      </c>
      <c r="E584" s="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584" s="9" t="str">
        <f>""</f>
        <v/>
      </c>
      <c r="G584" s="9" t="str">
        <f>""</f>
        <v/>
      </c>
      <c r="H584" s="9" t="str">
        <f>""</f>
        <v/>
      </c>
      <c r="I584" s="11">
        <v>1088708395.22</v>
      </c>
    </row>
    <row r="585" spans="1:9" x14ac:dyDescent="0.25">
      <c r="A585" s="9">
        <v>213</v>
      </c>
      <c r="B585" s="10">
        <v>45016</v>
      </c>
      <c r="C585" s="9">
        <v>8</v>
      </c>
      <c r="D585" s="9" t="str">
        <f>"4482"</f>
        <v>4482</v>
      </c>
      <c r="E585" s="9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585" s="9" t="str">
        <f>""</f>
        <v/>
      </c>
      <c r="G585" s="9" t="str">
        <f>""</f>
        <v/>
      </c>
      <c r="H585" s="9" t="str">
        <f>""</f>
        <v/>
      </c>
      <c r="I585" s="11">
        <v>2512405286.6100001</v>
      </c>
    </row>
    <row r="586" spans="1:9" x14ac:dyDescent="0.25">
      <c r="A586" s="9">
        <v>214</v>
      </c>
      <c r="B586" s="10">
        <v>45016</v>
      </c>
      <c r="C586" s="9">
        <v>8</v>
      </c>
      <c r="D586" s="9" t="str">
        <f>"4492"</f>
        <v>4492</v>
      </c>
      <c r="E586" s="9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586" s="9" t="str">
        <f>""</f>
        <v/>
      </c>
      <c r="G586" s="9" t="str">
        <f>""</f>
        <v/>
      </c>
      <c r="H586" s="9" t="str">
        <f>""</f>
        <v/>
      </c>
      <c r="I586" s="11">
        <v>4872683.45</v>
      </c>
    </row>
    <row r="587" spans="1:9" x14ac:dyDescent="0.25">
      <c r="A587" s="9">
        <v>212</v>
      </c>
      <c r="B587" s="10">
        <v>45016</v>
      </c>
      <c r="C587" s="9">
        <v>8</v>
      </c>
      <c r="D587" s="9" t="str">
        <f>"4530"</f>
        <v>4530</v>
      </c>
      <c r="E587" s="9" t="str">
        <f>"Доходы по купле-продаже иностранной валюты"</f>
        <v>Доходы по купле-продаже иностранной валюты</v>
      </c>
      <c r="F587" s="9" t="str">
        <f>""</f>
        <v/>
      </c>
      <c r="G587" s="9" t="str">
        <f>""</f>
        <v/>
      </c>
      <c r="H587" s="9" t="str">
        <f>""</f>
        <v/>
      </c>
      <c r="I587" s="11">
        <v>15062459910.83</v>
      </c>
    </row>
    <row r="588" spans="1:9" x14ac:dyDescent="0.25">
      <c r="A588" s="9">
        <v>215</v>
      </c>
      <c r="B588" s="10">
        <v>45016</v>
      </c>
      <c r="C588" s="9">
        <v>8</v>
      </c>
      <c r="D588" s="9" t="str">
        <f>"4540"</f>
        <v>4540</v>
      </c>
      <c r="E588" s="9" t="str">
        <f>"Доходы от продажи аффинированных драгоценных металлов"</f>
        <v>Доходы от продажи аффинированных драгоценных металлов</v>
      </c>
      <c r="F588" s="9" t="str">
        <f>""</f>
        <v/>
      </c>
      <c r="G588" s="9" t="str">
        <f>""</f>
        <v/>
      </c>
      <c r="H588" s="9" t="str">
        <f>""</f>
        <v/>
      </c>
      <c r="I588" s="11">
        <v>79563211.060000002</v>
      </c>
    </row>
    <row r="589" spans="1:9" x14ac:dyDescent="0.25">
      <c r="A589" s="9">
        <v>211</v>
      </c>
      <c r="B589" s="10">
        <v>45016</v>
      </c>
      <c r="C589" s="9">
        <v>8</v>
      </c>
      <c r="D589" s="9" t="str">
        <f>"4601"</f>
        <v>4601</v>
      </c>
      <c r="E589" s="9" t="str">
        <f>"Комиссионные доходы за услуги по переводным операциям"</f>
        <v>Комиссионные доходы за услуги по переводным операциям</v>
      </c>
      <c r="F589" s="9" t="str">
        <f>""</f>
        <v/>
      </c>
      <c r="G589" s="9" t="str">
        <f>""</f>
        <v/>
      </c>
      <c r="H589" s="9" t="str">
        <f>""</f>
        <v/>
      </c>
      <c r="I589" s="11">
        <v>801585608.33000004</v>
      </c>
    </row>
    <row r="590" spans="1:9" x14ac:dyDescent="0.25">
      <c r="A590" s="9">
        <v>216</v>
      </c>
      <c r="B590" s="10">
        <v>45016</v>
      </c>
      <c r="C590" s="9">
        <v>8</v>
      </c>
      <c r="D590" s="9" t="str">
        <f>"4602"</f>
        <v>4602</v>
      </c>
      <c r="E590" s="9" t="str">
        <f>"Комиссионные доходы за агентские услуги"</f>
        <v>Комиссионные доходы за агентские услуги</v>
      </c>
      <c r="F590" s="9" t="str">
        <f>""</f>
        <v/>
      </c>
      <c r="G590" s="9" t="str">
        <f>""</f>
        <v/>
      </c>
      <c r="H590" s="9" t="str">
        <f>""</f>
        <v/>
      </c>
      <c r="I590" s="11">
        <v>1478991270</v>
      </c>
    </row>
    <row r="591" spans="1:9" x14ac:dyDescent="0.25">
      <c r="A591" s="9">
        <v>217</v>
      </c>
      <c r="B591" s="10">
        <v>45016</v>
      </c>
      <c r="C591" s="9">
        <v>8</v>
      </c>
      <c r="D591" s="9" t="str">
        <f>"4604"</f>
        <v>4604</v>
      </c>
      <c r="E591" s="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591" s="9" t="str">
        <f>""</f>
        <v/>
      </c>
      <c r="G591" s="9" t="str">
        <f>""</f>
        <v/>
      </c>
      <c r="H591" s="9" t="str">
        <f>""</f>
        <v/>
      </c>
      <c r="I591" s="11">
        <v>2327720.62</v>
      </c>
    </row>
    <row r="592" spans="1:9" x14ac:dyDescent="0.25">
      <c r="A592" s="9">
        <v>219</v>
      </c>
      <c r="B592" s="10">
        <v>45016</v>
      </c>
      <c r="C592" s="9">
        <v>8</v>
      </c>
      <c r="D592" s="9" t="str">
        <f>"4605"</f>
        <v>4605</v>
      </c>
      <c r="E592" s="9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592" s="9" t="str">
        <f>""</f>
        <v/>
      </c>
      <c r="G592" s="9" t="str">
        <f>""</f>
        <v/>
      </c>
      <c r="H592" s="9" t="str">
        <f>""</f>
        <v/>
      </c>
      <c r="I592" s="11">
        <v>297708620.75</v>
      </c>
    </row>
    <row r="593" spans="1:9" x14ac:dyDescent="0.25">
      <c r="A593" s="9">
        <v>218</v>
      </c>
      <c r="B593" s="10">
        <v>45016</v>
      </c>
      <c r="C593" s="9">
        <v>8</v>
      </c>
      <c r="D593" s="9" t="str">
        <f>"4606"</f>
        <v>4606</v>
      </c>
      <c r="E593" s="9" t="str">
        <f>"Комиссионные доходы за услуги по операциям с гарантиями"</f>
        <v>Комиссионные доходы за услуги по операциям с гарантиями</v>
      </c>
      <c r="F593" s="9" t="str">
        <f>""</f>
        <v/>
      </c>
      <c r="G593" s="9" t="str">
        <f>""</f>
        <v/>
      </c>
      <c r="H593" s="9" t="str">
        <f>""</f>
        <v/>
      </c>
      <c r="I593" s="11">
        <v>502707486.44</v>
      </c>
    </row>
    <row r="594" spans="1:9" x14ac:dyDescent="0.25">
      <c r="A594" s="9">
        <v>221</v>
      </c>
      <c r="B594" s="10">
        <v>45016</v>
      </c>
      <c r="C594" s="9">
        <v>8</v>
      </c>
      <c r="D594" s="9" t="str">
        <f>"4607"</f>
        <v>4607</v>
      </c>
      <c r="E594" s="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594" s="9" t="str">
        <f>""</f>
        <v/>
      </c>
      <c r="G594" s="9" t="str">
        <f>""</f>
        <v/>
      </c>
      <c r="H594" s="9" t="str">
        <f>""</f>
        <v/>
      </c>
      <c r="I594" s="11">
        <v>566248640.39999998</v>
      </c>
    </row>
    <row r="595" spans="1:9" x14ac:dyDescent="0.25">
      <c r="A595" s="9">
        <v>220</v>
      </c>
      <c r="B595" s="10">
        <v>45016</v>
      </c>
      <c r="C595" s="9">
        <v>8</v>
      </c>
      <c r="D595" s="9" t="str">
        <f>"4608"</f>
        <v>4608</v>
      </c>
      <c r="E595" s="9" t="str">
        <f>"Прочие комиссионные доходы"</f>
        <v>Прочие комиссионные доходы</v>
      </c>
      <c r="F595" s="9" t="str">
        <f>""</f>
        <v/>
      </c>
      <c r="G595" s="9" t="str">
        <f>""</f>
        <v/>
      </c>
      <c r="H595" s="9" t="str">
        <f>""</f>
        <v/>
      </c>
      <c r="I595" s="11">
        <v>35300284.130000003</v>
      </c>
    </row>
    <row r="596" spans="1:9" x14ac:dyDescent="0.25">
      <c r="A596" s="9">
        <v>223</v>
      </c>
      <c r="B596" s="10">
        <v>45016</v>
      </c>
      <c r="C596" s="9">
        <v>8</v>
      </c>
      <c r="D596" s="9" t="str">
        <f>"4609"</f>
        <v>4609</v>
      </c>
      <c r="E596" s="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596" s="9" t="str">
        <f>""</f>
        <v/>
      </c>
      <c r="G596" s="9" t="str">
        <f>""</f>
        <v/>
      </c>
      <c r="H596" s="9" t="str">
        <f>""</f>
        <v/>
      </c>
      <c r="I596" s="11">
        <v>13994642.640000001</v>
      </c>
    </row>
    <row r="597" spans="1:9" x14ac:dyDescent="0.25">
      <c r="A597" s="9">
        <v>222</v>
      </c>
      <c r="B597" s="10">
        <v>45016</v>
      </c>
      <c r="C597" s="9">
        <v>8</v>
      </c>
      <c r="D597" s="9" t="str">
        <f>"4611"</f>
        <v>4611</v>
      </c>
      <c r="E597" s="9" t="str">
        <f>"Комиссионные доходы за услуги по кассовым операциям"</f>
        <v>Комиссионные доходы за услуги по кассовым операциям</v>
      </c>
      <c r="F597" s="9" t="str">
        <f>""</f>
        <v/>
      </c>
      <c r="G597" s="9" t="str">
        <f>""</f>
        <v/>
      </c>
      <c r="H597" s="9" t="str">
        <f>""</f>
        <v/>
      </c>
      <c r="I597" s="11">
        <v>212111457.06</v>
      </c>
    </row>
    <row r="598" spans="1:9" x14ac:dyDescent="0.25">
      <c r="A598" s="9">
        <v>224</v>
      </c>
      <c r="B598" s="10">
        <v>45016</v>
      </c>
      <c r="C598" s="9">
        <v>8</v>
      </c>
      <c r="D598" s="9" t="str">
        <f>"4612"</f>
        <v>4612</v>
      </c>
      <c r="E598" s="9" t="str">
        <f>"Комиссионные доходы по документарным расчетам"</f>
        <v>Комиссионные доходы по документарным расчетам</v>
      </c>
      <c r="F598" s="9" t="str">
        <f>""</f>
        <v/>
      </c>
      <c r="G598" s="9" t="str">
        <f>""</f>
        <v/>
      </c>
      <c r="H598" s="9" t="str">
        <f>""</f>
        <v/>
      </c>
      <c r="I598" s="11">
        <v>3063710.28</v>
      </c>
    </row>
    <row r="599" spans="1:9" x14ac:dyDescent="0.25">
      <c r="A599" s="9">
        <v>225</v>
      </c>
      <c r="B599" s="10">
        <v>45016</v>
      </c>
      <c r="C599" s="9">
        <v>8</v>
      </c>
      <c r="D599" s="9" t="str">
        <f>"4617"</f>
        <v>4617</v>
      </c>
      <c r="E599" s="9" t="str">
        <f>"Комиссионные доходы за услуги по сейфовым операциям"</f>
        <v>Комиссионные доходы за услуги по сейфовым операциям</v>
      </c>
      <c r="F599" s="9" t="str">
        <f>""</f>
        <v/>
      </c>
      <c r="G599" s="9" t="str">
        <f>""</f>
        <v/>
      </c>
      <c r="H599" s="9" t="str">
        <f>""</f>
        <v/>
      </c>
      <c r="I599" s="11">
        <v>16798561.989999998</v>
      </c>
    </row>
    <row r="600" spans="1:9" x14ac:dyDescent="0.25">
      <c r="A600" s="9">
        <v>229</v>
      </c>
      <c r="B600" s="10">
        <v>45016</v>
      </c>
      <c r="C600" s="9">
        <v>8</v>
      </c>
      <c r="D600" s="9" t="str">
        <f>"4619"</f>
        <v>4619</v>
      </c>
      <c r="E600" s="9" t="str">
        <f>"Комиссионные доходы за обслуживание платежных карточек"</f>
        <v>Комиссионные доходы за обслуживание платежных карточек</v>
      </c>
      <c r="F600" s="9" t="str">
        <f>""</f>
        <v/>
      </c>
      <c r="G600" s="9" t="str">
        <f>""</f>
        <v/>
      </c>
      <c r="H600" s="9" t="str">
        <f>""</f>
        <v/>
      </c>
      <c r="I600" s="11">
        <v>690087295.88999999</v>
      </c>
    </row>
    <row r="601" spans="1:9" x14ac:dyDescent="0.25">
      <c r="A601" s="9">
        <v>226</v>
      </c>
      <c r="B601" s="10">
        <v>45016</v>
      </c>
      <c r="C601" s="9">
        <v>8</v>
      </c>
      <c r="D601" s="9" t="str">
        <f>"4703"</f>
        <v>4703</v>
      </c>
      <c r="E601" s="9" t="str">
        <f>"Доход от переоценки иностранной валюты"</f>
        <v>Доход от переоценки иностранной валюты</v>
      </c>
      <c r="F601" s="9" t="str">
        <f>""</f>
        <v/>
      </c>
      <c r="G601" s="9" t="str">
        <f>""</f>
        <v/>
      </c>
      <c r="H601" s="9" t="str">
        <f>""</f>
        <v/>
      </c>
      <c r="I601" s="11">
        <v>246097964706.26001</v>
      </c>
    </row>
    <row r="602" spans="1:9" x14ac:dyDescent="0.25">
      <c r="A602" s="9">
        <v>227</v>
      </c>
      <c r="B602" s="10">
        <v>45016</v>
      </c>
      <c r="C602" s="9">
        <v>8</v>
      </c>
      <c r="D602" s="9" t="str">
        <f>"4704"</f>
        <v>4704</v>
      </c>
      <c r="E602" s="9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602" s="9" t="str">
        <f>""</f>
        <v/>
      </c>
      <c r="G602" s="9" t="str">
        <f>""</f>
        <v/>
      </c>
      <c r="H602" s="9" t="str">
        <f>""</f>
        <v/>
      </c>
      <c r="I602" s="11">
        <v>958204627.20000005</v>
      </c>
    </row>
    <row r="603" spans="1:9" x14ac:dyDescent="0.25">
      <c r="A603" s="9">
        <v>228</v>
      </c>
      <c r="B603" s="10">
        <v>45016</v>
      </c>
      <c r="C603" s="9">
        <v>8</v>
      </c>
      <c r="D603" s="9" t="str">
        <f>"4709"</f>
        <v>4709</v>
      </c>
      <c r="E603" s="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03" s="9" t="str">
        <f>""</f>
        <v/>
      </c>
      <c r="G603" s="9" t="str">
        <f>""</f>
        <v/>
      </c>
      <c r="H603" s="9" t="str">
        <f>""</f>
        <v/>
      </c>
      <c r="I603" s="11">
        <v>15844291.25</v>
      </c>
    </row>
    <row r="604" spans="1:9" x14ac:dyDescent="0.25">
      <c r="A604" s="9">
        <v>230</v>
      </c>
      <c r="B604" s="10">
        <v>45016</v>
      </c>
      <c r="C604" s="9">
        <v>8</v>
      </c>
      <c r="D604" s="9" t="str">
        <f>"4733"</f>
        <v>4733</v>
      </c>
      <c r="E604" s="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04" s="9" t="str">
        <f>""</f>
        <v/>
      </c>
      <c r="G604" s="9" t="str">
        <f>""</f>
        <v/>
      </c>
      <c r="H604" s="9" t="str">
        <f>""</f>
        <v/>
      </c>
      <c r="I604" s="11">
        <v>5834944.7800000003</v>
      </c>
    </row>
    <row r="605" spans="1:9" x14ac:dyDescent="0.25">
      <c r="A605" s="9">
        <v>231</v>
      </c>
      <c r="B605" s="10">
        <v>45016</v>
      </c>
      <c r="C605" s="9">
        <v>8</v>
      </c>
      <c r="D605" s="9" t="str">
        <f>"4852"</f>
        <v>4852</v>
      </c>
      <c r="E605" s="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05" s="9" t="str">
        <f>""</f>
        <v/>
      </c>
      <c r="G605" s="9" t="str">
        <f>""</f>
        <v/>
      </c>
      <c r="H605" s="9" t="str">
        <f>""</f>
        <v/>
      </c>
      <c r="I605" s="11">
        <v>79167925.739999995</v>
      </c>
    </row>
    <row r="606" spans="1:9" x14ac:dyDescent="0.25">
      <c r="A606" s="9">
        <v>233</v>
      </c>
      <c r="B606" s="10">
        <v>45016</v>
      </c>
      <c r="C606" s="9">
        <v>8</v>
      </c>
      <c r="D606" s="9" t="str">
        <f>"4892"</f>
        <v>4892</v>
      </c>
      <c r="E606" s="9" t="str">
        <f>"Доходы по операциям форвард"</f>
        <v>Доходы по операциям форвард</v>
      </c>
      <c r="F606" s="9" t="str">
        <f>""</f>
        <v/>
      </c>
      <c r="G606" s="9" t="str">
        <f>""</f>
        <v/>
      </c>
      <c r="H606" s="9" t="str">
        <f>""</f>
        <v/>
      </c>
      <c r="I606" s="11">
        <v>13807123.529999999</v>
      </c>
    </row>
    <row r="607" spans="1:9" x14ac:dyDescent="0.25">
      <c r="A607" s="9">
        <v>232</v>
      </c>
      <c r="B607" s="10">
        <v>45016</v>
      </c>
      <c r="C607" s="9">
        <v>8</v>
      </c>
      <c r="D607" s="9" t="str">
        <f>"4895"</f>
        <v>4895</v>
      </c>
      <c r="E607" s="9" t="str">
        <f>"Доходы по операциям своп"</f>
        <v>Доходы по операциям своп</v>
      </c>
      <c r="F607" s="9" t="str">
        <f>""</f>
        <v/>
      </c>
      <c r="G607" s="9" t="str">
        <f>""</f>
        <v/>
      </c>
      <c r="H607" s="9" t="str">
        <f>""</f>
        <v/>
      </c>
      <c r="I607" s="11">
        <v>3119842088.5999999</v>
      </c>
    </row>
    <row r="608" spans="1:9" x14ac:dyDescent="0.25">
      <c r="A608" s="9">
        <v>234</v>
      </c>
      <c r="B608" s="10">
        <v>45016</v>
      </c>
      <c r="C608" s="9">
        <v>8</v>
      </c>
      <c r="D608" s="9" t="str">
        <f>"4900"</f>
        <v>4900</v>
      </c>
      <c r="E608" s="9" t="str">
        <f>"Неустойка (штраф, пеня)"</f>
        <v>Неустойка (штраф, пеня)</v>
      </c>
      <c r="F608" s="9" t="str">
        <f>""</f>
        <v/>
      </c>
      <c r="G608" s="9" t="str">
        <f>""</f>
        <v/>
      </c>
      <c r="H608" s="9" t="str">
        <f>""</f>
        <v/>
      </c>
      <c r="I608" s="11">
        <v>86893120.680000007</v>
      </c>
    </row>
    <row r="609" spans="1:9" x14ac:dyDescent="0.25">
      <c r="A609" s="9">
        <v>235</v>
      </c>
      <c r="B609" s="10">
        <v>45016</v>
      </c>
      <c r="C609" s="9">
        <v>8</v>
      </c>
      <c r="D609" s="9" t="str">
        <f>"4921"</f>
        <v>4921</v>
      </c>
      <c r="E609" s="9" t="str">
        <f>"Прочие доходы от банковской деятельности"</f>
        <v>Прочие доходы от банковской деятельности</v>
      </c>
      <c r="F609" s="9" t="str">
        <f>""</f>
        <v/>
      </c>
      <c r="G609" s="9" t="str">
        <f>""</f>
        <v/>
      </c>
      <c r="H609" s="9" t="str">
        <f>""</f>
        <v/>
      </c>
      <c r="I609" s="11">
        <v>690447410.72000003</v>
      </c>
    </row>
    <row r="610" spans="1:9" x14ac:dyDescent="0.25">
      <c r="A610" s="9">
        <v>237</v>
      </c>
      <c r="B610" s="10">
        <v>45016</v>
      </c>
      <c r="C610" s="9">
        <v>8</v>
      </c>
      <c r="D610" s="9" t="str">
        <f>"4922"</f>
        <v>4922</v>
      </c>
      <c r="E610" s="9" t="str">
        <f>"Прочие доходы от неосновной деятельности"</f>
        <v>Прочие доходы от неосновной деятельности</v>
      </c>
      <c r="F610" s="9" t="str">
        <f>""</f>
        <v/>
      </c>
      <c r="G610" s="9" t="str">
        <f>""</f>
        <v/>
      </c>
      <c r="H610" s="9" t="str">
        <f>""</f>
        <v/>
      </c>
      <c r="I610" s="11">
        <v>251832621.81</v>
      </c>
    </row>
    <row r="611" spans="1:9" x14ac:dyDescent="0.25">
      <c r="A611" s="9">
        <v>236</v>
      </c>
      <c r="B611" s="10">
        <v>45016</v>
      </c>
      <c r="C611" s="9">
        <v>8</v>
      </c>
      <c r="D611" s="9" t="str">
        <f>"4951"</f>
        <v>4951</v>
      </c>
      <c r="E611" s="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11" s="9" t="str">
        <f>""</f>
        <v/>
      </c>
      <c r="G611" s="9" t="str">
        <f>""</f>
        <v/>
      </c>
      <c r="H611" s="9" t="str">
        <f>""</f>
        <v/>
      </c>
      <c r="I611" s="11">
        <v>732297.96</v>
      </c>
    </row>
    <row r="612" spans="1:9" x14ac:dyDescent="0.25">
      <c r="A612" s="9">
        <v>240</v>
      </c>
      <c r="B612" s="10">
        <v>45016</v>
      </c>
      <c r="C612" s="9">
        <v>8</v>
      </c>
      <c r="D612" s="9" t="str">
        <f>"4953"</f>
        <v>4953</v>
      </c>
      <c r="E612" s="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12" s="9" t="str">
        <f>""</f>
        <v/>
      </c>
      <c r="G612" s="9" t="str">
        <f>""</f>
        <v/>
      </c>
      <c r="H612" s="9" t="str">
        <f>""</f>
        <v/>
      </c>
      <c r="I612" s="11">
        <v>2713041356.0900002</v>
      </c>
    </row>
    <row r="613" spans="1:9" x14ac:dyDescent="0.25">
      <c r="A613" s="9">
        <v>239</v>
      </c>
      <c r="B613" s="10">
        <v>45016</v>
      </c>
      <c r="C613" s="9">
        <v>8</v>
      </c>
      <c r="D613" s="9" t="str">
        <f>"4954"</f>
        <v>4954</v>
      </c>
      <c r="E613" s="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13" s="9" t="str">
        <f>""</f>
        <v/>
      </c>
      <c r="G613" s="9" t="str">
        <f>""</f>
        <v/>
      </c>
      <c r="H613" s="9" t="str">
        <f>""</f>
        <v/>
      </c>
      <c r="I613" s="11">
        <v>36012214.329999998</v>
      </c>
    </row>
    <row r="614" spans="1:9" x14ac:dyDescent="0.25">
      <c r="A614" s="9">
        <v>238</v>
      </c>
      <c r="B614" s="10">
        <v>45016</v>
      </c>
      <c r="C614" s="9">
        <v>8</v>
      </c>
      <c r="D614" s="9" t="str">
        <f>"4955"</f>
        <v>4955</v>
      </c>
      <c r="E614" s="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14" s="9" t="str">
        <f>""</f>
        <v/>
      </c>
      <c r="G614" s="9" t="str">
        <f>""</f>
        <v/>
      </c>
      <c r="H614" s="9" t="str">
        <f>""</f>
        <v/>
      </c>
      <c r="I614" s="11">
        <v>7295553371.7200003</v>
      </c>
    </row>
    <row r="615" spans="1:9" x14ac:dyDescent="0.25">
      <c r="A615" s="9">
        <v>242</v>
      </c>
      <c r="B615" s="10">
        <v>45016</v>
      </c>
      <c r="C615" s="9">
        <v>8</v>
      </c>
      <c r="D615" s="9" t="str">
        <f>"4956"</f>
        <v>4956</v>
      </c>
      <c r="E615" s="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15" s="9" t="str">
        <f>""</f>
        <v/>
      </c>
      <c r="G615" s="9" t="str">
        <f>""</f>
        <v/>
      </c>
      <c r="H615" s="9" t="str">
        <f>""</f>
        <v/>
      </c>
      <c r="I615" s="11">
        <v>13890092.9</v>
      </c>
    </row>
    <row r="616" spans="1:9" x14ac:dyDescent="0.25">
      <c r="A616" s="9">
        <v>241</v>
      </c>
      <c r="B616" s="10">
        <v>45016</v>
      </c>
      <c r="C616" s="9">
        <v>8</v>
      </c>
      <c r="D616" s="9" t="str">
        <f>"4957"</f>
        <v>4957</v>
      </c>
      <c r="E616" s="9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16" s="9" t="str">
        <f>""</f>
        <v/>
      </c>
      <c r="G616" s="9" t="str">
        <f>""</f>
        <v/>
      </c>
      <c r="H616" s="9" t="str">
        <f>""</f>
        <v/>
      </c>
      <c r="I616" s="11">
        <v>689474.69</v>
      </c>
    </row>
    <row r="617" spans="1:9" x14ac:dyDescent="0.25">
      <c r="A617" s="9">
        <v>243</v>
      </c>
      <c r="B617" s="10">
        <v>45016</v>
      </c>
      <c r="C617" s="9">
        <v>8</v>
      </c>
      <c r="D617" s="9" t="str">
        <f>"4958"</f>
        <v>4958</v>
      </c>
      <c r="E617" s="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17" s="9" t="str">
        <f>""</f>
        <v/>
      </c>
      <c r="G617" s="9" t="str">
        <f>""</f>
        <v/>
      </c>
      <c r="H617" s="9" t="str">
        <f>""</f>
        <v/>
      </c>
      <c r="I617" s="11">
        <v>867691266.80999994</v>
      </c>
    </row>
    <row r="618" spans="1:9" x14ac:dyDescent="0.25">
      <c r="A618" s="9">
        <v>247</v>
      </c>
      <c r="B618" s="10">
        <v>45016</v>
      </c>
      <c r="C618" s="9">
        <v>8</v>
      </c>
      <c r="D618" s="9" t="str">
        <f>"5051"</f>
        <v>5051</v>
      </c>
      <c r="E618" s="9" t="str">
        <f>"Расходы, связанные с выплатой вознаграждения по займам, полученным от Национального Банка Республики Казахстан"</f>
        <v>Расходы, связанные с выплатой вознаграждения по займам, полученным от Национального Банка Республики Казахстан</v>
      </c>
      <c r="F618" s="9" t="str">
        <f>""</f>
        <v/>
      </c>
      <c r="G618" s="9" t="str">
        <f>""</f>
        <v/>
      </c>
      <c r="H618" s="9" t="str">
        <f>""</f>
        <v/>
      </c>
      <c r="I618" s="11">
        <v>3412044.68</v>
      </c>
    </row>
    <row r="619" spans="1:9" x14ac:dyDescent="0.25">
      <c r="A619" s="9">
        <v>244</v>
      </c>
      <c r="B619" s="10">
        <v>45016</v>
      </c>
      <c r="C619" s="9">
        <v>8</v>
      </c>
      <c r="D619" s="9" t="str">
        <f>"5056"</f>
        <v>5056</v>
      </c>
      <c r="E619" s="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19" s="9" t="str">
        <f>""</f>
        <v/>
      </c>
      <c r="G619" s="9" t="str">
        <f>""</f>
        <v/>
      </c>
      <c r="H619" s="9" t="str">
        <f>""</f>
        <v/>
      </c>
      <c r="I619" s="11">
        <v>32071835.460000001</v>
      </c>
    </row>
    <row r="620" spans="1:9" x14ac:dyDescent="0.25">
      <c r="A620" s="9">
        <v>245</v>
      </c>
      <c r="B620" s="10">
        <v>45016</v>
      </c>
      <c r="C620" s="9">
        <v>8</v>
      </c>
      <c r="D620" s="9" t="str">
        <f>"5066"</f>
        <v>5066</v>
      </c>
      <c r="E620" s="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20" s="9" t="str">
        <f>""</f>
        <v/>
      </c>
      <c r="G620" s="9" t="str">
        <f>""</f>
        <v/>
      </c>
      <c r="H620" s="9" t="str">
        <f>""</f>
        <v/>
      </c>
      <c r="I620" s="11">
        <v>270001919.86000001</v>
      </c>
    </row>
    <row r="621" spans="1:9" x14ac:dyDescent="0.25">
      <c r="A621" s="9">
        <v>246</v>
      </c>
      <c r="B621" s="10">
        <v>45016</v>
      </c>
      <c r="C621" s="9">
        <v>8</v>
      </c>
      <c r="D621" s="9" t="str">
        <f>"5069"</f>
        <v>5069</v>
      </c>
      <c r="E621" s="9" t="str">
        <f>"Расходы по амортизации дисконта по полученным займам"</f>
        <v>Расходы по амортизации дисконта по полученным займам</v>
      </c>
      <c r="F621" s="9" t="str">
        <f>""</f>
        <v/>
      </c>
      <c r="G621" s="9" t="str">
        <f>""</f>
        <v/>
      </c>
      <c r="H621" s="9" t="str">
        <f>""</f>
        <v/>
      </c>
      <c r="I621" s="11">
        <v>51478.65</v>
      </c>
    </row>
    <row r="622" spans="1:9" x14ac:dyDescent="0.25">
      <c r="A622" s="9">
        <v>248</v>
      </c>
      <c r="B622" s="10">
        <v>45016</v>
      </c>
      <c r="C622" s="9">
        <v>8</v>
      </c>
      <c r="D622" s="9" t="str">
        <f>"5122"</f>
        <v>5122</v>
      </c>
      <c r="E622" s="9" t="str">
        <f>"Расходы, связанные с выплатой вознаграждения по срочным вкладам Национального Банка Республики Казахстан"</f>
        <v>Расходы, связанные с выплатой вознаграждения по срочным вкладам Национального Банка Республики Казахстан</v>
      </c>
      <c r="F622" s="9" t="str">
        <f>""</f>
        <v/>
      </c>
      <c r="G622" s="9" t="str">
        <f>""</f>
        <v/>
      </c>
      <c r="H622" s="9" t="str">
        <f>""</f>
        <v/>
      </c>
      <c r="I622" s="11">
        <v>53506849.359999999</v>
      </c>
    </row>
    <row r="623" spans="1:9" x14ac:dyDescent="0.25">
      <c r="A623" s="9">
        <v>250</v>
      </c>
      <c r="B623" s="10">
        <v>45016</v>
      </c>
      <c r="C623" s="9">
        <v>8</v>
      </c>
      <c r="D623" s="9" t="str">
        <f>"5126"</f>
        <v>5126</v>
      </c>
      <c r="E623" s="9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623" s="9" t="str">
        <f>""</f>
        <v/>
      </c>
      <c r="G623" s="9" t="str">
        <f>""</f>
        <v/>
      </c>
      <c r="H623" s="9" t="str">
        <f>""</f>
        <v/>
      </c>
      <c r="I623" s="11">
        <v>38399465.799999997</v>
      </c>
    </row>
    <row r="624" spans="1:9" x14ac:dyDescent="0.25">
      <c r="A624" s="9">
        <v>249</v>
      </c>
      <c r="B624" s="10">
        <v>45016</v>
      </c>
      <c r="C624" s="9">
        <v>8</v>
      </c>
      <c r="D624" s="9" t="str">
        <f>"5127"</f>
        <v>5127</v>
      </c>
      <c r="E624" s="9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624" s="9" t="str">
        <f>""</f>
        <v/>
      </c>
      <c r="G624" s="9" t="str">
        <f>""</f>
        <v/>
      </c>
      <c r="H624" s="9" t="str">
        <f>""</f>
        <v/>
      </c>
      <c r="I624" s="11">
        <v>29179726.09</v>
      </c>
    </row>
    <row r="625" spans="1:9" x14ac:dyDescent="0.25">
      <c r="A625" s="9">
        <v>251</v>
      </c>
      <c r="B625" s="10">
        <v>45016</v>
      </c>
      <c r="C625" s="9">
        <v>8</v>
      </c>
      <c r="D625" s="9" t="str">
        <f>"5138"</f>
        <v>5138</v>
      </c>
      <c r="E625" s="9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625" s="9" t="str">
        <f>""</f>
        <v/>
      </c>
      <c r="G625" s="9" t="str">
        <f>""</f>
        <v/>
      </c>
      <c r="H625" s="9" t="str">
        <f>""</f>
        <v/>
      </c>
      <c r="I625" s="11">
        <v>29610839.16</v>
      </c>
    </row>
    <row r="626" spans="1:9" x14ac:dyDescent="0.25">
      <c r="A626" s="9">
        <v>253</v>
      </c>
      <c r="B626" s="10">
        <v>45016</v>
      </c>
      <c r="C626" s="9">
        <v>8</v>
      </c>
      <c r="D626" s="9" t="str">
        <f>"5211"</f>
        <v>5211</v>
      </c>
      <c r="E626" s="9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626" s="9" t="str">
        <f>""</f>
        <v/>
      </c>
      <c r="G626" s="9" t="str">
        <f>""</f>
        <v/>
      </c>
      <c r="H626" s="9" t="str">
        <f>""</f>
        <v/>
      </c>
      <c r="I626" s="11">
        <v>68518.67</v>
      </c>
    </row>
    <row r="627" spans="1:9" x14ac:dyDescent="0.25">
      <c r="A627" s="9">
        <v>252</v>
      </c>
      <c r="B627" s="10">
        <v>45016</v>
      </c>
      <c r="C627" s="9">
        <v>8</v>
      </c>
      <c r="D627" s="9" t="str">
        <f>"5215"</f>
        <v>5215</v>
      </c>
      <c r="E627" s="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27" s="9" t="str">
        <f>""</f>
        <v/>
      </c>
      <c r="G627" s="9" t="str">
        <f>""</f>
        <v/>
      </c>
      <c r="H627" s="9" t="str">
        <f>""</f>
        <v/>
      </c>
      <c r="I627" s="11">
        <v>10193494378.84</v>
      </c>
    </row>
    <row r="628" spans="1:9" x14ac:dyDescent="0.25">
      <c r="A628" s="9">
        <v>254</v>
      </c>
      <c r="B628" s="10">
        <v>45016</v>
      </c>
      <c r="C628" s="9">
        <v>8</v>
      </c>
      <c r="D628" s="9" t="str">
        <f>"5217"</f>
        <v>5217</v>
      </c>
      <c r="E628" s="9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28" s="9" t="str">
        <f>""</f>
        <v/>
      </c>
      <c r="G628" s="9" t="str">
        <f>""</f>
        <v/>
      </c>
      <c r="H628" s="9" t="str">
        <f>""</f>
        <v/>
      </c>
      <c r="I628" s="11">
        <v>879942189.27999997</v>
      </c>
    </row>
    <row r="629" spans="1:9" x14ac:dyDescent="0.25">
      <c r="A629" s="9">
        <v>257</v>
      </c>
      <c r="B629" s="10">
        <v>45016</v>
      </c>
      <c r="C629" s="9">
        <v>8</v>
      </c>
      <c r="D629" s="9" t="str">
        <f>"5218"</f>
        <v>5218</v>
      </c>
      <c r="E629" s="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29" s="9" t="str">
        <f>""</f>
        <v/>
      </c>
      <c r="G629" s="9" t="str">
        <f>""</f>
        <v/>
      </c>
      <c r="H629" s="9" t="str">
        <f>""</f>
        <v/>
      </c>
      <c r="I629" s="11">
        <v>1509033597.26</v>
      </c>
    </row>
    <row r="630" spans="1:9" x14ac:dyDescent="0.25">
      <c r="A630" s="9">
        <v>255</v>
      </c>
      <c r="B630" s="10">
        <v>45016</v>
      </c>
      <c r="C630" s="9">
        <v>8</v>
      </c>
      <c r="D630" s="9" t="str">
        <f>"5219"</f>
        <v>5219</v>
      </c>
      <c r="E630" s="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30" s="9" t="str">
        <f>""</f>
        <v/>
      </c>
      <c r="G630" s="9" t="str">
        <f>""</f>
        <v/>
      </c>
      <c r="H630" s="9" t="str">
        <f>""</f>
        <v/>
      </c>
      <c r="I630" s="11">
        <v>153349733.63999999</v>
      </c>
    </row>
    <row r="631" spans="1:9" x14ac:dyDescent="0.25">
      <c r="A631" s="9">
        <v>261</v>
      </c>
      <c r="B631" s="10">
        <v>45016</v>
      </c>
      <c r="C631" s="9">
        <v>8</v>
      </c>
      <c r="D631" s="9" t="str">
        <f>"5220"</f>
        <v>5220</v>
      </c>
      <c r="E631" s="9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31" s="9" t="str">
        <f>""</f>
        <v/>
      </c>
      <c r="G631" s="9" t="str">
        <f>""</f>
        <v/>
      </c>
      <c r="H631" s="9" t="str">
        <f>""</f>
        <v/>
      </c>
      <c r="I631" s="11">
        <v>47638553.630000003</v>
      </c>
    </row>
    <row r="632" spans="1:9" x14ac:dyDescent="0.25">
      <c r="A632" s="9">
        <v>256</v>
      </c>
      <c r="B632" s="10">
        <v>45016</v>
      </c>
      <c r="C632" s="9">
        <v>8</v>
      </c>
      <c r="D632" s="9" t="str">
        <f>"5223"</f>
        <v>5223</v>
      </c>
      <c r="E632" s="9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32" s="9" t="str">
        <f>""</f>
        <v/>
      </c>
      <c r="G632" s="9" t="str">
        <f>""</f>
        <v/>
      </c>
      <c r="H632" s="9" t="str">
        <f>""</f>
        <v/>
      </c>
      <c r="I632" s="11">
        <v>974739972.75999999</v>
      </c>
    </row>
    <row r="633" spans="1:9" x14ac:dyDescent="0.25">
      <c r="A633" s="9">
        <v>258</v>
      </c>
      <c r="B633" s="10">
        <v>45016</v>
      </c>
      <c r="C633" s="9">
        <v>8</v>
      </c>
      <c r="D633" s="9" t="str">
        <f>"5227"</f>
        <v>5227</v>
      </c>
      <c r="E633" s="9" t="str">
        <f>"Процентные расходы по обязательствам по аренде"</f>
        <v>Процентные расходы по обязательствам по аренде</v>
      </c>
      <c r="F633" s="9" t="str">
        <f>""</f>
        <v/>
      </c>
      <c r="G633" s="9" t="str">
        <f>""</f>
        <v/>
      </c>
      <c r="H633" s="9" t="str">
        <f>""</f>
        <v/>
      </c>
      <c r="I633" s="11">
        <v>21019297.350000001</v>
      </c>
    </row>
    <row r="634" spans="1:9" x14ac:dyDescent="0.25">
      <c r="A634" s="9">
        <v>259</v>
      </c>
      <c r="B634" s="10">
        <v>45016</v>
      </c>
      <c r="C634" s="9">
        <v>8</v>
      </c>
      <c r="D634" s="9" t="str">
        <f>"5241"</f>
        <v>5241</v>
      </c>
      <c r="E634" s="9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34" s="9" t="str">
        <f>""</f>
        <v/>
      </c>
      <c r="G634" s="9" t="str">
        <f>""</f>
        <v/>
      </c>
      <c r="H634" s="9" t="str">
        <f>""</f>
        <v/>
      </c>
      <c r="I634" s="11">
        <v>1492987290.1300001</v>
      </c>
    </row>
    <row r="635" spans="1:9" x14ac:dyDescent="0.25">
      <c r="A635" s="9">
        <v>260</v>
      </c>
      <c r="B635" s="10">
        <v>45016</v>
      </c>
      <c r="C635" s="9">
        <v>8</v>
      </c>
      <c r="D635" s="9" t="str">
        <f>"5250"</f>
        <v>5250</v>
      </c>
      <c r="E635" s="9" t="s">
        <v>10</v>
      </c>
      <c r="F635" s="9" t="str">
        <f>""</f>
        <v/>
      </c>
      <c r="G635" s="9" t="str">
        <f>""</f>
        <v/>
      </c>
      <c r="H635" s="9" t="str">
        <f>""</f>
        <v/>
      </c>
      <c r="I635" s="11">
        <v>2374764479.5900002</v>
      </c>
    </row>
    <row r="636" spans="1:9" x14ac:dyDescent="0.25">
      <c r="A636" s="9">
        <v>262</v>
      </c>
      <c r="B636" s="10">
        <v>45016</v>
      </c>
      <c r="C636" s="9">
        <v>8</v>
      </c>
      <c r="D636" s="9" t="str">
        <f>"5301"</f>
        <v>5301</v>
      </c>
      <c r="E636" s="9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36" s="9" t="str">
        <f>""</f>
        <v/>
      </c>
      <c r="G636" s="9" t="str">
        <f>""</f>
        <v/>
      </c>
      <c r="H636" s="9" t="str">
        <f>""</f>
        <v/>
      </c>
      <c r="I636" s="11">
        <v>6353062179.9200001</v>
      </c>
    </row>
    <row r="637" spans="1:9" x14ac:dyDescent="0.25">
      <c r="A637" s="9">
        <v>264</v>
      </c>
      <c r="B637" s="10">
        <v>45016</v>
      </c>
      <c r="C637" s="9">
        <v>8</v>
      </c>
      <c r="D637" s="9" t="str">
        <f>"5306"</f>
        <v>5306</v>
      </c>
      <c r="E637" s="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37" s="9" t="str">
        <f>""</f>
        <v/>
      </c>
      <c r="G637" s="9" t="str">
        <f>""</f>
        <v/>
      </c>
      <c r="H637" s="9" t="str">
        <f>""</f>
        <v/>
      </c>
      <c r="I637" s="11">
        <v>631234648.20000005</v>
      </c>
    </row>
    <row r="638" spans="1:9" x14ac:dyDescent="0.25">
      <c r="A638" s="9">
        <v>263</v>
      </c>
      <c r="B638" s="10">
        <v>45016</v>
      </c>
      <c r="C638" s="9">
        <v>8</v>
      </c>
      <c r="D638" s="9" t="str">
        <f>"5307"</f>
        <v>5307</v>
      </c>
      <c r="E638" s="9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38" s="9" t="str">
        <f>""</f>
        <v/>
      </c>
      <c r="G638" s="9" t="str">
        <f>""</f>
        <v/>
      </c>
      <c r="H638" s="9" t="str">
        <f>""</f>
        <v/>
      </c>
      <c r="I638" s="11">
        <v>89549914.040000007</v>
      </c>
    </row>
    <row r="639" spans="1:9" x14ac:dyDescent="0.25">
      <c r="A639" s="9">
        <v>266</v>
      </c>
      <c r="B639" s="10">
        <v>45016</v>
      </c>
      <c r="C639" s="9">
        <v>8</v>
      </c>
      <c r="D639" s="9" t="str">
        <f>"5308"</f>
        <v>5308</v>
      </c>
      <c r="E639" s="9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39" s="9" t="str">
        <f>""</f>
        <v/>
      </c>
      <c r="G639" s="9" t="str">
        <f>""</f>
        <v/>
      </c>
      <c r="H639" s="9" t="str">
        <f>""</f>
        <v/>
      </c>
      <c r="I639" s="11">
        <v>245637382.83000001</v>
      </c>
    </row>
    <row r="640" spans="1:9" x14ac:dyDescent="0.25">
      <c r="A640" s="9">
        <v>268</v>
      </c>
      <c r="B640" s="10">
        <v>45016</v>
      </c>
      <c r="C640" s="9">
        <v>8</v>
      </c>
      <c r="D640" s="9" t="str">
        <f>"5404"</f>
        <v>5404</v>
      </c>
      <c r="E640" s="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40" s="9" t="str">
        <f>""</f>
        <v/>
      </c>
      <c r="G640" s="9" t="str">
        <f>""</f>
        <v/>
      </c>
      <c r="H640" s="9" t="str">
        <f>""</f>
        <v/>
      </c>
      <c r="I640" s="11">
        <v>1450181635.3699999</v>
      </c>
    </row>
    <row r="641" spans="1:9" x14ac:dyDescent="0.25">
      <c r="A641" s="9">
        <v>270</v>
      </c>
      <c r="B641" s="10">
        <v>45016</v>
      </c>
      <c r="C641" s="9">
        <v>8</v>
      </c>
      <c r="D641" s="9" t="str">
        <f>"5406"</f>
        <v>5406</v>
      </c>
      <c r="E641" s="9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41" s="9" t="str">
        <f>""</f>
        <v/>
      </c>
      <c r="G641" s="9" t="str">
        <f>""</f>
        <v/>
      </c>
      <c r="H641" s="9" t="str">
        <f>""</f>
        <v/>
      </c>
      <c r="I641" s="11">
        <v>2437000000</v>
      </c>
    </row>
    <row r="642" spans="1:9" x14ac:dyDescent="0.25">
      <c r="A642" s="9">
        <v>269</v>
      </c>
      <c r="B642" s="10">
        <v>45016</v>
      </c>
      <c r="C642" s="9">
        <v>8</v>
      </c>
      <c r="D642" s="9" t="str">
        <f>"5451"</f>
        <v>5451</v>
      </c>
      <c r="E642" s="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42" s="9" t="str">
        <f>""</f>
        <v/>
      </c>
      <c r="G642" s="9" t="str">
        <f>""</f>
        <v/>
      </c>
      <c r="H642" s="9" t="str">
        <f>""</f>
        <v/>
      </c>
      <c r="I642" s="11">
        <v>434771.23</v>
      </c>
    </row>
    <row r="643" spans="1:9" x14ac:dyDescent="0.25">
      <c r="A643" s="9">
        <v>267</v>
      </c>
      <c r="B643" s="10">
        <v>45016</v>
      </c>
      <c r="C643" s="9">
        <v>8</v>
      </c>
      <c r="D643" s="9" t="str">
        <f>"5453"</f>
        <v>5453</v>
      </c>
      <c r="E643" s="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43" s="9" t="str">
        <f>""</f>
        <v/>
      </c>
      <c r="G643" s="9" t="str">
        <f>""</f>
        <v/>
      </c>
      <c r="H643" s="9" t="str">
        <f>""</f>
        <v/>
      </c>
      <c r="I643" s="11">
        <v>3006457406.1100001</v>
      </c>
    </row>
    <row r="644" spans="1:9" x14ac:dyDescent="0.25">
      <c r="A644" s="9">
        <v>265</v>
      </c>
      <c r="B644" s="10">
        <v>45016</v>
      </c>
      <c r="C644" s="9">
        <v>8</v>
      </c>
      <c r="D644" s="9" t="str">
        <f>"5455"</f>
        <v>5455</v>
      </c>
      <c r="E644" s="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44" s="9" t="str">
        <f>""</f>
        <v/>
      </c>
      <c r="G644" s="9" t="str">
        <f>""</f>
        <v/>
      </c>
      <c r="H644" s="9" t="str">
        <f>""</f>
        <v/>
      </c>
      <c r="I644" s="11">
        <v>12732035442.01</v>
      </c>
    </row>
    <row r="645" spans="1:9" x14ac:dyDescent="0.25">
      <c r="A645" s="9">
        <v>271</v>
      </c>
      <c r="B645" s="10">
        <v>45016</v>
      </c>
      <c r="C645" s="9">
        <v>8</v>
      </c>
      <c r="D645" s="9" t="str">
        <f>"5456"</f>
        <v>5456</v>
      </c>
      <c r="E645" s="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45" s="9" t="str">
        <f>""</f>
        <v/>
      </c>
      <c r="G645" s="9" t="str">
        <f>""</f>
        <v/>
      </c>
      <c r="H645" s="9" t="str">
        <f>""</f>
        <v/>
      </c>
      <c r="I645" s="11">
        <v>9002285.3100000005</v>
      </c>
    </row>
    <row r="646" spans="1:9" x14ac:dyDescent="0.25">
      <c r="A646" s="9">
        <v>272</v>
      </c>
      <c r="B646" s="10">
        <v>45016</v>
      </c>
      <c r="C646" s="9">
        <v>8</v>
      </c>
      <c r="D646" s="9" t="str">
        <f>"5457"</f>
        <v>5457</v>
      </c>
      <c r="E646" s="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46" s="9" t="str">
        <f>""</f>
        <v/>
      </c>
      <c r="G646" s="9" t="str">
        <f>""</f>
        <v/>
      </c>
      <c r="H646" s="9" t="str">
        <f>""</f>
        <v/>
      </c>
      <c r="I646" s="11">
        <v>28885162.829999998</v>
      </c>
    </row>
    <row r="647" spans="1:9" x14ac:dyDescent="0.25">
      <c r="A647" s="9">
        <v>273</v>
      </c>
      <c r="B647" s="10">
        <v>45016</v>
      </c>
      <c r="C647" s="9">
        <v>8</v>
      </c>
      <c r="D647" s="9" t="str">
        <f>"5464"</f>
        <v>5464</v>
      </c>
      <c r="E647" s="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647" s="9" t="str">
        <f>""</f>
        <v/>
      </c>
      <c r="G647" s="9" t="str">
        <f>""</f>
        <v/>
      </c>
      <c r="H647" s="9" t="str">
        <f>""</f>
        <v/>
      </c>
      <c r="I647" s="11">
        <v>18930187.539999999</v>
      </c>
    </row>
    <row r="648" spans="1:9" x14ac:dyDescent="0.25">
      <c r="A648" s="9">
        <v>276</v>
      </c>
      <c r="B648" s="10">
        <v>45016</v>
      </c>
      <c r="C648" s="9">
        <v>8</v>
      </c>
      <c r="D648" s="9" t="str">
        <f>"5465"</f>
        <v>5465</v>
      </c>
      <c r="E648" s="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648" s="9" t="str">
        <f>""</f>
        <v/>
      </c>
      <c r="G648" s="9" t="str">
        <f>""</f>
        <v/>
      </c>
      <c r="H648" s="9" t="str">
        <f>""</f>
        <v/>
      </c>
      <c r="I648" s="11">
        <v>513273697.11000001</v>
      </c>
    </row>
    <row r="649" spans="1:9" x14ac:dyDescent="0.25">
      <c r="A649" s="9">
        <v>274</v>
      </c>
      <c r="B649" s="10">
        <v>45016</v>
      </c>
      <c r="C649" s="9">
        <v>8</v>
      </c>
      <c r="D649" s="9" t="str">
        <f>"5530"</f>
        <v>5530</v>
      </c>
      <c r="E649" s="9" t="str">
        <f>"Расходы по купле-продаже иностранной валюты"</f>
        <v>Расходы по купле-продаже иностранной валюты</v>
      </c>
      <c r="F649" s="9" t="str">
        <f>""</f>
        <v/>
      </c>
      <c r="G649" s="9" t="str">
        <f>""</f>
        <v/>
      </c>
      <c r="H649" s="9" t="str">
        <f>""</f>
        <v/>
      </c>
      <c r="I649" s="11">
        <v>7957179775.6099997</v>
      </c>
    </row>
    <row r="650" spans="1:9" x14ac:dyDescent="0.25">
      <c r="A650" s="9">
        <v>275</v>
      </c>
      <c r="B650" s="10">
        <v>45016</v>
      </c>
      <c r="C650" s="9">
        <v>8</v>
      </c>
      <c r="D650" s="9" t="str">
        <f>"5540"</f>
        <v>5540</v>
      </c>
      <c r="E650" s="9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650" s="9" t="str">
        <f>""</f>
        <v/>
      </c>
      <c r="G650" s="9" t="str">
        <f>""</f>
        <v/>
      </c>
      <c r="H650" s="9" t="str">
        <f>""</f>
        <v/>
      </c>
      <c r="I650" s="11">
        <v>180825868.56999999</v>
      </c>
    </row>
    <row r="651" spans="1:9" x14ac:dyDescent="0.25">
      <c r="A651" s="9">
        <v>278</v>
      </c>
      <c r="B651" s="10">
        <v>45016</v>
      </c>
      <c r="C651" s="9">
        <v>8</v>
      </c>
      <c r="D651" s="9" t="str">
        <f>"5601"</f>
        <v>5601</v>
      </c>
      <c r="E651" s="9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651" s="9" t="str">
        <f>""</f>
        <v/>
      </c>
      <c r="G651" s="9" t="str">
        <f>""</f>
        <v/>
      </c>
      <c r="H651" s="9" t="str">
        <f>""</f>
        <v/>
      </c>
      <c r="I651" s="11">
        <v>156513247.61000001</v>
      </c>
    </row>
    <row r="652" spans="1:9" x14ac:dyDescent="0.25">
      <c r="A652" s="9">
        <v>277</v>
      </c>
      <c r="B652" s="10">
        <v>45016</v>
      </c>
      <c r="C652" s="9">
        <v>8</v>
      </c>
      <c r="D652" s="9" t="str">
        <f>"5602"</f>
        <v>5602</v>
      </c>
      <c r="E652" s="9" t="str">
        <f>"Комиссионные расходы по полученным агентским услугам"</f>
        <v>Комиссионные расходы по полученным агентским услугам</v>
      </c>
      <c r="F652" s="9" t="str">
        <f>""</f>
        <v/>
      </c>
      <c r="G652" s="9" t="str">
        <f>""</f>
        <v/>
      </c>
      <c r="H652" s="9" t="str">
        <f>""</f>
        <v/>
      </c>
      <c r="I652" s="11">
        <v>60173019.740000002</v>
      </c>
    </row>
    <row r="653" spans="1:9" x14ac:dyDescent="0.25">
      <c r="A653" s="9">
        <v>280</v>
      </c>
      <c r="B653" s="10">
        <v>45016</v>
      </c>
      <c r="C653" s="9">
        <v>8</v>
      </c>
      <c r="D653" s="9" t="str">
        <f>"5603"</f>
        <v>5603</v>
      </c>
      <c r="E653" s="9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653" s="9" t="str">
        <f>""</f>
        <v/>
      </c>
      <c r="G653" s="9" t="str">
        <f>""</f>
        <v/>
      </c>
      <c r="H653" s="9" t="str">
        <f>""</f>
        <v/>
      </c>
      <c r="I653" s="11">
        <v>59086281.310000002</v>
      </c>
    </row>
    <row r="654" spans="1:9" x14ac:dyDescent="0.25">
      <c r="A654" s="9">
        <v>279</v>
      </c>
      <c r="B654" s="10">
        <v>45016</v>
      </c>
      <c r="C654" s="9">
        <v>8</v>
      </c>
      <c r="D654" s="9" t="str">
        <f>"5607"</f>
        <v>5607</v>
      </c>
      <c r="E654" s="9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654" s="9" t="str">
        <f>""</f>
        <v/>
      </c>
      <c r="G654" s="9" t="str">
        <f>""</f>
        <v/>
      </c>
      <c r="H654" s="9" t="str">
        <f>""</f>
        <v/>
      </c>
      <c r="I654" s="11">
        <v>360689699.54000002</v>
      </c>
    </row>
    <row r="655" spans="1:9" x14ac:dyDescent="0.25">
      <c r="A655" s="9">
        <v>282</v>
      </c>
      <c r="B655" s="10">
        <v>45016</v>
      </c>
      <c r="C655" s="9">
        <v>8</v>
      </c>
      <c r="D655" s="9" t="str">
        <f>"5608"</f>
        <v>5608</v>
      </c>
      <c r="E655" s="9" t="str">
        <f>"Прочие комиссионные расходы"</f>
        <v>Прочие комиссионные расходы</v>
      </c>
      <c r="F655" s="9" t="str">
        <f>""</f>
        <v/>
      </c>
      <c r="G655" s="9" t="str">
        <f>""</f>
        <v/>
      </c>
      <c r="H655" s="9" t="str">
        <f>""</f>
        <v/>
      </c>
      <c r="I655" s="11">
        <v>52786949.770000003</v>
      </c>
    </row>
    <row r="656" spans="1:9" x14ac:dyDescent="0.25">
      <c r="A656" s="9">
        <v>281</v>
      </c>
      <c r="B656" s="10">
        <v>45016</v>
      </c>
      <c r="C656" s="9">
        <v>8</v>
      </c>
      <c r="D656" s="9" t="str">
        <f>"5609"</f>
        <v>5609</v>
      </c>
      <c r="E656" s="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656" s="9" t="str">
        <f>""</f>
        <v/>
      </c>
      <c r="G656" s="9" t="str">
        <f>""</f>
        <v/>
      </c>
      <c r="H656" s="9" t="str">
        <f>""</f>
        <v/>
      </c>
      <c r="I656" s="11">
        <v>41987.15</v>
      </c>
    </row>
    <row r="657" spans="1:9" x14ac:dyDescent="0.25">
      <c r="A657" s="9">
        <v>283</v>
      </c>
      <c r="B657" s="10">
        <v>45016</v>
      </c>
      <c r="C657" s="9">
        <v>8</v>
      </c>
      <c r="D657" s="9" t="str">
        <f>"5610"</f>
        <v>5610</v>
      </c>
      <c r="E657" s="9" t="str">
        <f>"Комиссионные расходы по документарным расчетам"</f>
        <v>Комиссионные расходы по документарным расчетам</v>
      </c>
      <c r="F657" s="9" t="str">
        <f>""</f>
        <v/>
      </c>
      <c r="G657" s="9" t="str">
        <f>""</f>
        <v/>
      </c>
      <c r="H657" s="9" t="str">
        <f>""</f>
        <v/>
      </c>
      <c r="I657" s="11">
        <v>571431.46</v>
      </c>
    </row>
    <row r="658" spans="1:9" x14ac:dyDescent="0.25">
      <c r="A658" s="9">
        <v>285</v>
      </c>
      <c r="B658" s="10">
        <v>45016</v>
      </c>
      <c r="C658" s="9">
        <v>8</v>
      </c>
      <c r="D658" s="9" t="str">
        <f>"5703"</f>
        <v>5703</v>
      </c>
      <c r="E658" s="9" t="str">
        <f>"Расходы от переоценки иностранной валюты"</f>
        <v>Расходы от переоценки иностранной валюты</v>
      </c>
      <c r="F658" s="9" t="str">
        <f>""</f>
        <v/>
      </c>
      <c r="G658" s="9" t="str">
        <f>""</f>
        <v/>
      </c>
      <c r="H658" s="9" t="str">
        <f>""</f>
        <v/>
      </c>
      <c r="I658" s="11">
        <v>250326151298.75</v>
      </c>
    </row>
    <row r="659" spans="1:9" x14ac:dyDescent="0.25">
      <c r="A659" s="9">
        <v>284</v>
      </c>
      <c r="B659" s="10">
        <v>45016</v>
      </c>
      <c r="C659" s="9">
        <v>8</v>
      </c>
      <c r="D659" s="9" t="str">
        <f>"5704"</f>
        <v>5704</v>
      </c>
      <c r="E659" s="9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659" s="9" t="str">
        <f>""</f>
        <v/>
      </c>
      <c r="G659" s="9" t="str">
        <f>""</f>
        <v/>
      </c>
      <c r="H659" s="9" t="str">
        <f>""</f>
        <v/>
      </c>
      <c r="I659" s="11">
        <v>705613900.5</v>
      </c>
    </row>
    <row r="660" spans="1:9" x14ac:dyDescent="0.25">
      <c r="A660" s="9">
        <v>290</v>
      </c>
      <c r="B660" s="10">
        <v>45016</v>
      </c>
      <c r="C660" s="9">
        <v>8</v>
      </c>
      <c r="D660" s="9" t="str">
        <f>"5709"</f>
        <v>5709</v>
      </c>
      <c r="E660" s="9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660" s="9" t="str">
        <f>""</f>
        <v/>
      </c>
      <c r="G660" s="9" t="str">
        <f>""</f>
        <v/>
      </c>
      <c r="H660" s="9" t="str">
        <f>""</f>
        <v/>
      </c>
      <c r="I660" s="11">
        <v>36970256.82</v>
      </c>
    </row>
    <row r="661" spans="1:9" x14ac:dyDescent="0.25">
      <c r="A661" s="9">
        <v>289</v>
      </c>
      <c r="B661" s="10">
        <v>45016</v>
      </c>
      <c r="C661" s="9">
        <v>8</v>
      </c>
      <c r="D661" s="9" t="str">
        <f>"5721"</f>
        <v>5721</v>
      </c>
      <c r="E661" s="9" t="str">
        <f>"Расходы по оплате труда"</f>
        <v>Расходы по оплате труда</v>
      </c>
      <c r="F661" s="9" t="str">
        <f>""</f>
        <v/>
      </c>
      <c r="G661" s="9" t="str">
        <f>""</f>
        <v/>
      </c>
      <c r="H661" s="9" t="str">
        <f>""</f>
        <v/>
      </c>
      <c r="I661" s="11">
        <v>4504643104.5799999</v>
      </c>
    </row>
    <row r="662" spans="1:9" x14ac:dyDescent="0.25">
      <c r="A662" s="9">
        <v>286</v>
      </c>
      <c r="B662" s="10">
        <v>45016</v>
      </c>
      <c r="C662" s="9">
        <v>8</v>
      </c>
      <c r="D662" s="9" t="str">
        <f>"5722"</f>
        <v>5722</v>
      </c>
      <c r="E662" s="9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662" s="9" t="str">
        <f>""</f>
        <v/>
      </c>
      <c r="G662" s="9" t="str">
        <f>""</f>
        <v/>
      </c>
      <c r="H662" s="9" t="str">
        <f>""</f>
        <v/>
      </c>
      <c r="I662" s="11">
        <v>104810071.83</v>
      </c>
    </row>
    <row r="663" spans="1:9" x14ac:dyDescent="0.25">
      <c r="A663" s="9">
        <v>291</v>
      </c>
      <c r="B663" s="10">
        <v>45016</v>
      </c>
      <c r="C663" s="9">
        <v>8</v>
      </c>
      <c r="D663" s="9" t="str">
        <f>"5729"</f>
        <v>5729</v>
      </c>
      <c r="E663" s="9" t="str">
        <f>"Прочие выплаты"</f>
        <v>Прочие выплаты</v>
      </c>
      <c r="F663" s="9" t="str">
        <f>""</f>
        <v/>
      </c>
      <c r="G663" s="9" t="str">
        <f>""</f>
        <v/>
      </c>
      <c r="H663" s="9" t="str">
        <f>""</f>
        <v/>
      </c>
      <c r="I663" s="11">
        <v>53623346.520000003</v>
      </c>
    </row>
    <row r="664" spans="1:9" x14ac:dyDescent="0.25">
      <c r="A664" s="9">
        <v>287</v>
      </c>
      <c r="B664" s="10">
        <v>45016</v>
      </c>
      <c r="C664" s="9">
        <v>8</v>
      </c>
      <c r="D664" s="9" t="str">
        <f>"5733"</f>
        <v>5733</v>
      </c>
      <c r="E664" s="9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664" s="9" t="str">
        <f>""</f>
        <v/>
      </c>
      <c r="G664" s="9" t="str">
        <f>""</f>
        <v/>
      </c>
      <c r="H664" s="9" t="str">
        <f>""</f>
        <v/>
      </c>
      <c r="I664" s="11">
        <v>0.04</v>
      </c>
    </row>
    <row r="665" spans="1:9" x14ac:dyDescent="0.25">
      <c r="A665" s="9">
        <v>288</v>
      </c>
      <c r="B665" s="10">
        <v>45016</v>
      </c>
      <c r="C665" s="9">
        <v>8</v>
      </c>
      <c r="D665" s="9" t="str">
        <f>"5741"</f>
        <v>5741</v>
      </c>
      <c r="E665" s="9" t="str">
        <f>"Транспортные расходы"</f>
        <v>Транспортные расходы</v>
      </c>
      <c r="F665" s="9" t="str">
        <f>""</f>
        <v/>
      </c>
      <c r="G665" s="9" t="str">
        <f>""</f>
        <v/>
      </c>
      <c r="H665" s="9" t="str">
        <f>""</f>
        <v/>
      </c>
      <c r="I665" s="11">
        <v>36511314.039999999</v>
      </c>
    </row>
    <row r="666" spans="1:9" x14ac:dyDescent="0.25">
      <c r="A666" s="9">
        <v>292</v>
      </c>
      <c r="B666" s="10">
        <v>45016</v>
      </c>
      <c r="C666" s="9">
        <v>8</v>
      </c>
      <c r="D666" s="9" t="str">
        <f>"5742"</f>
        <v>5742</v>
      </c>
      <c r="E666" s="9" t="str">
        <f>"Административные расходы"</f>
        <v>Административные расходы</v>
      </c>
      <c r="F666" s="9" t="str">
        <f>""</f>
        <v/>
      </c>
      <c r="G666" s="9" t="str">
        <f>""</f>
        <v/>
      </c>
      <c r="H666" s="9" t="str">
        <f>""</f>
        <v/>
      </c>
      <c r="I666" s="11">
        <v>486177339.79000002</v>
      </c>
    </row>
    <row r="667" spans="1:9" x14ac:dyDescent="0.25">
      <c r="A667" s="9">
        <v>293</v>
      </c>
      <c r="B667" s="10">
        <v>45016</v>
      </c>
      <c r="C667" s="9">
        <v>8</v>
      </c>
      <c r="D667" s="9" t="str">
        <f>"5743"</f>
        <v>5743</v>
      </c>
      <c r="E667" s="9" t="str">
        <f>"Расходы на инкассацию"</f>
        <v>Расходы на инкассацию</v>
      </c>
      <c r="F667" s="9" t="str">
        <f>""</f>
        <v/>
      </c>
      <c r="G667" s="9" t="str">
        <f>""</f>
        <v/>
      </c>
      <c r="H667" s="9" t="str">
        <f>""</f>
        <v/>
      </c>
      <c r="I667" s="11">
        <v>28625230.469999999</v>
      </c>
    </row>
    <row r="668" spans="1:9" x14ac:dyDescent="0.25">
      <c r="A668" s="9">
        <v>295</v>
      </c>
      <c r="B668" s="10">
        <v>45016</v>
      </c>
      <c r="C668" s="9">
        <v>8</v>
      </c>
      <c r="D668" s="9" t="str">
        <f>"5744"</f>
        <v>5744</v>
      </c>
      <c r="E668" s="9" t="str">
        <f>"Расходы на ремонт"</f>
        <v>Расходы на ремонт</v>
      </c>
      <c r="F668" s="9" t="str">
        <f>""</f>
        <v/>
      </c>
      <c r="G668" s="9" t="str">
        <f>""</f>
        <v/>
      </c>
      <c r="H668" s="9" t="str">
        <f>""</f>
        <v/>
      </c>
      <c r="I668" s="11">
        <v>15634623.9</v>
      </c>
    </row>
    <row r="669" spans="1:9" x14ac:dyDescent="0.25">
      <c r="A669" s="9">
        <v>294</v>
      </c>
      <c r="B669" s="10">
        <v>45016</v>
      </c>
      <c r="C669" s="9">
        <v>8</v>
      </c>
      <c r="D669" s="9" t="str">
        <f>"5745"</f>
        <v>5745</v>
      </c>
      <c r="E669" s="9" t="str">
        <f>"Расходы на рекламу"</f>
        <v>Расходы на рекламу</v>
      </c>
      <c r="F669" s="9" t="str">
        <f>""</f>
        <v/>
      </c>
      <c r="G669" s="9" t="str">
        <f>""</f>
        <v/>
      </c>
      <c r="H669" s="9" t="str">
        <f>""</f>
        <v/>
      </c>
      <c r="I669" s="11">
        <v>54130935.189999998</v>
      </c>
    </row>
    <row r="670" spans="1:9" x14ac:dyDescent="0.25">
      <c r="A670" s="9">
        <v>301</v>
      </c>
      <c r="B670" s="10">
        <v>45016</v>
      </c>
      <c r="C670" s="9">
        <v>8</v>
      </c>
      <c r="D670" s="9" t="str">
        <f>"5746"</f>
        <v>5746</v>
      </c>
      <c r="E670" s="9" t="str">
        <f>"Расходы на охрану и сигнализацию"</f>
        <v>Расходы на охрану и сигнализацию</v>
      </c>
      <c r="F670" s="9" t="str">
        <f>""</f>
        <v/>
      </c>
      <c r="G670" s="9" t="str">
        <f>""</f>
        <v/>
      </c>
      <c r="H670" s="9" t="str">
        <f>""</f>
        <v/>
      </c>
      <c r="I670" s="11">
        <v>92267595.129999995</v>
      </c>
    </row>
    <row r="671" spans="1:9" x14ac:dyDescent="0.25">
      <c r="A671" s="9">
        <v>297</v>
      </c>
      <c r="B671" s="10">
        <v>45016</v>
      </c>
      <c r="C671" s="9">
        <v>8</v>
      </c>
      <c r="D671" s="9" t="str">
        <f>"5747"</f>
        <v>5747</v>
      </c>
      <c r="E671" s="9" t="str">
        <f>"Представительские расходы"</f>
        <v>Представительские расходы</v>
      </c>
      <c r="F671" s="9" t="str">
        <f>""</f>
        <v/>
      </c>
      <c r="G671" s="9" t="str">
        <f>""</f>
        <v/>
      </c>
      <c r="H671" s="9" t="str">
        <f>""</f>
        <v/>
      </c>
      <c r="I671" s="11">
        <v>1528601</v>
      </c>
    </row>
    <row r="672" spans="1:9" x14ac:dyDescent="0.25">
      <c r="A672" s="9">
        <v>296</v>
      </c>
      <c r="B672" s="10">
        <v>45016</v>
      </c>
      <c r="C672" s="9">
        <v>8</v>
      </c>
      <c r="D672" s="9" t="str">
        <f>"5748"</f>
        <v>5748</v>
      </c>
      <c r="E672" s="9" t="str">
        <f>"Прочие общехозяйственные расходы"</f>
        <v>Прочие общехозяйственные расходы</v>
      </c>
      <c r="F672" s="9" t="str">
        <f>""</f>
        <v/>
      </c>
      <c r="G672" s="9" t="str">
        <f>""</f>
        <v/>
      </c>
      <c r="H672" s="9" t="str">
        <f>""</f>
        <v/>
      </c>
      <c r="I672" s="11">
        <v>106300636.36</v>
      </c>
    </row>
    <row r="673" spans="1:9" x14ac:dyDescent="0.25">
      <c r="A673" s="9">
        <v>298</v>
      </c>
      <c r="B673" s="10">
        <v>45016</v>
      </c>
      <c r="C673" s="9">
        <v>8</v>
      </c>
      <c r="D673" s="9" t="str">
        <f>"5749"</f>
        <v>5749</v>
      </c>
      <c r="E673" s="9" t="str">
        <f>"Расходы на служебные командировки"</f>
        <v>Расходы на служебные командировки</v>
      </c>
      <c r="F673" s="9" t="str">
        <f>""</f>
        <v/>
      </c>
      <c r="G673" s="9" t="str">
        <f>""</f>
        <v/>
      </c>
      <c r="H673" s="9" t="str">
        <f>""</f>
        <v/>
      </c>
      <c r="I673" s="11">
        <v>5366957.57</v>
      </c>
    </row>
    <row r="674" spans="1:9" x14ac:dyDescent="0.25">
      <c r="A674" s="9">
        <v>299</v>
      </c>
      <c r="B674" s="10">
        <v>45016</v>
      </c>
      <c r="C674" s="9">
        <v>8</v>
      </c>
      <c r="D674" s="9" t="str">
        <f>"5750"</f>
        <v>5750</v>
      </c>
      <c r="E674" s="9" t="str">
        <f>"Расходы по аудиту и консультационным услугам"</f>
        <v>Расходы по аудиту и консультационным услугам</v>
      </c>
      <c r="F674" s="9" t="str">
        <f>""</f>
        <v/>
      </c>
      <c r="G674" s="9" t="str">
        <f>""</f>
        <v/>
      </c>
      <c r="H674" s="9" t="str">
        <f>""</f>
        <v/>
      </c>
      <c r="I674" s="11">
        <v>40649437.5</v>
      </c>
    </row>
    <row r="675" spans="1:9" x14ac:dyDescent="0.25">
      <c r="A675" s="9">
        <v>303</v>
      </c>
      <c r="B675" s="10">
        <v>45016</v>
      </c>
      <c r="C675" s="9">
        <v>8</v>
      </c>
      <c r="D675" s="9" t="str">
        <f>"5752"</f>
        <v>5752</v>
      </c>
      <c r="E675" s="9" t="str">
        <f>"Расходы по страхованию"</f>
        <v>Расходы по страхованию</v>
      </c>
      <c r="F675" s="9" t="str">
        <f>""</f>
        <v/>
      </c>
      <c r="G675" s="9" t="str">
        <f>""</f>
        <v/>
      </c>
      <c r="H675" s="9" t="str">
        <f>""</f>
        <v/>
      </c>
      <c r="I675" s="11">
        <v>10444847.039999999</v>
      </c>
    </row>
    <row r="676" spans="1:9" x14ac:dyDescent="0.25">
      <c r="A676" s="9">
        <v>300</v>
      </c>
      <c r="B676" s="10">
        <v>45016</v>
      </c>
      <c r="C676" s="9">
        <v>8</v>
      </c>
      <c r="D676" s="9" t="str">
        <f>"5753"</f>
        <v>5753</v>
      </c>
      <c r="E676" s="9" t="str">
        <f>"Расходы по услугам связи"</f>
        <v>Расходы по услугам связи</v>
      </c>
      <c r="F676" s="9" t="str">
        <f>""</f>
        <v/>
      </c>
      <c r="G676" s="9" t="str">
        <f>""</f>
        <v/>
      </c>
      <c r="H676" s="9" t="str">
        <f>""</f>
        <v/>
      </c>
      <c r="I676" s="11">
        <v>96800279.799999997</v>
      </c>
    </row>
    <row r="677" spans="1:9" x14ac:dyDescent="0.25">
      <c r="A677" s="9">
        <v>304</v>
      </c>
      <c r="B677" s="10">
        <v>45016</v>
      </c>
      <c r="C677" s="9">
        <v>8</v>
      </c>
      <c r="D677" s="9" t="str">
        <f>"5754"</f>
        <v>5754</v>
      </c>
      <c r="E677" s="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677" s="9" t="str">
        <f>""</f>
        <v/>
      </c>
      <c r="G677" s="9" t="str">
        <f>""</f>
        <v/>
      </c>
      <c r="H677" s="9" t="str">
        <f>""</f>
        <v/>
      </c>
      <c r="I677" s="11">
        <v>699376501.47000003</v>
      </c>
    </row>
    <row r="678" spans="1:9" x14ac:dyDescent="0.25">
      <c r="A678" s="9">
        <v>302</v>
      </c>
      <c r="B678" s="10">
        <v>45016</v>
      </c>
      <c r="C678" s="9">
        <v>8</v>
      </c>
      <c r="D678" s="9" t="str">
        <f>"5761"</f>
        <v>5761</v>
      </c>
      <c r="E678" s="9" t="str">
        <f>"Налог на добавленную стоимость"</f>
        <v>Налог на добавленную стоимость</v>
      </c>
      <c r="F678" s="9" t="str">
        <f>""</f>
        <v/>
      </c>
      <c r="G678" s="9" t="str">
        <f>""</f>
        <v/>
      </c>
      <c r="H678" s="9" t="str">
        <f>""</f>
        <v/>
      </c>
      <c r="I678" s="11">
        <v>190067770.81999999</v>
      </c>
    </row>
    <row r="679" spans="1:9" x14ac:dyDescent="0.25">
      <c r="A679" s="9">
        <v>306</v>
      </c>
      <c r="B679" s="10">
        <v>45016</v>
      </c>
      <c r="C679" s="9">
        <v>8</v>
      </c>
      <c r="D679" s="9" t="str">
        <f>"5763"</f>
        <v>5763</v>
      </c>
      <c r="E679" s="9" t="str">
        <f>"Социальный налог"</f>
        <v>Социальный налог</v>
      </c>
      <c r="F679" s="9" t="str">
        <f>""</f>
        <v/>
      </c>
      <c r="G679" s="9" t="str">
        <f>""</f>
        <v/>
      </c>
      <c r="H679" s="9" t="str">
        <f>""</f>
        <v/>
      </c>
      <c r="I679" s="11">
        <v>361987645.45999998</v>
      </c>
    </row>
    <row r="680" spans="1:9" x14ac:dyDescent="0.25">
      <c r="A680" s="9">
        <v>307</v>
      </c>
      <c r="B680" s="10">
        <v>45016</v>
      </c>
      <c r="C680" s="9">
        <v>8</v>
      </c>
      <c r="D680" s="9" t="str">
        <f>"5764"</f>
        <v>5764</v>
      </c>
      <c r="E680" s="9" t="str">
        <f>"Земельный налог"</f>
        <v>Земельный налог</v>
      </c>
      <c r="F680" s="9" t="str">
        <f>""</f>
        <v/>
      </c>
      <c r="G680" s="9" t="str">
        <f>""</f>
        <v/>
      </c>
      <c r="H680" s="9" t="str">
        <f>""</f>
        <v/>
      </c>
      <c r="I680" s="11">
        <v>636597</v>
      </c>
    </row>
    <row r="681" spans="1:9" x14ac:dyDescent="0.25">
      <c r="A681" s="9">
        <v>305</v>
      </c>
      <c r="B681" s="10">
        <v>45016</v>
      </c>
      <c r="C681" s="9">
        <v>8</v>
      </c>
      <c r="D681" s="9" t="str">
        <f>"5765"</f>
        <v>5765</v>
      </c>
      <c r="E681" s="9" t="str">
        <f>"Налог на имущество юридических лиц"</f>
        <v>Налог на имущество юридических лиц</v>
      </c>
      <c r="F681" s="9" t="str">
        <f>""</f>
        <v/>
      </c>
      <c r="G681" s="9" t="str">
        <f>""</f>
        <v/>
      </c>
      <c r="H681" s="9" t="str">
        <f>""</f>
        <v/>
      </c>
      <c r="I681" s="11">
        <v>239592875</v>
      </c>
    </row>
    <row r="682" spans="1:9" x14ac:dyDescent="0.25">
      <c r="A682" s="9">
        <v>310</v>
      </c>
      <c r="B682" s="10">
        <v>45016</v>
      </c>
      <c r="C682" s="9">
        <v>8</v>
      </c>
      <c r="D682" s="9" t="str">
        <f>"5768"</f>
        <v>5768</v>
      </c>
      <c r="E682" s="9" t="str">
        <f>"Прочие налоги и обязательные платежи в бюджет"</f>
        <v>Прочие налоги и обязательные платежи в бюджет</v>
      </c>
      <c r="F682" s="9" t="str">
        <f>""</f>
        <v/>
      </c>
      <c r="G682" s="9" t="str">
        <f>""</f>
        <v/>
      </c>
      <c r="H682" s="9" t="str">
        <f>""</f>
        <v/>
      </c>
      <c r="I682" s="11">
        <v>8006252.0800000001</v>
      </c>
    </row>
    <row r="683" spans="1:9" x14ac:dyDescent="0.25">
      <c r="A683" s="9">
        <v>308</v>
      </c>
      <c r="B683" s="10">
        <v>45016</v>
      </c>
      <c r="C683" s="9">
        <v>8</v>
      </c>
      <c r="D683" s="9" t="str">
        <f>"5781"</f>
        <v>5781</v>
      </c>
      <c r="E683" s="9" t="str">
        <f>"Расходы по амортизации зданий и сооружений"</f>
        <v>Расходы по амортизации зданий и сооружений</v>
      </c>
      <c r="F683" s="9" t="str">
        <f>""</f>
        <v/>
      </c>
      <c r="G683" s="9" t="str">
        <f>""</f>
        <v/>
      </c>
      <c r="H683" s="9" t="str">
        <f>""</f>
        <v/>
      </c>
      <c r="I683" s="11">
        <v>82579328.569999993</v>
      </c>
    </row>
    <row r="684" spans="1:9" x14ac:dyDescent="0.25">
      <c r="A684" s="9">
        <v>309</v>
      </c>
      <c r="B684" s="10">
        <v>45016</v>
      </c>
      <c r="C684" s="9">
        <v>8</v>
      </c>
      <c r="D684" s="9" t="str">
        <f>"5782"</f>
        <v>5782</v>
      </c>
      <c r="E684" s="9" t="str">
        <f>"Расходы по амортизации компьютерного оборудования"</f>
        <v>Расходы по амортизации компьютерного оборудования</v>
      </c>
      <c r="F684" s="9" t="str">
        <f>""</f>
        <v/>
      </c>
      <c r="G684" s="9" t="str">
        <f>""</f>
        <v/>
      </c>
      <c r="H684" s="9" t="str">
        <f>""</f>
        <v/>
      </c>
      <c r="I684" s="11">
        <v>52233338.869999997</v>
      </c>
    </row>
    <row r="685" spans="1:9" x14ac:dyDescent="0.25">
      <c r="A685" s="9">
        <v>311</v>
      </c>
      <c r="B685" s="10">
        <v>45016</v>
      </c>
      <c r="C685" s="9">
        <v>8</v>
      </c>
      <c r="D685" s="9" t="str">
        <f>"5783"</f>
        <v>5783</v>
      </c>
      <c r="E685" s="9" t="str">
        <f>"Расходы по амортизации прочих основных средств"</f>
        <v>Расходы по амортизации прочих основных средств</v>
      </c>
      <c r="F685" s="9" t="str">
        <f>""</f>
        <v/>
      </c>
      <c r="G685" s="9" t="str">
        <f>""</f>
        <v/>
      </c>
      <c r="H685" s="9" t="str">
        <f>""</f>
        <v/>
      </c>
      <c r="I685" s="11">
        <v>108551373.77</v>
      </c>
    </row>
    <row r="686" spans="1:9" x14ac:dyDescent="0.25">
      <c r="A686" s="9">
        <v>312</v>
      </c>
      <c r="B686" s="10">
        <v>45016</v>
      </c>
      <c r="C686" s="9">
        <v>8</v>
      </c>
      <c r="D686" s="9" t="str">
        <f>"5784"</f>
        <v>5784</v>
      </c>
      <c r="E686" s="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686" s="9" t="str">
        <f>""</f>
        <v/>
      </c>
      <c r="G686" s="9" t="str">
        <f>""</f>
        <v/>
      </c>
      <c r="H686" s="9" t="str">
        <f>""</f>
        <v/>
      </c>
      <c r="I686" s="11">
        <v>91272337.049999997</v>
      </c>
    </row>
    <row r="687" spans="1:9" x14ac:dyDescent="0.25">
      <c r="A687" s="9">
        <v>315</v>
      </c>
      <c r="B687" s="10">
        <v>45016</v>
      </c>
      <c r="C687" s="9">
        <v>8</v>
      </c>
      <c r="D687" s="9" t="str">
        <f>"5786"</f>
        <v>5786</v>
      </c>
      <c r="E687" s="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687" s="9" t="str">
        <f>""</f>
        <v/>
      </c>
      <c r="G687" s="9" t="str">
        <f>""</f>
        <v/>
      </c>
      <c r="H687" s="9" t="str">
        <f>""</f>
        <v/>
      </c>
      <c r="I687" s="11">
        <v>6661350.3300000001</v>
      </c>
    </row>
    <row r="688" spans="1:9" x14ac:dyDescent="0.25">
      <c r="A688" s="9">
        <v>314</v>
      </c>
      <c r="B688" s="10">
        <v>45016</v>
      </c>
      <c r="C688" s="9">
        <v>8</v>
      </c>
      <c r="D688" s="9" t="str">
        <f>"5787"</f>
        <v>5787</v>
      </c>
      <c r="E688" s="9" t="str">
        <f>"Расходы по амортизации транспортных средств"</f>
        <v>Расходы по амортизации транспортных средств</v>
      </c>
      <c r="F688" s="9" t="str">
        <f>""</f>
        <v/>
      </c>
      <c r="G688" s="9" t="str">
        <f>""</f>
        <v/>
      </c>
      <c r="H688" s="9" t="str">
        <f>""</f>
        <v/>
      </c>
      <c r="I688" s="11">
        <v>14677001.92</v>
      </c>
    </row>
    <row r="689" spans="1:9" x14ac:dyDescent="0.25">
      <c r="A689" s="9">
        <v>313</v>
      </c>
      <c r="B689" s="10">
        <v>45016</v>
      </c>
      <c r="C689" s="9">
        <v>8</v>
      </c>
      <c r="D689" s="9" t="str">
        <f>"5788"</f>
        <v>5788</v>
      </c>
      <c r="E689" s="9" t="str">
        <f>"Расходы по амортизации нематериальных активов"</f>
        <v>Расходы по амортизации нематериальных активов</v>
      </c>
      <c r="F689" s="9" t="str">
        <f>""</f>
        <v/>
      </c>
      <c r="G689" s="9" t="str">
        <f>""</f>
        <v/>
      </c>
      <c r="H689" s="9" t="str">
        <f>""</f>
        <v/>
      </c>
      <c r="I689" s="11">
        <v>74653239.319999993</v>
      </c>
    </row>
    <row r="690" spans="1:9" x14ac:dyDescent="0.25">
      <c r="A690" s="9">
        <v>318</v>
      </c>
      <c r="B690" s="10">
        <v>45016</v>
      </c>
      <c r="C690" s="9">
        <v>8</v>
      </c>
      <c r="D690" s="9" t="str">
        <f>"5892"</f>
        <v>5892</v>
      </c>
      <c r="E690" s="9" t="str">
        <f>"Расходы по операциям форвард"</f>
        <v>Расходы по операциям форвард</v>
      </c>
      <c r="F690" s="9" t="str">
        <f>""</f>
        <v/>
      </c>
      <c r="G690" s="9" t="str">
        <f>""</f>
        <v/>
      </c>
      <c r="H690" s="9" t="str">
        <f>""</f>
        <v/>
      </c>
      <c r="I690" s="11">
        <v>1994862.91</v>
      </c>
    </row>
    <row r="691" spans="1:9" x14ac:dyDescent="0.25">
      <c r="A691" s="9">
        <v>316</v>
      </c>
      <c r="B691" s="10">
        <v>45016</v>
      </c>
      <c r="C691" s="9">
        <v>8</v>
      </c>
      <c r="D691" s="9" t="str">
        <f>"5895"</f>
        <v>5895</v>
      </c>
      <c r="E691" s="9" t="str">
        <f>"Расходы по операциям своп"</f>
        <v>Расходы по операциям своп</v>
      </c>
      <c r="F691" s="9" t="str">
        <f>""</f>
        <v/>
      </c>
      <c r="G691" s="9" t="str">
        <f>""</f>
        <v/>
      </c>
      <c r="H691" s="9" t="str">
        <f>""</f>
        <v/>
      </c>
      <c r="I691" s="11">
        <v>1479982993.8800001</v>
      </c>
    </row>
    <row r="692" spans="1:9" x14ac:dyDescent="0.25">
      <c r="A692" s="9">
        <v>317</v>
      </c>
      <c r="B692" s="10">
        <v>45016</v>
      </c>
      <c r="C692" s="9">
        <v>8</v>
      </c>
      <c r="D692" s="9" t="str">
        <f>"5921"</f>
        <v>5921</v>
      </c>
      <c r="E692" s="9" t="str">
        <f>"Прочие расходы от банковской деятельности"</f>
        <v>Прочие расходы от банковской деятельности</v>
      </c>
      <c r="F692" s="9" t="str">
        <f>""</f>
        <v/>
      </c>
      <c r="G692" s="9" t="str">
        <f>""</f>
        <v/>
      </c>
      <c r="H692" s="9" t="str">
        <f>""</f>
        <v/>
      </c>
      <c r="I692" s="11">
        <v>904486830.08000004</v>
      </c>
    </row>
    <row r="693" spans="1:9" x14ac:dyDescent="0.25">
      <c r="A693" s="9">
        <v>321</v>
      </c>
      <c r="B693" s="10">
        <v>45016</v>
      </c>
      <c r="C693" s="9">
        <v>8</v>
      </c>
      <c r="D693" s="9" t="str">
        <f>"5922"</f>
        <v>5922</v>
      </c>
      <c r="E693" s="9" t="str">
        <f>"Прочие расходы от неосновной деятельности"</f>
        <v>Прочие расходы от неосновной деятельности</v>
      </c>
      <c r="F693" s="9" t="str">
        <f>""</f>
        <v/>
      </c>
      <c r="G693" s="9" t="str">
        <f>""</f>
        <v/>
      </c>
      <c r="H693" s="9" t="str">
        <f>""</f>
        <v/>
      </c>
      <c r="I693" s="11">
        <v>119247429.67</v>
      </c>
    </row>
    <row r="694" spans="1:9" x14ac:dyDescent="0.25">
      <c r="A694" s="9">
        <v>319</v>
      </c>
      <c r="B694" s="10">
        <v>45016</v>
      </c>
      <c r="C694" s="9">
        <v>8</v>
      </c>
      <c r="D694" s="9" t="str">
        <f>"5923"</f>
        <v>5923</v>
      </c>
      <c r="E694" s="9" t="str">
        <f>"Расходы по аренде"</f>
        <v>Расходы по аренде</v>
      </c>
      <c r="F694" s="9" t="str">
        <f>""</f>
        <v/>
      </c>
      <c r="G694" s="9" t="str">
        <f>""</f>
        <v/>
      </c>
      <c r="H694" s="9" t="str">
        <f>""</f>
        <v/>
      </c>
      <c r="I694" s="11">
        <v>19520480.75</v>
      </c>
    </row>
    <row r="695" spans="1:9" x14ac:dyDescent="0.25">
      <c r="A695" s="9">
        <v>320</v>
      </c>
      <c r="B695" s="10">
        <v>45016</v>
      </c>
      <c r="C695" s="9">
        <v>8</v>
      </c>
      <c r="D695" s="9" t="str">
        <f>"5926"</f>
        <v>5926</v>
      </c>
      <c r="E695" s="9" t="str">
        <f>"Расходы по привилегированным акциям"</f>
        <v>Расходы по привилегированным акциям</v>
      </c>
      <c r="F695" s="9" t="str">
        <f>""</f>
        <v/>
      </c>
      <c r="G695" s="9" t="str">
        <f>""</f>
        <v/>
      </c>
      <c r="H695" s="9" t="str">
        <f>""</f>
        <v/>
      </c>
      <c r="I695" s="11">
        <v>123750000</v>
      </c>
    </row>
    <row r="696" spans="1:9" x14ac:dyDescent="0.25">
      <c r="A696" s="9">
        <v>322</v>
      </c>
      <c r="B696" s="10">
        <v>45016</v>
      </c>
      <c r="C696" s="9">
        <v>8</v>
      </c>
      <c r="D696" s="9" t="str">
        <f>"5999"</f>
        <v>5999</v>
      </c>
      <c r="E696" s="9" t="str">
        <f>"Корпоративный подоходный налог"</f>
        <v>Корпоративный подоходный налог</v>
      </c>
      <c r="F696" s="9" t="str">
        <f>""</f>
        <v/>
      </c>
      <c r="G696" s="9" t="str">
        <f>""</f>
        <v/>
      </c>
      <c r="H696" s="9" t="str">
        <f>""</f>
        <v/>
      </c>
      <c r="I696" s="11">
        <v>623637242.88</v>
      </c>
    </row>
    <row r="697" spans="1:9" x14ac:dyDescent="0.25">
      <c r="A697" s="9">
        <v>323</v>
      </c>
      <c r="B697" s="10">
        <v>45016</v>
      </c>
      <c r="C697" s="9">
        <v>8</v>
      </c>
      <c r="D697" s="9" t="str">
        <f>"6005"</f>
        <v>6005</v>
      </c>
      <c r="E697" s="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697" s="9" t="str">
        <f>""</f>
        <v/>
      </c>
      <c r="G697" s="9" t="str">
        <f>""</f>
        <v/>
      </c>
      <c r="H697" s="9" t="str">
        <f>""</f>
        <v/>
      </c>
      <c r="I697" s="11">
        <v>84791321.769999996</v>
      </c>
    </row>
    <row r="698" spans="1:9" x14ac:dyDescent="0.25">
      <c r="A698" s="9">
        <v>324</v>
      </c>
      <c r="B698" s="10">
        <v>45016</v>
      </c>
      <c r="C698" s="9">
        <v>8</v>
      </c>
      <c r="D698" s="9" t="str">
        <f>"6020"</f>
        <v>6020</v>
      </c>
      <c r="E698" s="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698" s="9" t="str">
        <f>""</f>
        <v/>
      </c>
      <c r="G698" s="9" t="str">
        <f>""</f>
        <v/>
      </c>
      <c r="H698" s="9" t="str">
        <f>""</f>
        <v/>
      </c>
      <c r="I698" s="11">
        <v>1471273997.76</v>
      </c>
    </row>
    <row r="699" spans="1:9" x14ac:dyDescent="0.25">
      <c r="A699" s="9">
        <v>326</v>
      </c>
      <c r="B699" s="10">
        <v>45016</v>
      </c>
      <c r="C699" s="9">
        <v>8</v>
      </c>
      <c r="D699" s="9" t="str">
        <f>"6055"</f>
        <v>6055</v>
      </c>
      <c r="E699" s="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699" s="9" t="str">
        <f>""</f>
        <v/>
      </c>
      <c r="G699" s="9" t="str">
        <f>""</f>
        <v/>
      </c>
      <c r="H699" s="9" t="str">
        <f>""</f>
        <v/>
      </c>
      <c r="I699" s="11">
        <v>69837580760.869995</v>
      </c>
    </row>
    <row r="700" spans="1:9" x14ac:dyDescent="0.25">
      <c r="A700" s="9">
        <v>325</v>
      </c>
      <c r="B700" s="10">
        <v>45016</v>
      </c>
      <c r="C700" s="9">
        <v>8</v>
      </c>
      <c r="D700" s="9" t="str">
        <f>"6075"</f>
        <v>6075</v>
      </c>
      <c r="E700" s="9" t="str">
        <f>"Возможные требования по принятым гарантиям"</f>
        <v>Возможные требования по принятым гарантиям</v>
      </c>
      <c r="F700" s="9" t="str">
        <f>""</f>
        <v/>
      </c>
      <c r="G700" s="9" t="str">
        <f>""</f>
        <v/>
      </c>
      <c r="H700" s="9" t="str">
        <f>""</f>
        <v/>
      </c>
      <c r="I700" s="11">
        <v>3109882973116.9502</v>
      </c>
    </row>
    <row r="701" spans="1:9" x14ac:dyDescent="0.25">
      <c r="A701" s="9">
        <v>328</v>
      </c>
      <c r="B701" s="10">
        <v>45016</v>
      </c>
      <c r="C701" s="9">
        <v>8</v>
      </c>
      <c r="D701" s="9" t="str">
        <f>"6125"</f>
        <v>6125</v>
      </c>
      <c r="E701" s="9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701" s="9" t="str">
        <f>""</f>
        <v/>
      </c>
      <c r="G701" s="9" t="str">
        <f>""</f>
        <v/>
      </c>
      <c r="H701" s="9" t="str">
        <f>""</f>
        <v/>
      </c>
      <c r="I701" s="11">
        <v>130636000</v>
      </c>
    </row>
    <row r="702" spans="1:9" x14ac:dyDescent="0.25">
      <c r="A702" s="9">
        <v>327</v>
      </c>
      <c r="B702" s="10">
        <v>45016</v>
      </c>
      <c r="C702" s="9">
        <v>8</v>
      </c>
      <c r="D702" s="9" t="str">
        <f>"6126"</f>
        <v>6126</v>
      </c>
      <c r="E702" s="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02" s="9" t="str">
        <f>""</f>
        <v/>
      </c>
      <c r="G702" s="9" t="str">
        <f>""</f>
        <v/>
      </c>
      <c r="H702" s="9" t="str">
        <f>""</f>
        <v/>
      </c>
      <c r="I702" s="11">
        <v>508940475976.65002</v>
      </c>
    </row>
    <row r="703" spans="1:9" x14ac:dyDescent="0.25">
      <c r="A703" s="9">
        <v>329</v>
      </c>
      <c r="B703" s="10">
        <v>45016</v>
      </c>
      <c r="C703" s="9">
        <v>8</v>
      </c>
      <c r="D703" s="9" t="str">
        <f>"6405"</f>
        <v>6405</v>
      </c>
      <c r="E703" s="9" t="str">
        <f>"Условные требования по купле-продаже иностранной валюты"</f>
        <v>Условные требования по купле-продаже иностранной валюты</v>
      </c>
      <c r="F703" s="9" t="str">
        <f>""</f>
        <v/>
      </c>
      <c r="G703" s="9" t="str">
        <f>""</f>
        <v/>
      </c>
      <c r="H703" s="9" t="str">
        <f>""</f>
        <v/>
      </c>
      <c r="I703" s="11">
        <v>18700082764.299999</v>
      </c>
    </row>
    <row r="704" spans="1:9" x14ac:dyDescent="0.25">
      <c r="A704" s="9">
        <v>332</v>
      </c>
      <c r="B704" s="10">
        <v>45016</v>
      </c>
      <c r="C704" s="9">
        <v>8</v>
      </c>
      <c r="D704" s="9" t="str">
        <f>"6505"</f>
        <v>6505</v>
      </c>
      <c r="E704" s="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04" s="9" t="str">
        <f>""</f>
        <v/>
      </c>
      <c r="G704" s="9" t="str">
        <f>""</f>
        <v/>
      </c>
      <c r="H704" s="9" t="str">
        <f>""</f>
        <v/>
      </c>
      <c r="I704" s="11">
        <v>84791321.769999996</v>
      </c>
    </row>
    <row r="705" spans="1:9" x14ac:dyDescent="0.25">
      <c r="A705" s="9">
        <v>330</v>
      </c>
      <c r="B705" s="10">
        <v>45016</v>
      </c>
      <c r="C705" s="9">
        <v>8</v>
      </c>
      <c r="D705" s="9" t="str">
        <f>"6520"</f>
        <v>6520</v>
      </c>
      <c r="E705" s="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05" s="9" t="str">
        <f>""</f>
        <v/>
      </c>
      <c r="G705" s="9" t="str">
        <f>""</f>
        <v/>
      </c>
      <c r="H705" s="9" t="str">
        <f>""</f>
        <v/>
      </c>
      <c r="I705" s="11">
        <v>1471273997.76</v>
      </c>
    </row>
    <row r="706" spans="1:9" x14ac:dyDescent="0.25">
      <c r="A706" s="9">
        <v>331</v>
      </c>
      <c r="B706" s="10">
        <v>45016</v>
      </c>
      <c r="C706" s="9">
        <v>8</v>
      </c>
      <c r="D706" s="9" t="str">
        <f>"6555"</f>
        <v>6555</v>
      </c>
      <c r="E706" s="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06" s="9" t="str">
        <f>""</f>
        <v/>
      </c>
      <c r="G706" s="9" t="str">
        <f>""</f>
        <v/>
      </c>
      <c r="H706" s="9" t="str">
        <f>""</f>
        <v/>
      </c>
      <c r="I706" s="11">
        <v>69837580760.869995</v>
      </c>
    </row>
    <row r="707" spans="1:9" x14ac:dyDescent="0.25">
      <c r="A707" s="9">
        <v>336</v>
      </c>
      <c r="B707" s="10">
        <v>45016</v>
      </c>
      <c r="C707" s="9">
        <v>8</v>
      </c>
      <c r="D707" s="9" t="str">
        <f>"6575"</f>
        <v>6575</v>
      </c>
      <c r="E707" s="9" t="str">
        <f>"Возможное уменьшение требований по принятым гарантиям"</f>
        <v>Возможное уменьшение требований по принятым гарантиям</v>
      </c>
      <c r="F707" s="9" t="str">
        <f>""</f>
        <v/>
      </c>
      <c r="G707" s="9" t="str">
        <f>""</f>
        <v/>
      </c>
      <c r="H707" s="9" t="str">
        <f>""</f>
        <v/>
      </c>
      <c r="I707" s="11">
        <v>3109882973116.9502</v>
      </c>
    </row>
    <row r="708" spans="1:9" x14ac:dyDescent="0.25">
      <c r="A708" s="9">
        <v>334</v>
      </c>
      <c r="B708" s="10">
        <v>45016</v>
      </c>
      <c r="C708" s="9">
        <v>8</v>
      </c>
      <c r="D708" s="9" t="str">
        <f>"6625"</f>
        <v>6625</v>
      </c>
      <c r="E708" s="9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708" s="9" t="str">
        <f>""</f>
        <v/>
      </c>
      <c r="G708" s="9" t="str">
        <f>""</f>
        <v/>
      </c>
      <c r="H708" s="9" t="str">
        <f>""</f>
        <v/>
      </c>
      <c r="I708" s="11">
        <v>130636000</v>
      </c>
    </row>
    <row r="709" spans="1:9" x14ac:dyDescent="0.25">
      <c r="A709" s="9">
        <v>333</v>
      </c>
      <c r="B709" s="10">
        <v>45016</v>
      </c>
      <c r="C709" s="9">
        <v>8</v>
      </c>
      <c r="D709" s="9" t="str">
        <f>"6626"</f>
        <v>6626</v>
      </c>
      <c r="E709" s="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09" s="9" t="str">
        <f>""</f>
        <v/>
      </c>
      <c r="G709" s="9" t="str">
        <f>""</f>
        <v/>
      </c>
      <c r="H709" s="9" t="str">
        <f>""</f>
        <v/>
      </c>
      <c r="I709" s="11">
        <v>508940475976.65002</v>
      </c>
    </row>
    <row r="710" spans="1:9" x14ac:dyDescent="0.25">
      <c r="A710" s="9">
        <v>335</v>
      </c>
      <c r="B710" s="10">
        <v>45016</v>
      </c>
      <c r="C710" s="9">
        <v>8</v>
      </c>
      <c r="D710" s="9" t="str">
        <f>"6905"</f>
        <v>6905</v>
      </c>
      <c r="E710" s="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10" s="9" t="str">
        <f>""</f>
        <v/>
      </c>
      <c r="G710" s="9" t="str">
        <f>""</f>
        <v/>
      </c>
      <c r="H710" s="9" t="str">
        <f>""</f>
        <v/>
      </c>
      <c r="I710" s="11">
        <v>18682750406.900002</v>
      </c>
    </row>
    <row r="711" spans="1:9" x14ac:dyDescent="0.25">
      <c r="A711" s="9">
        <v>337</v>
      </c>
      <c r="B711" s="10">
        <v>45016</v>
      </c>
      <c r="C711" s="9">
        <v>8</v>
      </c>
      <c r="D711" s="9" t="str">
        <f>"6999"</f>
        <v>6999</v>
      </c>
      <c r="E711" s="9" t="str">
        <f>"Позиция по сделкам с иностранной валютой"</f>
        <v>Позиция по сделкам с иностранной валютой</v>
      </c>
      <c r="F711" s="9" t="str">
        <f>""</f>
        <v/>
      </c>
      <c r="G711" s="9" t="str">
        <f>""</f>
        <v/>
      </c>
      <c r="H711" s="9" t="str">
        <f>""</f>
        <v/>
      </c>
      <c r="I711" s="11">
        <v>17332357.399999999</v>
      </c>
    </row>
    <row r="712" spans="1:9" x14ac:dyDescent="0.25">
      <c r="A712" s="9">
        <v>339</v>
      </c>
      <c r="B712" s="10">
        <v>45016</v>
      </c>
      <c r="C712" s="9">
        <v>8</v>
      </c>
      <c r="D712" s="9" t="str">
        <f>"7220"</f>
        <v>7220</v>
      </c>
      <c r="E712" s="9" t="str">
        <f>"Арендованные активы"</f>
        <v>Арендованные активы</v>
      </c>
      <c r="F712" s="9" t="str">
        <f>""</f>
        <v/>
      </c>
      <c r="G712" s="9" t="str">
        <f>""</f>
        <v/>
      </c>
      <c r="H712" s="9" t="str">
        <f>""</f>
        <v/>
      </c>
      <c r="I712" s="11">
        <v>230166.81</v>
      </c>
    </row>
    <row r="713" spans="1:9" x14ac:dyDescent="0.25">
      <c r="A713" s="9">
        <v>340</v>
      </c>
      <c r="B713" s="10">
        <v>45016</v>
      </c>
      <c r="C713" s="9">
        <v>8</v>
      </c>
      <c r="D713" s="9" t="str">
        <f>"7250"</f>
        <v>7250</v>
      </c>
      <c r="E713" s="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13" s="9" t="str">
        <f>""</f>
        <v/>
      </c>
      <c r="G713" s="9" t="str">
        <f>""</f>
        <v/>
      </c>
      <c r="H713" s="9" t="str">
        <f>""</f>
        <v/>
      </c>
      <c r="I713" s="11">
        <v>715553233214.71997</v>
      </c>
    </row>
    <row r="714" spans="1:9" x14ac:dyDescent="0.25">
      <c r="A714" s="9">
        <v>338</v>
      </c>
      <c r="B714" s="10">
        <v>45016</v>
      </c>
      <c r="C714" s="9">
        <v>8</v>
      </c>
      <c r="D714" s="9" t="str">
        <f>"7303"</f>
        <v>7303</v>
      </c>
      <c r="E714" s="9" t="str">
        <f>"Платежные документы, не оплаченные в срок"</f>
        <v>Платежные документы, не оплаченные в срок</v>
      </c>
      <c r="F714" s="9" t="str">
        <f>""</f>
        <v/>
      </c>
      <c r="G714" s="9" t="str">
        <f>""</f>
        <v/>
      </c>
      <c r="H714" s="9" t="str">
        <f>""</f>
        <v/>
      </c>
      <c r="I714" s="11">
        <v>1135969360767.0901</v>
      </c>
    </row>
    <row r="715" spans="1:9" x14ac:dyDescent="0.25">
      <c r="A715" s="9">
        <v>343</v>
      </c>
      <c r="B715" s="10">
        <v>45016</v>
      </c>
      <c r="C715" s="9">
        <v>8</v>
      </c>
      <c r="D715" s="9" t="str">
        <f>"7320"</f>
        <v>7320</v>
      </c>
      <c r="E715" s="9" t="str">
        <f>"Секьюритизируемые активы"</f>
        <v>Секьюритизируемые активы</v>
      </c>
      <c r="F715" s="9" t="str">
        <f>""</f>
        <v/>
      </c>
      <c r="G715" s="9" t="str">
        <f>""</f>
        <v/>
      </c>
      <c r="H715" s="9" t="str">
        <f>""</f>
        <v/>
      </c>
      <c r="I715" s="11">
        <v>577886736550.56995</v>
      </c>
    </row>
    <row r="716" spans="1:9" x14ac:dyDescent="0.25">
      <c r="A716" s="9">
        <v>341</v>
      </c>
      <c r="B716" s="10">
        <v>45016</v>
      </c>
      <c r="C716" s="9">
        <v>8</v>
      </c>
      <c r="D716" s="9" t="str">
        <f>"7339"</f>
        <v>7339</v>
      </c>
      <c r="E716" s="9" t="str">
        <f>"Разные ценности и документы"</f>
        <v>Разные ценности и документы</v>
      </c>
      <c r="F716" s="9" t="str">
        <f>""</f>
        <v/>
      </c>
      <c r="G716" s="9" t="str">
        <f>""</f>
        <v/>
      </c>
      <c r="H716" s="9" t="str">
        <f>""</f>
        <v/>
      </c>
      <c r="I716" s="11">
        <v>298962</v>
      </c>
    </row>
    <row r="717" spans="1:9" x14ac:dyDescent="0.25">
      <c r="A717" s="9">
        <v>342</v>
      </c>
      <c r="B717" s="10">
        <v>45016</v>
      </c>
      <c r="C717" s="9">
        <v>8</v>
      </c>
      <c r="D717" s="9" t="str">
        <f>"7342"</f>
        <v>7342</v>
      </c>
      <c r="E717" s="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17" s="9" t="str">
        <f>""</f>
        <v/>
      </c>
      <c r="G717" s="9" t="str">
        <f>""</f>
        <v/>
      </c>
      <c r="H717" s="9" t="str">
        <f>""</f>
        <v/>
      </c>
      <c r="I717" s="11">
        <v>394918</v>
      </c>
    </row>
    <row r="718" spans="1:9" x14ac:dyDescent="0.25">
      <c r="A718" s="9">
        <v>344</v>
      </c>
      <c r="B718" s="10">
        <v>45016</v>
      </c>
      <c r="C718" s="9">
        <v>8</v>
      </c>
      <c r="D718" s="9" t="str">
        <f>"7360"</f>
        <v>7360</v>
      </c>
      <c r="E718" s="9" t="str">
        <f>"Акции и другие ценные бумаги клиентов"</f>
        <v>Акции и другие ценные бумаги клиентов</v>
      </c>
      <c r="F718" s="9" t="str">
        <f>""</f>
        <v/>
      </c>
      <c r="G718" s="9" t="str">
        <f>""</f>
        <v/>
      </c>
      <c r="H718" s="9" t="str">
        <f>""</f>
        <v/>
      </c>
      <c r="I718" s="11">
        <v>1382869438.6500001</v>
      </c>
    </row>
    <row r="719" spans="1:9" x14ac:dyDescent="0.25">
      <c r="A719" s="9">
        <v>346</v>
      </c>
      <c r="B719" s="10">
        <v>45016</v>
      </c>
      <c r="C719" s="9">
        <v>8</v>
      </c>
      <c r="D719" s="9" t="str">
        <f>"7363"</f>
        <v>7363</v>
      </c>
      <c r="E719" s="9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719" s="9" t="str">
        <f>""</f>
        <v/>
      </c>
      <c r="G719" s="9" t="str">
        <f>""</f>
        <v/>
      </c>
      <c r="H719" s="9" t="str">
        <f>""</f>
        <v/>
      </c>
      <c r="I719" s="11">
        <v>4755100579.1800003</v>
      </c>
    </row>
    <row r="720" spans="1:9" x14ac:dyDescent="0.25">
      <c r="A720" s="9">
        <v>345</v>
      </c>
      <c r="B720" s="10">
        <v>45016</v>
      </c>
      <c r="C720" s="9">
        <v>8</v>
      </c>
      <c r="D720" s="9" t="str">
        <f>"7701"</f>
        <v>7701</v>
      </c>
      <c r="E720" s="9" t="str">
        <f>"Ценные бумаги"</f>
        <v>Ценные бумаги</v>
      </c>
      <c r="F720" s="9" t="str">
        <f>""</f>
        <v/>
      </c>
      <c r="G720" s="9" t="str">
        <f>""</f>
        <v/>
      </c>
      <c r="H720" s="9" t="str">
        <f>""</f>
        <v/>
      </c>
      <c r="I720" s="11">
        <v>166208956619.12</v>
      </c>
    </row>
    <row r="721" spans="1:9" x14ac:dyDescent="0.25">
      <c r="A721" s="9">
        <v>347</v>
      </c>
      <c r="B721" s="10">
        <v>45016</v>
      </c>
      <c r="C721" s="9">
        <v>8</v>
      </c>
      <c r="D721" s="9" t="str">
        <f>"7704"</f>
        <v>7704</v>
      </c>
      <c r="E721" s="9" t="str">
        <f>"Операции «обратное РЕПО»"</f>
        <v>Операции «обратное РЕПО»</v>
      </c>
      <c r="F721" s="9" t="str">
        <f>""</f>
        <v/>
      </c>
      <c r="G721" s="9" t="str">
        <f>""</f>
        <v/>
      </c>
      <c r="H721" s="9" t="str">
        <f>""</f>
        <v/>
      </c>
      <c r="I721" s="11">
        <v>908636690.64999998</v>
      </c>
    </row>
    <row r="722" spans="1:9" x14ac:dyDescent="0.25">
      <c r="A722" s="9">
        <v>349</v>
      </c>
      <c r="B722" s="10">
        <v>45016</v>
      </c>
      <c r="C722" s="9">
        <v>8</v>
      </c>
      <c r="D722" s="9" t="str">
        <f>"7709"</f>
        <v>7709</v>
      </c>
      <c r="E722" s="9" t="str">
        <f>"Прочие активы"</f>
        <v>Прочие активы</v>
      </c>
      <c r="F722" s="9" t="str">
        <f>""</f>
        <v/>
      </c>
      <c r="G722" s="9" t="str">
        <f>""</f>
        <v/>
      </c>
      <c r="H722" s="9" t="str">
        <f>""</f>
        <v/>
      </c>
      <c r="I722" s="11">
        <v>278887682909.72998</v>
      </c>
    </row>
    <row r="723" spans="1:9" x14ac:dyDescent="0.25">
      <c r="A723" s="9">
        <v>351</v>
      </c>
      <c r="B723" s="10">
        <v>45016</v>
      </c>
      <c r="C723" s="9">
        <v>8</v>
      </c>
      <c r="D723" s="9" t="str">
        <f>"7711"</f>
        <v>7711</v>
      </c>
      <c r="E723" s="9" t="str">
        <f>"Вознаграждение"</f>
        <v>Вознаграждение</v>
      </c>
      <c r="F723" s="9" t="str">
        <f>""</f>
        <v/>
      </c>
      <c r="G723" s="9" t="str">
        <f>""</f>
        <v/>
      </c>
      <c r="H723" s="9" t="str">
        <f>""</f>
        <v/>
      </c>
      <c r="I723" s="11">
        <v>938254989.11000001</v>
      </c>
    </row>
    <row r="724" spans="1:9" x14ac:dyDescent="0.25">
      <c r="A724" s="9">
        <v>350</v>
      </c>
      <c r="B724" s="10">
        <v>45016</v>
      </c>
      <c r="C724" s="9">
        <v>8</v>
      </c>
      <c r="D724" s="9" t="str">
        <f>"7712"</f>
        <v>7712</v>
      </c>
      <c r="E724" s="9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724" s="9" t="str">
        <f>""</f>
        <v/>
      </c>
      <c r="G724" s="9" t="str">
        <f>""</f>
        <v/>
      </c>
      <c r="H724" s="9" t="str">
        <f>""</f>
        <v/>
      </c>
      <c r="I724" s="11">
        <v>30300888.600000001</v>
      </c>
    </row>
    <row r="725" spans="1:9" x14ac:dyDescent="0.25">
      <c r="A725" s="9">
        <v>348</v>
      </c>
      <c r="B725" s="10">
        <v>45016</v>
      </c>
      <c r="C725" s="9">
        <v>8</v>
      </c>
      <c r="D725" s="9" t="str">
        <f>"7713"</f>
        <v>7713</v>
      </c>
      <c r="E725" s="9" t="str">
        <f>"Прочие требования"</f>
        <v>Прочие требования</v>
      </c>
      <c r="F725" s="9" t="str">
        <f>""</f>
        <v/>
      </c>
      <c r="G725" s="9" t="str">
        <f>""</f>
        <v/>
      </c>
      <c r="H725" s="9" t="str">
        <f>""</f>
        <v/>
      </c>
      <c r="I725" s="11">
        <v>547679.94999999995</v>
      </c>
    </row>
    <row r="728" spans="1:9" x14ac:dyDescent="0.25">
      <c r="B728" s="12"/>
      <c r="C728" s="12"/>
      <c r="D728" s="13" t="s">
        <v>14</v>
      </c>
      <c r="E728" s="14"/>
      <c r="F728" s="14"/>
      <c r="G728" s="14"/>
      <c r="H728" s="14"/>
    </row>
    <row r="729" spans="1:9" x14ac:dyDescent="0.25">
      <c r="B729" s="12" t="s">
        <v>16</v>
      </c>
      <c r="C729" s="12"/>
      <c r="D729" s="13" t="s">
        <v>17</v>
      </c>
      <c r="E729" s="14"/>
      <c r="F729" s="14"/>
      <c r="G729" s="14"/>
      <c r="H729" s="14"/>
    </row>
    <row r="730" spans="1:9" x14ac:dyDescent="0.25">
      <c r="B730" s="12" t="s">
        <v>18</v>
      </c>
      <c r="C730" s="12"/>
      <c r="D730" s="13" t="s">
        <v>19</v>
      </c>
      <c r="E730" s="14"/>
      <c r="F730" s="14"/>
      <c r="G730" s="14"/>
      <c r="H730" s="14"/>
    </row>
    <row r="731" spans="1:9" x14ac:dyDescent="0.25">
      <c r="B731" s="12" t="s">
        <v>20</v>
      </c>
      <c r="C731" s="12"/>
      <c r="D731" s="13" t="s">
        <v>21</v>
      </c>
      <c r="E731" s="14"/>
      <c r="F731" s="14"/>
      <c r="G731" s="14"/>
      <c r="H731" s="14"/>
    </row>
    <row r="732" spans="1:9" x14ac:dyDescent="0.25">
      <c r="B732" s="12" t="s">
        <v>22</v>
      </c>
      <c r="C732" s="12"/>
      <c r="D732" s="13" t="s">
        <v>23</v>
      </c>
      <c r="E732" s="14"/>
      <c r="F732" s="14"/>
      <c r="G732" s="14"/>
      <c r="H732" s="14"/>
    </row>
    <row r="733" spans="1:9" x14ac:dyDescent="0.25">
      <c r="B733" s="15"/>
      <c r="C733" s="16"/>
      <c r="D733" s="17" t="s">
        <v>24</v>
      </c>
      <c r="E733" s="12"/>
      <c r="F733" s="12"/>
      <c r="G733" s="12"/>
      <c r="H733" s="12"/>
    </row>
    <row r="734" spans="1:9" x14ac:dyDescent="0.25">
      <c r="B734" s="12" t="s">
        <v>25</v>
      </c>
      <c r="C734" s="12"/>
      <c r="D734" s="13" t="s">
        <v>26</v>
      </c>
      <c r="E734" s="14"/>
      <c r="F734" s="14"/>
      <c r="G734" s="14"/>
      <c r="H734" s="14"/>
    </row>
    <row r="735" spans="1:9" x14ac:dyDescent="0.25">
      <c r="B735" s="15"/>
      <c r="C735" s="16"/>
      <c r="D735" s="17" t="s">
        <v>24</v>
      </c>
      <c r="E735" s="12"/>
      <c r="F735" s="12"/>
      <c r="G735" s="12"/>
      <c r="H735" s="12"/>
    </row>
    <row r="736" spans="1:9" x14ac:dyDescent="0.25">
      <c r="B736" s="12" t="s">
        <v>27</v>
      </c>
      <c r="C736" s="12"/>
      <c r="D736" s="13" t="s">
        <v>28</v>
      </c>
      <c r="E736" s="14"/>
      <c r="F736" s="14"/>
      <c r="G736" s="14"/>
      <c r="H736" s="14"/>
    </row>
    <row r="737" spans="2:8" x14ac:dyDescent="0.25">
      <c r="B737" s="15"/>
      <c r="C737" s="16"/>
      <c r="D737" s="17" t="s">
        <v>24</v>
      </c>
      <c r="E737" s="12"/>
      <c r="F737" s="12"/>
      <c r="G737" s="12"/>
      <c r="H737" s="12"/>
    </row>
  </sheetData>
  <mergeCells count="20">
    <mergeCell ref="D735:H735"/>
    <mergeCell ref="B736:C736"/>
    <mergeCell ref="D736:H736"/>
    <mergeCell ref="D737:H737"/>
    <mergeCell ref="B731:C731"/>
    <mergeCell ref="D731:H731"/>
    <mergeCell ref="B732:C732"/>
    <mergeCell ref="D732:H732"/>
    <mergeCell ref="D733:H733"/>
    <mergeCell ref="B734:C734"/>
    <mergeCell ref="D734:H734"/>
    <mergeCell ref="B728:C728"/>
    <mergeCell ref="D728:H728"/>
    <mergeCell ref="B729:C729"/>
    <mergeCell ref="D729:H729"/>
    <mergeCell ref="B730:C730"/>
    <mergeCell ref="D730:H730"/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Рысбекова Асель Муратовна</dc:creator>
  <cp:lastModifiedBy>Рысбекова Асель Муратовна</cp:lastModifiedBy>
  <dcterms:created xsi:type="dcterms:W3CDTF">2023-04-14T05:44:55Z</dcterms:created>
  <dcterms:modified xsi:type="dcterms:W3CDTF">2023-04-14T05:47:50Z</dcterms:modified>
</cp:coreProperties>
</file>