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ilov_d\AppData\Local\Microsoft\Windows\INetCache\Content.Outlook\54BR7ITL\"/>
    </mc:Choice>
  </mc:AlternateContent>
  <bookViews>
    <workbookView xWindow="0" yWindow="0" windowWidth="28800" windowHeight="11640"/>
  </bookViews>
  <sheets>
    <sheet name="VREP_700_ND_RESPONDENTundefined" sheetId="1" r:id="rId1"/>
  </sheets>
  <definedNames>
    <definedName name="_xlnm._FilterDatabase" localSheetId="0" hidden="1">VREP_700_ND_RESPONDENTundefined!$A$10:$I$10</definedName>
  </definedNames>
  <calcPr calcId="162913"/>
</workbook>
</file>

<file path=xl/calcChain.xml><?xml version="1.0" encoding="utf-8"?>
<calcChain xmlns="http://schemas.openxmlformats.org/spreadsheetml/2006/main">
  <c r="H718" i="1" l="1"/>
  <c r="G718" i="1"/>
  <c r="F718" i="1"/>
  <c r="E718" i="1"/>
  <c r="D718" i="1"/>
  <c r="H717" i="1"/>
  <c r="G717" i="1"/>
  <c r="F717" i="1"/>
  <c r="E717" i="1"/>
  <c r="D717" i="1"/>
  <c r="H716" i="1"/>
  <c r="G716" i="1"/>
  <c r="F716" i="1"/>
  <c r="E716" i="1"/>
  <c r="D716" i="1"/>
  <c r="H715" i="1"/>
  <c r="G715" i="1"/>
  <c r="F715" i="1"/>
  <c r="E715" i="1"/>
  <c r="D715" i="1"/>
  <c r="H714" i="1"/>
  <c r="G714" i="1"/>
  <c r="F714" i="1"/>
  <c r="E714" i="1"/>
  <c r="D714" i="1"/>
  <c r="H713" i="1"/>
  <c r="G713" i="1"/>
  <c r="F713" i="1"/>
  <c r="E713" i="1"/>
  <c r="D713" i="1"/>
  <c r="H712" i="1"/>
  <c r="G712" i="1"/>
  <c r="F712" i="1"/>
  <c r="E712" i="1"/>
  <c r="D712" i="1"/>
  <c r="H711" i="1"/>
  <c r="G711" i="1"/>
  <c r="F711" i="1"/>
  <c r="E711" i="1"/>
  <c r="D711" i="1"/>
  <c r="H710" i="1"/>
  <c r="G710" i="1"/>
  <c r="F710" i="1"/>
  <c r="E710" i="1"/>
  <c r="D710" i="1"/>
  <c r="H709" i="1"/>
  <c r="G709" i="1"/>
  <c r="F709" i="1"/>
  <c r="E709" i="1"/>
  <c r="D709" i="1"/>
  <c r="H708" i="1"/>
  <c r="G708" i="1"/>
  <c r="F708" i="1"/>
  <c r="E708" i="1"/>
  <c r="D708" i="1"/>
  <c r="H707" i="1"/>
  <c r="G707" i="1"/>
  <c r="F707" i="1"/>
  <c r="E707" i="1"/>
  <c r="D707" i="1"/>
  <c r="H706" i="1"/>
  <c r="G706" i="1"/>
  <c r="F706" i="1"/>
  <c r="E706" i="1"/>
  <c r="D706" i="1"/>
  <c r="H705" i="1"/>
  <c r="G705" i="1"/>
  <c r="F705" i="1"/>
  <c r="E705" i="1"/>
  <c r="D705" i="1"/>
  <c r="H704" i="1"/>
  <c r="G704" i="1"/>
  <c r="F704" i="1"/>
  <c r="E704" i="1"/>
  <c r="D704" i="1"/>
  <c r="H703" i="1"/>
  <c r="G703" i="1"/>
  <c r="F703" i="1"/>
  <c r="E703" i="1"/>
  <c r="D703" i="1"/>
  <c r="H702" i="1"/>
  <c r="G702" i="1"/>
  <c r="F702" i="1"/>
  <c r="E702" i="1"/>
  <c r="D702" i="1"/>
  <c r="H701" i="1"/>
  <c r="G701" i="1"/>
  <c r="F701" i="1"/>
  <c r="E701" i="1"/>
  <c r="D701" i="1"/>
  <c r="H700" i="1"/>
  <c r="G700" i="1"/>
  <c r="F700" i="1"/>
  <c r="E700" i="1"/>
  <c r="D700" i="1"/>
  <c r="H699" i="1"/>
  <c r="G699" i="1"/>
  <c r="F699" i="1"/>
  <c r="E699" i="1"/>
  <c r="D699" i="1"/>
  <c r="H698" i="1"/>
  <c r="G698" i="1"/>
  <c r="F698" i="1"/>
  <c r="E698" i="1"/>
  <c r="D698" i="1"/>
  <c r="H697" i="1"/>
  <c r="G697" i="1"/>
  <c r="F697" i="1"/>
  <c r="E697" i="1"/>
  <c r="D697" i="1"/>
  <c r="H696" i="1"/>
  <c r="G696" i="1"/>
  <c r="F696" i="1"/>
  <c r="E696" i="1"/>
  <c r="D696" i="1"/>
  <c r="H695" i="1"/>
  <c r="G695" i="1"/>
  <c r="F695" i="1"/>
  <c r="E695" i="1"/>
  <c r="D695" i="1"/>
  <c r="H694" i="1"/>
  <c r="G694" i="1"/>
  <c r="F694" i="1"/>
  <c r="E694" i="1"/>
  <c r="D694" i="1"/>
  <c r="H693" i="1"/>
  <c r="G693" i="1"/>
  <c r="F693" i="1"/>
  <c r="E693" i="1"/>
  <c r="D693" i="1"/>
  <c r="H692" i="1"/>
  <c r="G692" i="1"/>
  <c r="F692" i="1"/>
  <c r="E692" i="1"/>
  <c r="D692" i="1"/>
  <c r="H691" i="1"/>
  <c r="G691" i="1"/>
  <c r="F691" i="1"/>
  <c r="E691" i="1"/>
  <c r="D691" i="1"/>
  <c r="H690" i="1"/>
  <c r="G690" i="1"/>
  <c r="F690" i="1"/>
  <c r="E690" i="1"/>
  <c r="D690" i="1"/>
  <c r="H689" i="1"/>
  <c r="G689" i="1"/>
  <c r="F689" i="1"/>
  <c r="E689" i="1"/>
  <c r="D689" i="1"/>
  <c r="H688" i="1"/>
  <c r="G688" i="1"/>
  <c r="F688" i="1"/>
  <c r="E688" i="1"/>
  <c r="D688" i="1"/>
  <c r="H687" i="1"/>
  <c r="G687" i="1"/>
  <c r="F687" i="1"/>
  <c r="E687" i="1"/>
  <c r="D687" i="1"/>
  <c r="H686" i="1"/>
  <c r="G686" i="1"/>
  <c r="F686" i="1"/>
  <c r="E686" i="1"/>
  <c r="D686" i="1"/>
  <c r="H685" i="1"/>
  <c r="G685" i="1"/>
  <c r="F685" i="1"/>
  <c r="E685" i="1"/>
  <c r="D685" i="1"/>
  <c r="H684" i="1"/>
  <c r="G684" i="1"/>
  <c r="F684" i="1"/>
  <c r="E684" i="1"/>
  <c r="D684" i="1"/>
  <c r="H683" i="1"/>
  <c r="G683" i="1"/>
  <c r="F683" i="1"/>
  <c r="E683" i="1"/>
  <c r="D683" i="1"/>
  <c r="H682" i="1"/>
  <c r="G682" i="1"/>
  <c r="F682" i="1"/>
  <c r="E682" i="1"/>
  <c r="D682" i="1"/>
  <c r="H681" i="1"/>
  <c r="G681" i="1"/>
  <c r="F681" i="1"/>
  <c r="E681" i="1"/>
  <c r="D681" i="1"/>
  <c r="H680" i="1"/>
  <c r="G680" i="1"/>
  <c r="F680" i="1"/>
  <c r="E680" i="1"/>
  <c r="D680" i="1"/>
  <c r="H679" i="1"/>
  <c r="G679" i="1"/>
  <c r="F679" i="1"/>
  <c r="E679" i="1"/>
  <c r="D679" i="1"/>
  <c r="H678" i="1"/>
  <c r="G678" i="1"/>
  <c r="F678" i="1"/>
  <c r="E678" i="1"/>
  <c r="D678" i="1"/>
  <c r="H677" i="1"/>
  <c r="G677" i="1"/>
  <c r="F677" i="1"/>
  <c r="E677" i="1"/>
  <c r="D677" i="1"/>
  <c r="H676" i="1"/>
  <c r="G676" i="1"/>
  <c r="F676" i="1"/>
  <c r="E676" i="1"/>
  <c r="D676" i="1"/>
  <c r="H675" i="1"/>
  <c r="G675" i="1"/>
  <c r="F675" i="1"/>
  <c r="E675" i="1"/>
  <c r="D675" i="1"/>
  <c r="H674" i="1"/>
  <c r="G674" i="1"/>
  <c r="F674" i="1"/>
  <c r="E674" i="1"/>
  <c r="D674" i="1"/>
  <c r="H673" i="1"/>
  <c r="G673" i="1"/>
  <c r="F673" i="1"/>
  <c r="E673" i="1"/>
  <c r="D673" i="1"/>
  <c r="H672" i="1"/>
  <c r="G672" i="1"/>
  <c r="F672" i="1"/>
  <c r="E672" i="1"/>
  <c r="D672" i="1"/>
  <c r="H671" i="1"/>
  <c r="G671" i="1"/>
  <c r="F671" i="1"/>
  <c r="E671" i="1"/>
  <c r="D671" i="1"/>
  <c r="H670" i="1"/>
  <c r="G670" i="1"/>
  <c r="F670" i="1"/>
  <c r="E670" i="1"/>
  <c r="D670" i="1"/>
  <c r="H669" i="1"/>
  <c r="G669" i="1"/>
  <c r="F669" i="1"/>
  <c r="E669" i="1"/>
  <c r="D669" i="1"/>
  <c r="H668" i="1"/>
  <c r="G668" i="1"/>
  <c r="F668" i="1"/>
  <c r="E668" i="1"/>
  <c r="D668" i="1"/>
  <c r="H667" i="1"/>
  <c r="G667" i="1"/>
  <c r="F667" i="1"/>
  <c r="E667" i="1"/>
  <c r="D667" i="1"/>
  <c r="H666" i="1"/>
  <c r="G666" i="1"/>
  <c r="F666" i="1"/>
  <c r="E666" i="1"/>
  <c r="D666" i="1"/>
  <c r="H665" i="1"/>
  <c r="G665" i="1"/>
  <c r="F665" i="1"/>
  <c r="E665" i="1"/>
  <c r="D665" i="1"/>
  <c r="H664" i="1"/>
  <c r="G664" i="1"/>
  <c r="F664" i="1"/>
  <c r="E664" i="1"/>
  <c r="D664" i="1"/>
  <c r="H663" i="1"/>
  <c r="G663" i="1"/>
  <c r="F663" i="1"/>
  <c r="E663" i="1"/>
  <c r="D663" i="1"/>
  <c r="H662" i="1"/>
  <c r="G662" i="1"/>
  <c r="F662" i="1"/>
  <c r="E662" i="1"/>
  <c r="D662" i="1"/>
  <c r="H661" i="1"/>
  <c r="G661" i="1"/>
  <c r="F661" i="1"/>
  <c r="E661" i="1"/>
  <c r="D661" i="1"/>
  <c r="H660" i="1"/>
  <c r="G660" i="1"/>
  <c r="F660" i="1"/>
  <c r="E660" i="1"/>
  <c r="D660" i="1"/>
  <c r="H659" i="1"/>
  <c r="G659" i="1"/>
  <c r="F659" i="1"/>
  <c r="E659" i="1"/>
  <c r="D659" i="1"/>
  <c r="H658" i="1"/>
  <c r="G658" i="1"/>
  <c r="F658" i="1"/>
  <c r="E658" i="1"/>
  <c r="D658" i="1"/>
  <c r="H657" i="1"/>
  <c r="G657" i="1"/>
  <c r="F657" i="1"/>
  <c r="E657" i="1"/>
  <c r="D657" i="1"/>
  <c r="H656" i="1"/>
  <c r="G656" i="1"/>
  <c r="F656" i="1"/>
  <c r="E656" i="1"/>
  <c r="D656" i="1"/>
  <c r="H655" i="1"/>
  <c r="G655" i="1"/>
  <c r="F655" i="1"/>
  <c r="E655" i="1"/>
  <c r="D655" i="1"/>
  <c r="H654" i="1"/>
  <c r="G654" i="1"/>
  <c r="F654" i="1"/>
  <c r="E654" i="1"/>
  <c r="D654" i="1"/>
  <c r="H653" i="1"/>
  <c r="G653" i="1"/>
  <c r="F653" i="1"/>
  <c r="E653" i="1"/>
  <c r="D653" i="1"/>
  <c r="H652" i="1"/>
  <c r="G652" i="1"/>
  <c r="F652" i="1"/>
  <c r="E652" i="1"/>
  <c r="D652" i="1"/>
  <c r="H651" i="1"/>
  <c r="G651" i="1"/>
  <c r="F651" i="1"/>
  <c r="E651" i="1"/>
  <c r="D651" i="1"/>
  <c r="H650" i="1"/>
  <c r="G650" i="1"/>
  <c r="F650" i="1"/>
  <c r="E650" i="1"/>
  <c r="D650" i="1"/>
  <c r="H649" i="1"/>
  <c r="G649" i="1"/>
  <c r="F649" i="1"/>
  <c r="E649" i="1"/>
  <c r="D649" i="1"/>
  <c r="H648" i="1"/>
  <c r="G648" i="1"/>
  <c r="F648" i="1"/>
  <c r="E648" i="1"/>
  <c r="D648" i="1"/>
  <c r="H647" i="1"/>
  <c r="G647" i="1"/>
  <c r="F647" i="1"/>
  <c r="E647" i="1"/>
  <c r="D647" i="1"/>
  <c r="H646" i="1"/>
  <c r="G646" i="1"/>
  <c r="F646" i="1"/>
  <c r="E646" i="1"/>
  <c r="D646" i="1"/>
  <c r="H645" i="1"/>
  <c r="G645" i="1"/>
  <c r="F645" i="1"/>
  <c r="E645" i="1"/>
  <c r="D645" i="1"/>
  <c r="H644" i="1"/>
  <c r="G644" i="1"/>
  <c r="F644" i="1"/>
  <c r="E644" i="1"/>
  <c r="D644" i="1"/>
  <c r="H643" i="1"/>
  <c r="G643" i="1"/>
  <c r="F643" i="1"/>
  <c r="E643" i="1"/>
  <c r="D643" i="1"/>
  <c r="H642" i="1"/>
  <c r="G642" i="1"/>
  <c r="F642" i="1"/>
  <c r="E642" i="1"/>
  <c r="D642" i="1"/>
  <c r="H641" i="1"/>
  <c r="G641" i="1"/>
  <c r="F641" i="1"/>
  <c r="E641" i="1"/>
  <c r="D641" i="1"/>
  <c r="H640" i="1"/>
  <c r="G640" i="1"/>
  <c r="F640" i="1"/>
  <c r="E640" i="1"/>
  <c r="D640" i="1"/>
  <c r="H639" i="1"/>
  <c r="G639" i="1"/>
  <c r="F639" i="1"/>
  <c r="E639" i="1"/>
  <c r="D639" i="1"/>
  <c r="H638" i="1"/>
  <c r="G638" i="1"/>
  <c r="F638" i="1"/>
  <c r="E638" i="1"/>
  <c r="D638" i="1"/>
  <c r="H637" i="1"/>
  <c r="G637" i="1"/>
  <c r="F637" i="1"/>
  <c r="E637" i="1"/>
  <c r="D637" i="1"/>
  <c r="H636" i="1"/>
  <c r="G636" i="1"/>
  <c r="F636" i="1"/>
  <c r="E636" i="1"/>
  <c r="D636" i="1"/>
  <c r="H635" i="1"/>
  <c r="G635" i="1"/>
  <c r="F635" i="1"/>
  <c r="E635" i="1"/>
  <c r="D635" i="1"/>
  <c r="H634" i="1"/>
  <c r="G634" i="1"/>
  <c r="F634" i="1"/>
  <c r="E634" i="1"/>
  <c r="D634" i="1"/>
  <c r="H633" i="1"/>
  <c r="G633" i="1"/>
  <c r="F633" i="1"/>
  <c r="E633" i="1"/>
  <c r="D633" i="1"/>
  <c r="H632" i="1"/>
  <c r="G632" i="1"/>
  <c r="F632" i="1"/>
  <c r="E632" i="1"/>
  <c r="D632" i="1"/>
  <c r="H631" i="1"/>
  <c r="G631" i="1"/>
  <c r="F631" i="1"/>
  <c r="E631" i="1"/>
  <c r="D631" i="1"/>
  <c r="H630" i="1"/>
  <c r="G630" i="1"/>
  <c r="F630" i="1"/>
  <c r="E630" i="1"/>
  <c r="D630" i="1"/>
  <c r="H629" i="1"/>
  <c r="G629" i="1"/>
  <c r="F629" i="1"/>
  <c r="E629" i="1"/>
  <c r="D629" i="1"/>
  <c r="H628" i="1"/>
  <c r="G628" i="1"/>
  <c r="F628" i="1"/>
  <c r="E628" i="1"/>
  <c r="D628" i="1"/>
  <c r="H627" i="1"/>
  <c r="G627" i="1"/>
  <c r="F627" i="1"/>
  <c r="E627" i="1"/>
  <c r="D627" i="1"/>
  <c r="H626" i="1"/>
  <c r="G626" i="1"/>
  <c r="F626" i="1"/>
  <c r="E626" i="1"/>
  <c r="D626" i="1"/>
  <c r="H625" i="1"/>
  <c r="G625" i="1"/>
  <c r="F625" i="1"/>
  <c r="E625" i="1"/>
  <c r="D625" i="1"/>
  <c r="H624" i="1"/>
  <c r="G624" i="1"/>
  <c r="F624" i="1"/>
  <c r="D624" i="1"/>
  <c r="H623" i="1"/>
  <c r="G623" i="1"/>
  <c r="F623" i="1"/>
  <c r="E623" i="1"/>
  <c r="D623" i="1"/>
  <c r="H622" i="1"/>
  <c r="G622" i="1"/>
  <c r="F622" i="1"/>
  <c r="E622" i="1"/>
  <c r="D622" i="1"/>
  <c r="H621" i="1"/>
  <c r="G621" i="1"/>
  <c r="F621" i="1"/>
  <c r="E621" i="1"/>
  <c r="D621" i="1"/>
  <c r="H620" i="1"/>
  <c r="G620" i="1"/>
  <c r="F620" i="1"/>
  <c r="E620" i="1"/>
  <c r="D620" i="1"/>
  <c r="H619" i="1"/>
  <c r="G619" i="1"/>
  <c r="F619" i="1"/>
  <c r="E619" i="1"/>
  <c r="D619" i="1"/>
  <c r="H618" i="1"/>
  <c r="G618" i="1"/>
  <c r="F618" i="1"/>
  <c r="E618" i="1"/>
  <c r="D618" i="1"/>
  <c r="H617" i="1"/>
  <c r="G617" i="1"/>
  <c r="F617" i="1"/>
  <c r="E617" i="1"/>
  <c r="D617" i="1"/>
  <c r="H616" i="1"/>
  <c r="G616" i="1"/>
  <c r="F616" i="1"/>
  <c r="E616" i="1"/>
  <c r="D616" i="1"/>
  <c r="H615" i="1"/>
  <c r="G615" i="1"/>
  <c r="F615" i="1"/>
  <c r="E615" i="1"/>
  <c r="D615" i="1"/>
  <c r="H614" i="1"/>
  <c r="G614" i="1"/>
  <c r="F614" i="1"/>
  <c r="E614" i="1"/>
  <c r="D614" i="1"/>
  <c r="H613" i="1"/>
  <c r="G613" i="1"/>
  <c r="F613" i="1"/>
  <c r="E613" i="1"/>
  <c r="D613" i="1"/>
  <c r="H612" i="1"/>
  <c r="G612" i="1"/>
  <c r="F612" i="1"/>
  <c r="E612" i="1"/>
  <c r="D612" i="1"/>
  <c r="H611" i="1"/>
  <c r="G611" i="1"/>
  <c r="F611" i="1"/>
  <c r="E611" i="1"/>
  <c r="D611" i="1"/>
  <c r="H610" i="1"/>
  <c r="G610" i="1"/>
  <c r="F610" i="1"/>
  <c r="D610" i="1"/>
  <c r="H609" i="1"/>
  <c r="G609" i="1"/>
  <c r="F609" i="1"/>
  <c r="E609" i="1"/>
  <c r="D609" i="1"/>
  <c r="H608" i="1"/>
  <c r="G608" i="1"/>
  <c r="F608" i="1"/>
  <c r="E608" i="1"/>
  <c r="D608" i="1"/>
  <c r="H607" i="1"/>
  <c r="G607" i="1"/>
  <c r="F607" i="1"/>
  <c r="E607" i="1"/>
  <c r="D607" i="1"/>
  <c r="H606" i="1"/>
  <c r="G606" i="1"/>
  <c r="F606" i="1"/>
  <c r="E606" i="1"/>
  <c r="D606" i="1"/>
  <c r="H605" i="1"/>
  <c r="G605" i="1"/>
  <c r="F605" i="1"/>
  <c r="E605" i="1"/>
  <c r="D605" i="1"/>
  <c r="H604" i="1"/>
  <c r="G604" i="1"/>
  <c r="F604" i="1"/>
  <c r="E604" i="1"/>
  <c r="D604" i="1"/>
  <c r="H603" i="1"/>
  <c r="G603" i="1"/>
  <c r="F603" i="1"/>
  <c r="E603" i="1"/>
  <c r="D603" i="1"/>
  <c r="H602" i="1"/>
  <c r="G602" i="1"/>
  <c r="F602" i="1"/>
  <c r="E602" i="1"/>
  <c r="D602" i="1"/>
  <c r="H601" i="1"/>
  <c r="G601" i="1"/>
  <c r="F601" i="1"/>
  <c r="E601" i="1"/>
  <c r="D601" i="1"/>
  <c r="H600" i="1"/>
  <c r="G600" i="1"/>
  <c r="F600" i="1"/>
  <c r="E600" i="1"/>
  <c r="D600" i="1"/>
  <c r="H599" i="1"/>
  <c r="G599" i="1"/>
  <c r="F599" i="1"/>
  <c r="E599" i="1"/>
  <c r="D599" i="1"/>
  <c r="H598" i="1"/>
  <c r="G598" i="1"/>
  <c r="F598" i="1"/>
  <c r="E598" i="1"/>
  <c r="D598" i="1"/>
  <c r="H597" i="1"/>
  <c r="G597" i="1"/>
  <c r="F597" i="1"/>
  <c r="E597" i="1"/>
  <c r="D597" i="1"/>
  <c r="H596" i="1"/>
  <c r="G596" i="1"/>
  <c r="F596" i="1"/>
  <c r="E596" i="1"/>
  <c r="D596" i="1"/>
  <c r="H595" i="1"/>
  <c r="G595" i="1"/>
  <c r="F595" i="1"/>
  <c r="E595" i="1"/>
  <c r="D595" i="1"/>
  <c r="H594" i="1"/>
  <c r="G594" i="1"/>
  <c r="F594" i="1"/>
  <c r="E594" i="1"/>
  <c r="D594" i="1"/>
  <c r="H593" i="1"/>
  <c r="G593" i="1"/>
  <c r="F593" i="1"/>
  <c r="E593" i="1"/>
  <c r="D593" i="1"/>
  <c r="H592" i="1"/>
  <c r="G592" i="1"/>
  <c r="F592" i="1"/>
  <c r="E592" i="1"/>
  <c r="D592" i="1"/>
  <c r="H591" i="1"/>
  <c r="G591" i="1"/>
  <c r="F591" i="1"/>
  <c r="E591" i="1"/>
  <c r="D591" i="1"/>
  <c r="H590" i="1"/>
  <c r="G590" i="1"/>
  <c r="F590" i="1"/>
  <c r="E590" i="1"/>
  <c r="D590" i="1"/>
  <c r="H589" i="1"/>
  <c r="G589" i="1"/>
  <c r="F589" i="1"/>
  <c r="E589" i="1"/>
  <c r="D589" i="1"/>
  <c r="H588" i="1"/>
  <c r="G588" i="1"/>
  <c r="F588" i="1"/>
  <c r="E588" i="1"/>
  <c r="D588" i="1"/>
  <c r="H587" i="1"/>
  <c r="G587" i="1"/>
  <c r="F587" i="1"/>
  <c r="E587" i="1"/>
  <c r="D587" i="1"/>
  <c r="H586" i="1"/>
  <c r="G586" i="1"/>
  <c r="F586" i="1"/>
  <c r="E586" i="1"/>
  <c r="D586" i="1"/>
  <c r="H585" i="1"/>
  <c r="G585" i="1"/>
  <c r="F585" i="1"/>
  <c r="E585" i="1"/>
  <c r="D585" i="1"/>
  <c r="H584" i="1"/>
  <c r="G584" i="1"/>
  <c r="F584" i="1"/>
  <c r="E584" i="1"/>
  <c r="D584" i="1"/>
  <c r="H583" i="1"/>
  <c r="G583" i="1"/>
  <c r="F583" i="1"/>
  <c r="E583" i="1"/>
  <c r="D583" i="1"/>
  <c r="H582" i="1"/>
  <c r="G582" i="1"/>
  <c r="F582" i="1"/>
  <c r="E582" i="1"/>
  <c r="D582" i="1"/>
  <c r="H581" i="1"/>
  <c r="G581" i="1"/>
  <c r="F581" i="1"/>
  <c r="E581" i="1"/>
  <c r="D581" i="1"/>
  <c r="H580" i="1"/>
  <c r="G580" i="1"/>
  <c r="F580" i="1"/>
  <c r="E580" i="1"/>
  <c r="D580" i="1"/>
  <c r="H579" i="1"/>
  <c r="G579" i="1"/>
  <c r="F579" i="1"/>
  <c r="E579" i="1"/>
  <c r="D579" i="1"/>
  <c r="H578" i="1"/>
  <c r="G578" i="1"/>
  <c r="F578" i="1"/>
  <c r="E578" i="1"/>
  <c r="D578" i="1"/>
  <c r="H577" i="1"/>
  <c r="G577" i="1"/>
  <c r="F577" i="1"/>
  <c r="E577" i="1"/>
  <c r="D577" i="1"/>
  <c r="H576" i="1"/>
  <c r="G576" i="1"/>
  <c r="F576" i="1"/>
  <c r="E576" i="1"/>
  <c r="D576" i="1"/>
  <c r="H575" i="1"/>
  <c r="G575" i="1"/>
  <c r="F575" i="1"/>
  <c r="E575" i="1"/>
  <c r="D575" i="1"/>
  <c r="H574" i="1"/>
  <c r="G574" i="1"/>
  <c r="F574" i="1"/>
  <c r="E574" i="1"/>
  <c r="D574" i="1"/>
  <c r="H573" i="1"/>
  <c r="G573" i="1"/>
  <c r="F573" i="1"/>
  <c r="E573" i="1"/>
  <c r="D573" i="1"/>
  <c r="H572" i="1"/>
  <c r="G572" i="1"/>
  <c r="F572" i="1"/>
  <c r="E572" i="1"/>
  <c r="D572" i="1"/>
  <c r="H571" i="1"/>
  <c r="G571" i="1"/>
  <c r="F571" i="1"/>
  <c r="E571" i="1"/>
  <c r="D571" i="1"/>
  <c r="H570" i="1"/>
  <c r="G570" i="1"/>
  <c r="F570" i="1"/>
  <c r="E570" i="1"/>
  <c r="D570" i="1"/>
  <c r="H569" i="1"/>
  <c r="G569" i="1"/>
  <c r="F569" i="1"/>
  <c r="E569" i="1"/>
  <c r="D569" i="1"/>
  <c r="H568" i="1"/>
  <c r="G568" i="1"/>
  <c r="F568" i="1"/>
  <c r="E568" i="1"/>
  <c r="D568" i="1"/>
  <c r="H567" i="1"/>
  <c r="G567" i="1"/>
  <c r="F567" i="1"/>
  <c r="E567" i="1"/>
  <c r="D567" i="1"/>
  <c r="H566" i="1"/>
  <c r="G566" i="1"/>
  <c r="F566" i="1"/>
  <c r="E566" i="1"/>
  <c r="D566" i="1"/>
  <c r="H565" i="1"/>
  <c r="G565" i="1"/>
  <c r="F565" i="1"/>
  <c r="E565" i="1"/>
  <c r="D565" i="1"/>
  <c r="H564" i="1"/>
  <c r="G564" i="1"/>
  <c r="F564" i="1"/>
  <c r="E564" i="1"/>
  <c r="D564" i="1"/>
  <c r="H563" i="1"/>
  <c r="G563" i="1"/>
  <c r="F563" i="1"/>
  <c r="E563" i="1"/>
  <c r="D563" i="1"/>
  <c r="H562" i="1"/>
  <c r="G562" i="1"/>
  <c r="F562" i="1"/>
  <c r="E562" i="1"/>
  <c r="D562" i="1"/>
  <c r="H561" i="1"/>
  <c r="G561" i="1"/>
  <c r="F561" i="1"/>
  <c r="E561" i="1"/>
  <c r="D561" i="1"/>
  <c r="H560" i="1"/>
  <c r="G560" i="1"/>
  <c r="F560" i="1"/>
  <c r="E560" i="1"/>
  <c r="D560" i="1"/>
  <c r="H559" i="1"/>
  <c r="G559" i="1"/>
  <c r="F559" i="1"/>
  <c r="E559" i="1"/>
  <c r="D559" i="1"/>
  <c r="H558" i="1"/>
  <c r="G558" i="1"/>
  <c r="F558" i="1"/>
  <c r="E558" i="1"/>
  <c r="D558" i="1"/>
  <c r="H557" i="1"/>
  <c r="G557" i="1"/>
  <c r="F557" i="1"/>
  <c r="E557" i="1"/>
  <c r="D557" i="1"/>
  <c r="H556" i="1"/>
  <c r="G556" i="1"/>
  <c r="F556" i="1"/>
  <c r="E556" i="1"/>
  <c r="D556" i="1"/>
  <c r="H555" i="1"/>
  <c r="G555" i="1"/>
  <c r="F555" i="1"/>
  <c r="E555" i="1"/>
  <c r="D555" i="1"/>
  <c r="H554" i="1"/>
  <c r="G554" i="1"/>
  <c r="F554" i="1"/>
  <c r="E554" i="1"/>
  <c r="D554" i="1"/>
  <c r="H553" i="1"/>
  <c r="G553" i="1"/>
  <c r="F553" i="1"/>
  <c r="E553" i="1"/>
  <c r="D553" i="1"/>
  <c r="H552" i="1"/>
  <c r="G552" i="1"/>
  <c r="F552" i="1"/>
  <c r="E552" i="1"/>
  <c r="D552" i="1"/>
  <c r="H551" i="1"/>
  <c r="G551" i="1"/>
  <c r="F551" i="1"/>
  <c r="E551" i="1"/>
  <c r="D551" i="1"/>
  <c r="H550" i="1"/>
  <c r="G550" i="1"/>
  <c r="F550" i="1"/>
  <c r="E550" i="1"/>
  <c r="D550" i="1"/>
  <c r="H549" i="1"/>
  <c r="G549" i="1"/>
  <c r="F549" i="1"/>
  <c r="E549" i="1"/>
  <c r="D549" i="1"/>
  <c r="H548" i="1"/>
  <c r="G548" i="1"/>
  <c r="F548" i="1"/>
  <c r="E548" i="1"/>
  <c r="D548" i="1"/>
  <c r="H547" i="1"/>
  <c r="G547" i="1"/>
  <c r="F547" i="1"/>
  <c r="E547" i="1"/>
  <c r="D547" i="1"/>
  <c r="H546" i="1"/>
  <c r="G546" i="1"/>
  <c r="F546" i="1"/>
  <c r="E546" i="1"/>
  <c r="D546" i="1"/>
  <c r="H545" i="1"/>
  <c r="G545" i="1"/>
  <c r="F545" i="1"/>
  <c r="E545" i="1"/>
  <c r="D545" i="1"/>
  <c r="H544" i="1"/>
  <c r="G544" i="1"/>
  <c r="F544" i="1"/>
  <c r="E544" i="1"/>
  <c r="D544" i="1"/>
  <c r="H543" i="1"/>
  <c r="G543" i="1"/>
  <c r="F543" i="1"/>
  <c r="E543" i="1"/>
  <c r="D543" i="1"/>
  <c r="H542" i="1"/>
  <c r="G542" i="1"/>
  <c r="F542" i="1"/>
  <c r="E542" i="1"/>
  <c r="D542" i="1"/>
  <c r="H541" i="1"/>
  <c r="G541" i="1"/>
  <c r="F541" i="1"/>
  <c r="E541" i="1"/>
  <c r="D541" i="1"/>
  <c r="H540" i="1"/>
  <c r="G540" i="1"/>
  <c r="F540" i="1"/>
  <c r="E540" i="1"/>
  <c r="D540" i="1"/>
  <c r="H539" i="1"/>
  <c r="G539" i="1"/>
  <c r="F539" i="1"/>
  <c r="E539" i="1"/>
  <c r="D539" i="1"/>
  <c r="H538" i="1"/>
  <c r="G538" i="1"/>
  <c r="F538" i="1"/>
  <c r="E538" i="1"/>
  <c r="D538" i="1"/>
  <c r="H537" i="1"/>
  <c r="G537" i="1"/>
  <c r="F537" i="1"/>
  <c r="E537" i="1"/>
  <c r="D537" i="1"/>
  <c r="H536" i="1"/>
  <c r="G536" i="1"/>
  <c r="F536" i="1"/>
  <c r="E536" i="1"/>
  <c r="D536" i="1"/>
  <c r="H535" i="1"/>
  <c r="G535" i="1"/>
  <c r="F535" i="1"/>
  <c r="E535" i="1"/>
  <c r="D535" i="1"/>
  <c r="H534" i="1"/>
  <c r="G534" i="1"/>
  <c r="F534" i="1"/>
  <c r="E534" i="1"/>
  <c r="D534" i="1"/>
  <c r="H533" i="1"/>
  <c r="G533" i="1"/>
  <c r="F533" i="1"/>
  <c r="E533" i="1"/>
  <c r="D533" i="1"/>
  <c r="H532" i="1"/>
  <c r="G532" i="1"/>
  <c r="F532" i="1"/>
  <c r="E532" i="1"/>
  <c r="D532" i="1"/>
  <c r="H531" i="1"/>
  <c r="G531" i="1"/>
  <c r="F531" i="1"/>
  <c r="E531" i="1"/>
  <c r="D531" i="1"/>
  <c r="H530" i="1"/>
  <c r="G530" i="1"/>
  <c r="F530" i="1"/>
  <c r="E530" i="1"/>
  <c r="D530" i="1"/>
  <c r="H529" i="1"/>
  <c r="G529" i="1"/>
  <c r="F529" i="1"/>
  <c r="E529" i="1"/>
  <c r="D529" i="1"/>
  <c r="H528" i="1"/>
  <c r="G528" i="1"/>
  <c r="F528" i="1"/>
  <c r="E528" i="1"/>
  <c r="D528" i="1"/>
  <c r="H527" i="1"/>
  <c r="G527" i="1"/>
  <c r="F527" i="1"/>
  <c r="E527" i="1"/>
  <c r="D527" i="1"/>
  <c r="H526" i="1"/>
  <c r="G526" i="1"/>
  <c r="F526" i="1"/>
  <c r="E526" i="1"/>
  <c r="D526" i="1"/>
  <c r="H525" i="1"/>
  <c r="G525" i="1"/>
  <c r="F525" i="1"/>
  <c r="E525" i="1"/>
  <c r="D525" i="1"/>
  <c r="H524" i="1"/>
  <c r="G524" i="1"/>
  <c r="F524" i="1"/>
  <c r="E524" i="1"/>
  <c r="D524" i="1"/>
  <c r="H523" i="1"/>
  <c r="G523" i="1"/>
  <c r="F523" i="1"/>
  <c r="E523" i="1"/>
  <c r="D523" i="1"/>
  <c r="H522" i="1"/>
  <c r="G522" i="1"/>
  <c r="F522" i="1"/>
  <c r="E522" i="1"/>
  <c r="D522" i="1"/>
  <c r="H521" i="1"/>
  <c r="G521" i="1"/>
  <c r="F521" i="1"/>
  <c r="E521" i="1"/>
  <c r="D521" i="1"/>
  <c r="H520" i="1"/>
  <c r="G520" i="1"/>
  <c r="F520" i="1"/>
  <c r="E520" i="1"/>
  <c r="D520" i="1"/>
  <c r="H519" i="1"/>
  <c r="G519" i="1"/>
  <c r="F519" i="1"/>
  <c r="E519" i="1"/>
  <c r="D519" i="1"/>
  <c r="H518" i="1"/>
  <c r="G518" i="1"/>
  <c r="F518" i="1"/>
  <c r="E518" i="1"/>
  <c r="D518" i="1"/>
  <c r="H517" i="1"/>
  <c r="G517" i="1"/>
  <c r="F517" i="1"/>
  <c r="E517" i="1"/>
  <c r="D517" i="1"/>
  <c r="H516" i="1"/>
  <c r="G516" i="1"/>
  <c r="F516" i="1"/>
  <c r="E516" i="1"/>
  <c r="D516" i="1"/>
  <c r="H515" i="1"/>
  <c r="G515" i="1"/>
  <c r="F515" i="1"/>
  <c r="E515" i="1"/>
  <c r="D515" i="1"/>
  <c r="H514" i="1"/>
  <c r="G514" i="1"/>
  <c r="F514" i="1"/>
  <c r="E514" i="1"/>
  <c r="D514" i="1"/>
  <c r="H513" i="1"/>
  <c r="G513" i="1"/>
  <c r="F513" i="1"/>
  <c r="E513" i="1"/>
  <c r="D513" i="1"/>
  <c r="H512" i="1"/>
  <c r="G512" i="1"/>
  <c r="F512" i="1"/>
  <c r="E512" i="1"/>
  <c r="D512" i="1"/>
  <c r="H511" i="1"/>
  <c r="G511" i="1"/>
  <c r="F511" i="1"/>
  <c r="E511" i="1"/>
  <c r="D511" i="1"/>
  <c r="H510" i="1"/>
  <c r="G510" i="1"/>
  <c r="F510" i="1"/>
  <c r="E510" i="1"/>
  <c r="D510" i="1"/>
  <c r="H509" i="1"/>
  <c r="G509" i="1"/>
  <c r="F509" i="1"/>
  <c r="E509" i="1"/>
  <c r="D509" i="1"/>
  <c r="H508" i="1"/>
  <c r="G508" i="1"/>
  <c r="F508" i="1"/>
  <c r="E508" i="1"/>
  <c r="D508" i="1"/>
  <c r="H507" i="1"/>
  <c r="G507" i="1"/>
  <c r="F507" i="1"/>
  <c r="E507" i="1"/>
  <c r="D507" i="1"/>
  <c r="H506" i="1"/>
  <c r="G506" i="1"/>
  <c r="F506" i="1"/>
  <c r="E506" i="1"/>
  <c r="D506" i="1"/>
  <c r="H505" i="1"/>
  <c r="G505" i="1"/>
  <c r="F505" i="1"/>
  <c r="E505" i="1"/>
  <c r="D505" i="1"/>
  <c r="H504" i="1"/>
  <c r="G504" i="1"/>
  <c r="F504" i="1"/>
  <c r="E504" i="1"/>
  <c r="D504" i="1"/>
  <c r="H503" i="1"/>
  <c r="G503" i="1"/>
  <c r="F503" i="1"/>
  <c r="E503" i="1"/>
  <c r="D503" i="1"/>
  <c r="H502" i="1"/>
  <c r="G502" i="1"/>
  <c r="F502" i="1"/>
  <c r="E502" i="1"/>
  <c r="D502" i="1"/>
  <c r="H501" i="1"/>
  <c r="G501" i="1"/>
  <c r="F501" i="1"/>
  <c r="E501" i="1"/>
  <c r="D501" i="1"/>
  <c r="H500" i="1"/>
  <c r="G500" i="1"/>
  <c r="F500" i="1"/>
  <c r="E500" i="1"/>
  <c r="D500" i="1"/>
  <c r="H499" i="1"/>
  <c r="G499" i="1"/>
  <c r="F499" i="1"/>
  <c r="E499" i="1"/>
  <c r="D499" i="1"/>
  <c r="H498" i="1"/>
  <c r="G498" i="1"/>
  <c r="F498" i="1"/>
  <c r="E498" i="1"/>
  <c r="D498" i="1"/>
  <c r="H497" i="1"/>
  <c r="G497" i="1"/>
  <c r="F497" i="1"/>
  <c r="E497" i="1"/>
  <c r="D497" i="1"/>
  <c r="H496" i="1"/>
  <c r="G496" i="1"/>
  <c r="F496" i="1"/>
  <c r="E496" i="1"/>
  <c r="D496" i="1"/>
  <c r="H495" i="1"/>
  <c r="G495" i="1"/>
  <c r="F495" i="1"/>
  <c r="E495" i="1"/>
  <c r="D495" i="1"/>
  <c r="H494" i="1"/>
  <c r="G494" i="1"/>
  <c r="F494" i="1"/>
  <c r="E494" i="1"/>
  <c r="D494" i="1"/>
  <c r="H493" i="1"/>
  <c r="G493" i="1"/>
  <c r="F493" i="1"/>
  <c r="E493" i="1"/>
  <c r="D493" i="1"/>
  <c r="H492" i="1"/>
  <c r="G492" i="1"/>
  <c r="F492" i="1"/>
  <c r="E492" i="1"/>
  <c r="D492" i="1"/>
  <c r="H491" i="1"/>
  <c r="G491" i="1"/>
  <c r="F491" i="1"/>
  <c r="E491" i="1"/>
  <c r="D491" i="1"/>
  <c r="H490" i="1"/>
  <c r="G490" i="1"/>
  <c r="F490" i="1"/>
  <c r="E490" i="1"/>
  <c r="D490" i="1"/>
  <c r="H489" i="1"/>
  <c r="G489" i="1"/>
  <c r="F489" i="1"/>
  <c r="E489" i="1"/>
  <c r="D489" i="1"/>
  <c r="H488" i="1"/>
  <c r="G488" i="1"/>
  <c r="F488" i="1"/>
  <c r="E488" i="1"/>
  <c r="D488" i="1"/>
  <c r="H487" i="1"/>
  <c r="G487" i="1"/>
  <c r="F487" i="1"/>
  <c r="E487" i="1"/>
  <c r="D487" i="1"/>
  <c r="H486" i="1"/>
  <c r="G486" i="1"/>
  <c r="F486" i="1"/>
  <c r="E486" i="1"/>
  <c r="D486" i="1"/>
  <c r="H485" i="1"/>
  <c r="G485" i="1"/>
  <c r="F485" i="1"/>
  <c r="E485" i="1"/>
  <c r="D485" i="1"/>
  <c r="H484" i="1"/>
  <c r="G484" i="1"/>
  <c r="F484" i="1"/>
  <c r="E484" i="1"/>
  <c r="D484" i="1"/>
  <c r="H483" i="1"/>
  <c r="G483" i="1"/>
  <c r="F483" i="1"/>
  <c r="E483" i="1"/>
  <c r="D483" i="1"/>
  <c r="H482" i="1"/>
  <c r="G482" i="1"/>
  <c r="F482" i="1"/>
  <c r="E482" i="1"/>
  <c r="D482" i="1"/>
  <c r="H481" i="1"/>
  <c r="G481" i="1"/>
  <c r="F481" i="1"/>
  <c r="E481" i="1"/>
  <c r="D481" i="1"/>
  <c r="H480" i="1"/>
  <c r="G480" i="1"/>
  <c r="F480" i="1"/>
  <c r="E480" i="1"/>
  <c r="D480" i="1"/>
  <c r="H479" i="1"/>
  <c r="G479" i="1"/>
  <c r="F479" i="1"/>
  <c r="E479" i="1"/>
  <c r="D479" i="1"/>
  <c r="H478" i="1"/>
  <c r="G478" i="1"/>
  <c r="F478" i="1"/>
  <c r="E478" i="1"/>
  <c r="D478" i="1"/>
  <c r="H477" i="1"/>
  <c r="G477" i="1"/>
  <c r="F477" i="1"/>
  <c r="E477" i="1"/>
  <c r="D477" i="1"/>
  <c r="H476" i="1"/>
  <c r="G476" i="1"/>
  <c r="F476" i="1"/>
  <c r="E476" i="1"/>
  <c r="D476" i="1"/>
  <c r="H475" i="1"/>
  <c r="G475" i="1"/>
  <c r="F475" i="1"/>
  <c r="E475" i="1"/>
  <c r="D475" i="1"/>
  <c r="H474" i="1"/>
  <c r="G474" i="1"/>
  <c r="F474" i="1"/>
  <c r="E474" i="1"/>
  <c r="D474" i="1"/>
  <c r="H473" i="1"/>
  <c r="G473" i="1"/>
  <c r="F473" i="1"/>
  <c r="E473" i="1"/>
  <c r="D473" i="1"/>
  <c r="H472" i="1"/>
  <c r="G472" i="1"/>
  <c r="F472" i="1"/>
  <c r="E472" i="1"/>
  <c r="D472" i="1"/>
  <c r="H471" i="1"/>
  <c r="G471" i="1"/>
  <c r="F471" i="1"/>
  <c r="E471" i="1"/>
  <c r="D471" i="1"/>
  <c r="H470" i="1"/>
  <c r="G470" i="1"/>
  <c r="F470" i="1"/>
  <c r="E470" i="1"/>
  <c r="D470" i="1"/>
  <c r="H469" i="1"/>
  <c r="G469" i="1"/>
  <c r="F469" i="1"/>
  <c r="E469" i="1"/>
  <c r="D469" i="1"/>
  <c r="H468" i="1"/>
  <c r="G468" i="1"/>
  <c r="F468" i="1"/>
  <c r="E468" i="1"/>
  <c r="D468" i="1"/>
  <c r="H467" i="1"/>
  <c r="G467" i="1"/>
  <c r="F467" i="1"/>
  <c r="E467" i="1"/>
  <c r="D467" i="1"/>
  <c r="H466" i="1"/>
  <c r="G466" i="1"/>
  <c r="F466" i="1"/>
  <c r="E466" i="1"/>
  <c r="D466" i="1"/>
  <c r="H465" i="1"/>
  <c r="G465" i="1"/>
  <c r="F465" i="1"/>
  <c r="E465" i="1"/>
  <c r="D465" i="1"/>
  <c r="H464" i="1"/>
  <c r="G464" i="1"/>
  <c r="F464" i="1"/>
  <c r="E464" i="1"/>
  <c r="D464" i="1"/>
  <c r="H463" i="1"/>
  <c r="G463" i="1"/>
  <c r="F463" i="1"/>
  <c r="E463" i="1"/>
  <c r="D463" i="1"/>
  <c r="H462" i="1"/>
  <c r="G462" i="1"/>
  <c r="F462" i="1"/>
  <c r="E462" i="1"/>
  <c r="D462" i="1"/>
  <c r="H461" i="1"/>
  <c r="G461" i="1"/>
  <c r="F461" i="1"/>
  <c r="E461" i="1"/>
  <c r="D461" i="1"/>
  <c r="H460" i="1"/>
  <c r="G460" i="1"/>
  <c r="F460" i="1"/>
  <c r="E460" i="1"/>
  <c r="D460" i="1"/>
  <c r="H459" i="1"/>
  <c r="G459" i="1"/>
  <c r="F459" i="1"/>
  <c r="E459" i="1"/>
  <c r="D459" i="1"/>
  <c r="H458" i="1"/>
  <c r="G458" i="1"/>
  <c r="F458" i="1"/>
  <c r="E458" i="1"/>
  <c r="D458" i="1"/>
  <c r="H457" i="1"/>
  <c r="G457" i="1"/>
  <c r="F457" i="1"/>
  <c r="E457" i="1"/>
  <c r="D457" i="1"/>
  <c r="H456" i="1"/>
  <c r="G456" i="1"/>
  <c r="F456" i="1"/>
  <c r="E456" i="1"/>
  <c r="D456" i="1"/>
  <c r="H455" i="1"/>
  <c r="G455" i="1"/>
  <c r="F455" i="1"/>
  <c r="E455" i="1"/>
  <c r="D455" i="1"/>
  <c r="H454" i="1"/>
  <c r="G454" i="1"/>
  <c r="F454" i="1"/>
  <c r="E454" i="1"/>
  <c r="D454" i="1"/>
  <c r="H453" i="1"/>
  <c r="G453" i="1"/>
  <c r="F453" i="1"/>
  <c r="E453" i="1"/>
  <c r="D453" i="1"/>
  <c r="H452" i="1"/>
  <c r="G452" i="1"/>
  <c r="F452" i="1"/>
  <c r="E452" i="1"/>
  <c r="D452" i="1"/>
  <c r="H451" i="1"/>
  <c r="G451" i="1"/>
  <c r="F451" i="1"/>
  <c r="E451" i="1"/>
  <c r="D451" i="1"/>
  <c r="H450" i="1"/>
  <c r="G450" i="1"/>
  <c r="F450" i="1"/>
  <c r="E450" i="1"/>
  <c r="D450" i="1"/>
  <c r="H449" i="1"/>
  <c r="G449" i="1"/>
  <c r="F449" i="1"/>
  <c r="E449" i="1"/>
  <c r="D449" i="1"/>
  <c r="H448" i="1"/>
  <c r="G448" i="1"/>
  <c r="F448" i="1"/>
  <c r="E448" i="1"/>
  <c r="D448" i="1"/>
  <c r="H447" i="1"/>
  <c r="G447" i="1"/>
  <c r="F447" i="1"/>
  <c r="E447" i="1"/>
  <c r="D447" i="1"/>
  <c r="H446" i="1"/>
  <c r="G446" i="1"/>
  <c r="F446" i="1"/>
  <c r="E446" i="1"/>
  <c r="D446" i="1"/>
  <c r="H445" i="1"/>
  <c r="G445" i="1"/>
  <c r="F445" i="1"/>
  <c r="E445" i="1"/>
  <c r="D445" i="1"/>
  <c r="H444" i="1"/>
  <c r="G444" i="1"/>
  <c r="F444" i="1"/>
  <c r="E444" i="1"/>
  <c r="D444" i="1"/>
  <c r="H443" i="1"/>
  <c r="G443" i="1"/>
  <c r="F443" i="1"/>
  <c r="E443" i="1"/>
  <c r="D443" i="1"/>
  <c r="H442" i="1"/>
  <c r="G442" i="1"/>
  <c r="F442" i="1"/>
  <c r="E442" i="1"/>
  <c r="D442" i="1"/>
  <c r="H441" i="1"/>
  <c r="G441" i="1"/>
  <c r="F441" i="1"/>
  <c r="E441" i="1"/>
  <c r="D441" i="1"/>
  <c r="H440" i="1"/>
  <c r="G440" i="1"/>
  <c r="F440" i="1"/>
  <c r="E440" i="1"/>
  <c r="D440" i="1"/>
  <c r="H439" i="1"/>
  <c r="G439" i="1"/>
  <c r="F439" i="1"/>
  <c r="E439" i="1"/>
  <c r="D439" i="1"/>
  <c r="H438" i="1"/>
  <c r="G438" i="1"/>
  <c r="F438" i="1"/>
  <c r="E438" i="1"/>
  <c r="D438" i="1"/>
  <c r="H437" i="1"/>
  <c r="G437" i="1"/>
  <c r="F437" i="1"/>
  <c r="E437" i="1"/>
  <c r="D437" i="1"/>
  <c r="H436" i="1"/>
  <c r="G436" i="1"/>
  <c r="F436" i="1"/>
  <c r="E436" i="1"/>
  <c r="D436" i="1"/>
  <c r="H435" i="1"/>
  <c r="G435" i="1"/>
  <c r="F435" i="1"/>
  <c r="E435" i="1"/>
  <c r="D435" i="1"/>
  <c r="H434" i="1"/>
  <c r="G434" i="1"/>
  <c r="F434" i="1"/>
  <c r="E434" i="1"/>
  <c r="D434" i="1"/>
  <c r="H433" i="1"/>
  <c r="G433" i="1"/>
  <c r="F433" i="1"/>
  <c r="E433" i="1"/>
  <c r="D433" i="1"/>
  <c r="H432" i="1"/>
  <c r="G432" i="1"/>
  <c r="F432" i="1"/>
  <c r="E432" i="1"/>
  <c r="D432" i="1"/>
  <c r="H431" i="1"/>
  <c r="G431" i="1"/>
  <c r="F431" i="1"/>
  <c r="E431" i="1"/>
  <c r="D431" i="1"/>
  <c r="H430" i="1"/>
  <c r="G430" i="1"/>
  <c r="F430" i="1"/>
  <c r="E430" i="1"/>
  <c r="D430" i="1"/>
  <c r="H429" i="1"/>
  <c r="G429" i="1"/>
  <c r="F429" i="1"/>
  <c r="E429" i="1"/>
  <c r="D429" i="1"/>
  <c r="H428" i="1"/>
  <c r="G428" i="1"/>
  <c r="F428" i="1"/>
  <c r="E428" i="1"/>
  <c r="D428" i="1"/>
  <c r="H427" i="1"/>
  <c r="G427" i="1"/>
  <c r="F427" i="1"/>
  <c r="E427" i="1"/>
  <c r="D427" i="1"/>
  <c r="H426" i="1"/>
  <c r="G426" i="1"/>
  <c r="F426" i="1"/>
  <c r="E426" i="1"/>
  <c r="D426" i="1"/>
  <c r="H425" i="1"/>
  <c r="G425" i="1"/>
  <c r="F425" i="1"/>
  <c r="E425" i="1"/>
  <c r="D425" i="1"/>
  <c r="H424" i="1"/>
  <c r="G424" i="1"/>
  <c r="F424" i="1"/>
  <c r="E424" i="1"/>
  <c r="D424" i="1"/>
  <c r="H423" i="1"/>
  <c r="G423" i="1"/>
  <c r="F423" i="1"/>
  <c r="E423" i="1"/>
  <c r="D423" i="1"/>
  <c r="H422" i="1"/>
  <c r="G422" i="1"/>
  <c r="F422" i="1"/>
  <c r="E422" i="1"/>
  <c r="D422" i="1"/>
  <c r="H421" i="1"/>
  <c r="G421" i="1"/>
  <c r="F421" i="1"/>
  <c r="E421" i="1"/>
  <c r="D421" i="1"/>
  <c r="H420" i="1"/>
  <c r="G420" i="1"/>
  <c r="F420" i="1"/>
  <c r="E420" i="1"/>
  <c r="D420" i="1"/>
  <c r="H419" i="1"/>
  <c r="G419" i="1"/>
  <c r="F419" i="1"/>
  <c r="E419" i="1"/>
  <c r="D419" i="1"/>
  <c r="H418" i="1"/>
  <c r="G418" i="1"/>
  <c r="F418" i="1"/>
  <c r="E418" i="1"/>
  <c r="D418" i="1"/>
  <c r="H417" i="1"/>
  <c r="G417" i="1"/>
  <c r="F417" i="1"/>
  <c r="E417" i="1"/>
  <c r="D417" i="1"/>
  <c r="H416" i="1"/>
  <c r="G416" i="1"/>
  <c r="F416" i="1"/>
  <c r="E416" i="1"/>
  <c r="D416" i="1"/>
  <c r="H415" i="1"/>
  <c r="G415" i="1"/>
  <c r="F415" i="1"/>
  <c r="E415" i="1"/>
  <c r="D415" i="1"/>
  <c r="H414" i="1"/>
  <c r="G414" i="1"/>
  <c r="F414" i="1"/>
  <c r="E414" i="1"/>
  <c r="D414" i="1"/>
  <c r="H413" i="1"/>
  <c r="G413" i="1"/>
  <c r="F413" i="1"/>
  <c r="E413" i="1"/>
  <c r="D413" i="1"/>
  <c r="H412" i="1"/>
  <c r="G412" i="1"/>
  <c r="F412" i="1"/>
  <c r="E412" i="1"/>
  <c r="D412" i="1"/>
  <c r="H411" i="1"/>
  <c r="G411" i="1"/>
  <c r="F411" i="1"/>
  <c r="E411" i="1"/>
  <c r="D411" i="1"/>
  <c r="H410" i="1"/>
  <c r="G410" i="1"/>
  <c r="F410" i="1"/>
  <c r="E410" i="1"/>
  <c r="D410" i="1"/>
  <c r="H409" i="1"/>
  <c r="G409" i="1"/>
  <c r="F409" i="1"/>
  <c r="E409" i="1"/>
  <c r="D409" i="1"/>
  <c r="H408" i="1"/>
  <c r="G408" i="1"/>
  <c r="F408" i="1"/>
  <c r="E408" i="1"/>
  <c r="D408" i="1"/>
  <c r="H407" i="1"/>
  <c r="G407" i="1"/>
  <c r="F407" i="1"/>
  <c r="D407" i="1"/>
  <c r="H406" i="1"/>
  <c r="G406" i="1"/>
  <c r="F406" i="1"/>
  <c r="D406" i="1"/>
  <c r="H405" i="1"/>
  <c r="G405" i="1"/>
  <c r="F405" i="1"/>
  <c r="D405" i="1"/>
  <c r="H404" i="1"/>
  <c r="G404" i="1"/>
  <c r="F404" i="1"/>
  <c r="E404" i="1"/>
  <c r="D404" i="1"/>
  <c r="H403" i="1"/>
  <c r="G403" i="1"/>
  <c r="F403" i="1"/>
  <c r="E403" i="1"/>
  <c r="D403" i="1"/>
  <c r="H402" i="1"/>
  <c r="G402" i="1"/>
  <c r="F402" i="1"/>
  <c r="E402" i="1"/>
  <c r="D402" i="1"/>
  <c r="H401" i="1"/>
  <c r="G401" i="1"/>
  <c r="F401" i="1"/>
  <c r="E401" i="1"/>
  <c r="D401" i="1"/>
  <c r="H400" i="1"/>
  <c r="G400" i="1"/>
  <c r="F400" i="1"/>
  <c r="E400" i="1"/>
  <c r="D400" i="1"/>
  <c r="H399" i="1"/>
  <c r="G399" i="1"/>
  <c r="F399" i="1"/>
  <c r="E399" i="1"/>
  <c r="D399" i="1"/>
  <c r="H398" i="1"/>
  <c r="G398" i="1"/>
  <c r="F398" i="1"/>
  <c r="E398" i="1"/>
  <c r="D398" i="1"/>
  <c r="H397" i="1"/>
  <c r="G397" i="1"/>
  <c r="F397" i="1"/>
  <c r="E397" i="1"/>
  <c r="D397" i="1"/>
  <c r="H396" i="1"/>
  <c r="G396" i="1"/>
  <c r="F396" i="1"/>
  <c r="E396" i="1"/>
  <c r="D396" i="1"/>
  <c r="H395" i="1"/>
  <c r="G395" i="1"/>
  <c r="F395" i="1"/>
  <c r="E395" i="1"/>
  <c r="D395" i="1"/>
  <c r="H394" i="1"/>
  <c r="G394" i="1"/>
  <c r="F394" i="1"/>
  <c r="E394" i="1"/>
  <c r="D394" i="1"/>
  <c r="H393" i="1"/>
  <c r="G393" i="1"/>
  <c r="F393" i="1"/>
  <c r="E393" i="1"/>
  <c r="D393" i="1"/>
  <c r="H392" i="1"/>
  <c r="G392" i="1"/>
  <c r="F392" i="1"/>
  <c r="E392" i="1"/>
  <c r="D392" i="1"/>
  <c r="H391" i="1"/>
  <c r="G391" i="1"/>
  <c r="F391" i="1"/>
  <c r="E391" i="1"/>
  <c r="D391" i="1"/>
  <c r="H390" i="1"/>
  <c r="G390" i="1"/>
  <c r="F390" i="1"/>
  <c r="E390" i="1"/>
  <c r="D390" i="1"/>
  <c r="H389" i="1"/>
  <c r="G389" i="1"/>
  <c r="F389" i="1"/>
  <c r="E389" i="1"/>
  <c r="D389" i="1"/>
  <c r="H388" i="1"/>
  <c r="G388" i="1"/>
  <c r="F388" i="1"/>
  <c r="E388" i="1"/>
  <c r="D388" i="1"/>
  <c r="H387" i="1"/>
  <c r="G387" i="1"/>
  <c r="F387" i="1"/>
  <c r="E387" i="1"/>
  <c r="D387" i="1"/>
  <c r="H386" i="1"/>
  <c r="G386" i="1"/>
  <c r="F386" i="1"/>
  <c r="E386" i="1"/>
  <c r="D386" i="1"/>
  <c r="H385" i="1"/>
  <c r="G385" i="1"/>
  <c r="F385" i="1"/>
  <c r="E385" i="1"/>
  <c r="D385" i="1"/>
  <c r="H384" i="1"/>
  <c r="G384" i="1"/>
  <c r="F384" i="1"/>
  <c r="E384" i="1"/>
  <c r="D384" i="1"/>
  <c r="H383" i="1"/>
  <c r="G383" i="1"/>
  <c r="F383" i="1"/>
  <c r="E383" i="1"/>
  <c r="D383" i="1"/>
  <c r="H382" i="1"/>
  <c r="G382" i="1"/>
  <c r="F382" i="1"/>
  <c r="E382" i="1"/>
  <c r="D382" i="1"/>
  <c r="H381" i="1"/>
  <c r="G381" i="1"/>
  <c r="F381" i="1"/>
  <c r="E381" i="1"/>
  <c r="D381" i="1"/>
  <c r="H380" i="1"/>
  <c r="G380" i="1"/>
  <c r="F380" i="1"/>
  <c r="E380" i="1"/>
  <c r="D380" i="1"/>
  <c r="H379" i="1"/>
  <c r="G379" i="1"/>
  <c r="F379" i="1"/>
  <c r="E379" i="1"/>
  <c r="D379" i="1"/>
  <c r="H378" i="1"/>
  <c r="G378" i="1"/>
  <c r="F378" i="1"/>
  <c r="E378" i="1"/>
  <c r="D378" i="1"/>
  <c r="H377" i="1"/>
  <c r="G377" i="1"/>
  <c r="F377" i="1"/>
  <c r="E377" i="1"/>
  <c r="D377" i="1"/>
  <c r="H376" i="1"/>
  <c r="G376" i="1"/>
  <c r="F376" i="1"/>
  <c r="E376" i="1"/>
  <c r="D376" i="1"/>
  <c r="H375" i="1"/>
  <c r="G375" i="1"/>
  <c r="F375" i="1"/>
  <c r="E375" i="1"/>
  <c r="D375" i="1"/>
  <c r="H374" i="1"/>
  <c r="G374" i="1"/>
  <c r="F374" i="1"/>
  <c r="E374" i="1"/>
  <c r="D374" i="1"/>
  <c r="H373" i="1"/>
  <c r="G373" i="1"/>
  <c r="F373" i="1"/>
  <c r="E373" i="1"/>
  <c r="D373" i="1"/>
  <c r="H372" i="1"/>
  <c r="G372" i="1"/>
  <c r="F372" i="1"/>
  <c r="E372" i="1"/>
  <c r="D372" i="1"/>
  <c r="H371" i="1"/>
  <c r="G371" i="1"/>
  <c r="F371" i="1"/>
  <c r="E371" i="1"/>
  <c r="D371" i="1"/>
  <c r="H370" i="1"/>
  <c r="G370" i="1"/>
  <c r="F370" i="1"/>
  <c r="E370" i="1"/>
  <c r="D370" i="1"/>
  <c r="H369" i="1"/>
  <c r="G369" i="1"/>
  <c r="F369" i="1"/>
  <c r="E369" i="1"/>
  <c r="D369" i="1"/>
  <c r="H368" i="1"/>
  <c r="G368" i="1"/>
  <c r="F368" i="1"/>
  <c r="E368" i="1"/>
  <c r="D368" i="1"/>
  <c r="H367" i="1"/>
  <c r="G367" i="1"/>
  <c r="F367" i="1"/>
  <c r="E367" i="1"/>
  <c r="D367" i="1"/>
  <c r="H366" i="1"/>
  <c r="G366" i="1"/>
  <c r="F366" i="1"/>
  <c r="E366" i="1"/>
  <c r="D366" i="1"/>
  <c r="H365" i="1"/>
  <c r="G365" i="1"/>
  <c r="F365" i="1"/>
  <c r="E365" i="1"/>
  <c r="D365" i="1"/>
  <c r="H364" i="1"/>
  <c r="G364" i="1"/>
  <c r="F364" i="1"/>
  <c r="E364" i="1"/>
  <c r="D364" i="1"/>
  <c r="H363" i="1"/>
  <c r="G363" i="1"/>
  <c r="F363" i="1"/>
  <c r="E363" i="1"/>
  <c r="D363" i="1"/>
  <c r="H362" i="1"/>
  <c r="G362" i="1"/>
  <c r="F362" i="1"/>
  <c r="E362" i="1"/>
  <c r="D362" i="1"/>
  <c r="H361" i="1"/>
  <c r="G361" i="1"/>
  <c r="F361" i="1"/>
  <c r="E361" i="1"/>
  <c r="D361" i="1"/>
  <c r="H360" i="1"/>
  <c r="G360" i="1"/>
  <c r="F360" i="1"/>
  <c r="E360" i="1"/>
  <c r="D360" i="1"/>
  <c r="H359" i="1"/>
  <c r="G359" i="1"/>
  <c r="F359" i="1"/>
  <c r="E359" i="1"/>
  <c r="D359" i="1"/>
  <c r="H358" i="1"/>
  <c r="G358" i="1"/>
  <c r="F358" i="1"/>
  <c r="E358" i="1"/>
  <c r="D358" i="1"/>
  <c r="H357" i="1"/>
  <c r="G357" i="1"/>
  <c r="F357" i="1"/>
  <c r="E357" i="1"/>
  <c r="D357" i="1"/>
  <c r="H356" i="1"/>
  <c r="G356" i="1"/>
  <c r="F356" i="1"/>
  <c r="E356" i="1"/>
  <c r="D356" i="1"/>
  <c r="H355" i="1"/>
  <c r="G355" i="1"/>
  <c r="F355" i="1"/>
  <c r="E355" i="1"/>
  <c r="D355" i="1"/>
  <c r="H354" i="1"/>
  <c r="G354" i="1"/>
  <c r="F354" i="1"/>
  <c r="E354" i="1"/>
  <c r="D354" i="1"/>
  <c r="H353" i="1"/>
  <c r="G353" i="1"/>
  <c r="F353" i="1"/>
  <c r="E353" i="1"/>
  <c r="D353" i="1"/>
  <c r="H352" i="1"/>
  <c r="G352" i="1"/>
  <c r="F352" i="1"/>
  <c r="E352" i="1"/>
  <c r="D352" i="1"/>
  <c r="H351" i="1"/>
  <c r="G351" i="1"/>
  <c r="F351" i="1"/>
  <c r="E351" i="1"/>
  <c r="D351" i="1"/>
  <c r="H350" i="1"/>
  <c r="G350" i="1"/>
  <c r="F350" i="1"/>
  <c r="E350" i="1"/>
  <c r="D350" i="1"/>
  <c r="H349" i="1"/>
  <c r="G349" i="1"/>
  <c r="F349" i="1"/>
  <c r="E349" i="1"/>
  <c r="D349" i="1"/>
  <c r="H348" i="1"/>
  <c r="G348" i="1"/>
  <c r="F348" i="1"/>
  <c r="E348" i="1"/>
  <c r="D348" i="1"/>
  <c r="H347" i="1"/>
  <c r="G347" i="1"/>
  <c r="F347" i="1"/>
  <c r="E347" i="1"/>
  <c r="D347" i="1"/>
  <c r="H346" i="1"/>
  <c r="G346" i="1"/>
  <c r="F346" i="1"/>
  <c r="E346" i="1"/>
  <c r="D346" i="1"/>
  <c r="H345" i="1"/>
  <c r="G345" i="1"/>
  <c r="F345" i="1"/>
  <c r="E345" i="1"/>
  <c r="D345" i="1"/>
  <c r="H344" i="1"/>
  <c r="G344" i="1"/>
  <c r="F344" i="1"/>
  <c r="E344" i="1"/>
  <c r="D344" i="1"/>
  <c r="H343" i="1"/>
  <c r="G343" i="1"/>
  <c r="F343" i="1"/>
  <c r="E343" i="1"/>
  <c r="D343" i="1"/>
  <c r="H342" i="1"/>
  <c r="G342" i="1"/>
  <c r="F342" i="1"/>
  <c r="E342" i="1"/>
  <c r="D342" i="1"/>
  <c r="H341" i="1"/>
  <c r="G341" i="1"/>
  <c r="F341" i="1"/>
  <c r="E341" i="1"/>
  <c r="D341" i="1"/>
  <c r="H340" i="1"/>
  <c r="G340" i="1"/>
  <c r="F340" i="1"/>
  <c r="E340" i="1"/>
  <c r="D340" i="1"/>
  <c r="H339" i="1"/>
  <c r="G339" i="1"/>
  <c r="F339" i="1"/>
  <c r="E339" i="1"/>
  <c r="D339" i="1"/>
  <c r="H338" i="1"/>
  <c r="G338" i="1"/>
  <c r="F338" i="1"/>
  <c r="E338" i="1"/>
  <c r="D338" i="1"/>
  <c r="H337" i="1"/>
  <c r="G337" i="1"/>
  <c r="F337" i="1"/>
  <c r="E337" i="1"/>
  <c r="D337" i="1"/>
  <c r="H336" i="1"/>
  <c r="G336" i="1"/>
  <c r="F336" i="1"/>
  <c r="E336" i="1"/>
  <c r="D336" i="1"/>
  <c r="H335" i="1"/>
  <c r="G335" i="1"/>
  <c r="F335" i="1"/>
  <c r="E335" i="1"/>
  <c r="D335" i="1"/>
  <c r="H334" i="1"/>
  <c r="G334" i="1"/>
  <c r="F334" i="1"/>
  <c r="E334" i="1"/>
  <c r="D334" i="1"/>
  <c r="H333" i="1"/>
  <c r="G333" i="1"/>
  <c r="F333" i="1"/>
  <c r="E333" i="1"/>
  <c r="D333" i="1"/>
  <c r="H332" i="1"/>
  <c r="G332" i="1"/>
  <c r="F332" i="1"/>
  <c r="E332" i="1"/>
  <c r="D332" i="1"/>
  <c r="H331" i="1"/>
  <c r="G331" i="1"/>
  <c r="F331" i="1"/>
  <c r="E331" i="1"/>
  <c r="D331" i="1"/>
  <c r="H330" i="1"/>
  <c r="G330" i="1"/>
  <c r="F330" i="1"/>
  <c r="E330" i="1"/>
  <c r="D330" i="1"/>
  <c r="H329" i="1"/>
  <c r="G329" i="1"/>
  <c r="F329" i="1"/>
  <c r="E329" i="1"/>
  <c r="D329" i="1"/>
  <c r="H328" i="1"/>
  <c r="G328" i="1"/>
  <c r="F328" i="1"/>
  <c r="E328" i="1"/>
  <c r="D328" i="1"/>
  <c r="H327" i="1"/>
  <c r="G327" i="1"/>
  <c r="F327" i="1"/>
  <c r="E327" i="1"/>
  <c r="D327" i="1"/>
  <c r="H326" i="1"/>
  <c r="G326" i="1"/>
  <c r="F326" i="1"/>
  <c r="E326" i="1"/>
  <c r="D326" i="1"/>
  <c r="H325" i="1"/>
  <c r="G325" i="1"/>
  <c r="F325" i="1"/>
  <c r="E325" i="1"/>
  <c r="D325" i="1"/>
  <c r="H324" i="1"/>
  <c r="G324" i="1"/>
  <c r="F324" i="1"/>
  <c r="E324" i="1"/>
  <c r="D324" i="1"/>
  <c r="H323" i="1"/>
  <c r="G323" i="1"/>
  <c r="F323" i="1"/>
  <c r="E323" i="1"/>
  <c r="D323" i="1"/>
  <c r="H322" i="1"/>
  <c r="G322" i="1"/>
  <c r="F322" i="1"/>
  <c r="E322" i="1"/>
  <c r="D322" i="1"/>
  <c r="H321" i="1"/>
  <c r="G321" i="1"/>
  <c r="F321" i="1"/>
  <c r="E321" i="1"/>
  <c r="D321" i="1"/>
  <c r="H320" i="1"/>
  <c r="G320" i="1"/>
  <c r="F320" i="1"/>
  <c r="E320" i="1"/>
  <c r="D320" i="1"/>
  <c r="H319" i="1"/>
  <c r="G319" i="1"/>
  <c r="F319" i="1"/>
  <c r="E319" i="1"/>
  <c r="D319" i="1"/>
  <c r="H318" i="1"/>
  <c r="G318" i="1"/>
  <c r="F318" i="1"/>
  <c r="E318" i="1"/>
  <c r="D318" i="1"/>
  <c r="H317" i="1"/>
  <c r="G317" i="1"/>
  <c r="F317" i="1"/>
  <c r="E317" i="1"/>
  <c r="D317" i="1"/>
  <c r="H316" i="1"/>
  <c r="G316" i="1"/>
  <c r="F316" i="1"/>
  <c r="E316" i="1"/>
  <c r="D316" i="1"/>
  <c r="H315" i="1"/>
  <c r="G315" i="1"/>
  <c r="F315" i="1"/>
  <c r="E315" i="1"/>
  <c r="D315" i="1"/>
  <c r="H314" i="1"/>
  <c r="G314" i="1"/>
  <c r="F314" i="1"/>
  <c r="E314" i="1"/>
  <c r="D314" i="1"/>
  <c r="H313" i="1"/>
  <c r="G313" i="1"/>
  <c r="F313" i="1"/>
  <c r="E313" i="1"/>
  <c r="D313" i="1"/>
  <c r="H312" i="1"/>
  <c r="G312" i="1"/>
  <c r="F312" i="1"/>
  <c r="E312" i="1"/>
  <c r="D312" i="1"/>
  <c r="H311" i="1"/>
  <c r="G311" i="1"/>
  <c r="F311" i="1"/>
  <c r="E311" i="1"/>
  <c r="D311" i="1"/>
  <c r="H310" i="1"/>
  <c r="G310" i="1"/>
  <c r="F310" i="1"/>
  <c r="E310" i="1"/>
  <c r="D310" i="1"/>
  <c r="H309" i="1"/>
  <c r="G309" i="1"/>
  <c r="F309" i="1"/>
  <c r="E309" i="1"/>
  <c r="D309" i="1"/>
  <c r="H308" i="1"/>
  <c r="G308" i="1"/>
  <c r="F308" i="1"/>
  <c r="E308" i="1"/>
  <c r="D308" i="1"/>
  <c r="H307" i="1"/>
  <c r="G307" i="1"/>
  <c r="F307" i="1"/>
  <c r="E307" i="1"/>
  <c r="D307" i="1"/>
  <c r="H306" i="1"/>
  <c r="G306" i="1"/>
  <c r="F306" i="1"/>
  <c r="E306" i="1"/>
  <c r="D306" i="1"/>
  <c r="H305" i="1"/>
  <c r="G305" i="1"/>
  <c r="F305" i="1"/>
  <c r="E305" i="1"/>
  <c r="D305" i="1"/>
  <c r="H304" i="1"/>
  <c r="G304" i="1"/>
  <c r="F304" i="1"/>
  <c r="E304" i="1"/>
  <c r="D304" i="1"/>
  <c r="H303" i="1"/>
  <c r="G303" i="1"/>
  <c r="F303" i="1"/>
  <c r="E303" i="1"/>
  <c r="D303" i="1"/>
  <c r="H302" i="1"/>
  <c r="G302" i="1"/>
  <c r="F302" i="1"/>
  <c r="E302" i="1"/>
  <c r="D302" i="1"/>
  <c r="H301" i="1"/>
  <c r="G301" i="1"/>
  <c r="F301" i="1"/>
  <c r="E301" i="1"/>
  <c r="D301" i="1"/>
  <c r="H300" i="1"/>
  <c r="G300" i="1"/>
  <c r="F300" i="1"/>
  <c r="E300" i="1"/>
  <c r="D300" i="1"/>
  <c r="H299" i="1"/>
  <c r="G299" i="1"/>
  <c r="F299" i="1"/>
  <c r="E299" i="1"/>
  <c r="D299" i="1"/>
  <c r="H298" i="1"/>
  <c r="G298" i="1"/>
  <c r="F298" i="1"/>
  <c r="E298" i="1"/>
  <c r="D298" i="1"/>
  <c r="H297" i="1"/>
  <c r="G297" i="1"/>
  <c r="F297" i="1"/>
  <c r="E297" i="1"/>
  <c r="D297" i="1"/>
  <c r="H296" i="1"/>
  <c r="G296" i="1"/>
  <c r="F296" i="1"/>
  <c r="E296" i="1"/>
  <c r="D296" i="1"/>
  <c r="H295" i="1"/>
  <c r="G295" i="1"/>
  <c r="F295" i="1"/>
  <c r="E295" i="1"/>
  <c r="D295" i="1"/>
  <c r="H294" i="1"/>
  <c r="G294" i="1"/>
  <c r="F294" i="1"/>
  <c r="E294" i="1"/>
  <c r="D294" i="1"/>
  <c r="H293" i="1"/>
  <c r="G293" i="1"/>
  <c r="F293" i="1"/>
  <c r="E293" i="1"/>
  <c r="D293" i="1"/>
  <c r="H292" i="1"/>
  <c r="G292" i="1"/>
  <c r="F292" i="1"/>
  <c r="E292" i="1"/>
  <c r="D292" i="1"/>
  <c r="H291" i="1"/>
  <c r="G291" i="1"/>
  <c r="F291" i="1"/>
  <c r="E291" i="1"/>
  <c r="D291" i="1"/>
  <c r="H290" i="1"/>
  <c r="G290" i="1"/>
  <c r="F290" i="1"/>
  <c r="E290" i="1"/>
  <c r="D290" i="1"/>
  <c r="H289" i="1"/>
  <c r="G289" i="1"/>
  <c r="F289" i="1"/>
  <c r="E289" i="1"/>
  <c r="D289" i="1"/>
  <c r="H288" i="1"/>
  <c r="G288" i="1"/>
  <c r="F288" i="1"/>
  <c r="E288" i="1"/>
  <c r="D288" i="1"/>
  <c r="H287" i="1"/>
  <c r="G287" i="1"/>
  <c r="F287" i="1"/>
  <c r="E287" i="1"/>
  <c r="D287" i="1"/>
  <c r="H286" i="1"/>
  <c r="G286" i="1"/>
  <c r="F286" i="1"/>
  <c r="E286" i="1"/>
  <c r="D286" i="1"/>
  <c r="H285" i="1"/>
  <c r="G285" i="1"/>
  <c r="F285" i="1"/>
  <c r="E285" i="1"/>
  <c r="D285" i="1"/>
  <c r="H284" i="1"/>
  <c r="G284" i="1"/>
  <c r="F284" i="1"/>
  <c r="E284" i="1"/>
  <c r="D284" i="1"/>
  <c r="H283" i="1"/>
  <c r="G283" i="1"/>
  <c r="F283" i="1"/>
  <c r="E283" i="1"/>
  <c r="D283" i="1"/>
  <c r="H282" i="1"/>
  <c r="G282" i="1"/>
  <c r="F282" i="1"/>
  <c r="E282" i="1"/>
  <c r="D282" i="1"/>
  <c r="H281" i="1"/>
  <c r="G281" i="1"/>
  <c r="F281" i="1"/>
  <c r="E281" i="1"/>
  <c r="D281" i="1"/>
  <c r="H280" i="1"/>
  <c r="G280" i="1"/>
  <c r="F280" i="1"/>
  <c r="E280" i="1"/>
  <c r="D280" i="1"/>
  <c r="H279" i="1"/>
  <c r="G279" i="1"/>
  <c r="F279" i="1"/>
  <c r="E279" i="1"/>
  <c r="D279" i="1"/>
  <c r="H278" i="1"/>
  <c r="G278" i="1"/>
  <c r="F278" i="1"/>
  <c r="E278" i="1"/>
  <c r="D278" i="1"/>
  <c r="H277" i="1"/>
  <c r="G277" i="1"/>
  <c r="F277" i="1"/>
  <c r="E277" i="1"/>
  <c r="D277" i="1"/>
  <c r="H276" i="1"/>
  <c r="G276" i="1"/>
  <c r="F276" i="1"/>
  <c r="E276" i="1"/>
  <c r="D276" i="1"/>
  <c r="H275" i="1"/>
  <c r="G275" i="1"/>
  <c r="F275" i="1"/>
  <c r="E275" i="1"/>
  <c r="D275" i="1"/>
  <c r="H274" i="1"/>
  <c r="G274" i="1"/>
  <c r="F274" i="1"/>
  <c r="E274" i="1"/>
  <c r="D274" i="1"/>
  <c r="H273" i="1"/>
  <c r="G273" i="1"/>
  <c r="F273" i="1"/>
  <c r="E273" i="1"/>
  <c r="D273" i="1"/>
  <c r="H272" i="1"/>
  <c r="G272" i="1"/>
  <c r="F272" i="1"/>
  <c r="E272" i="1"/>
  <c r="D272" i="1"/>
  <c r="H271" i="1"/>
  <c r="G271" i="1"/>
  <c r="F271" i="1"/>
  <c r="E271" i="1"/>
  <c r="D271" i="1"/>
  <c r="H270" i="1"/>
  <c r="G270" i="1"/>
  <c r="F270" i="1"/>
  <c r="E270" i="1"/>
  <c r="D270" i="1"/>
  <c r="H269" i="1"/>
  <c r="G269" i="1"/>
  <c r="F269" i="1"/>
  <c r="E269" i="1"/>
  <c r="D269" i="1"/>
  <c r="H268" i="1"/>
  <c r="G268" i="1"/>
  <c r="F268" i="1"/>
  <c r="E268" i="1"/>
  <c r="D268" i="1"/>
  <c r="H267" i="1"/>
  <c r="G267" i="1"/>
  <c r="F267" i="1"/>
  <c r="E267" i="1"/>
  <c r="D267" i="1"/>
  <c r="H266" i="1"/>
  <c r="G266" i="1"/>
  <c r="F266" i="1"/>
  <c r="E266" i="1"/>
  <c r="D266" i="1"/>
  <c r="H265" i="1"/>
  <c r="G265" i="1"/>
  <c r="F265" i="1"/>
  <c r="E265" i="1"/>
  <c r="D265" i="1"/>
  <c r="H264" i="1"/>
  <c r="G264" i="1"/>
  <c r="F264" i="1"/>
  <c r="E264" i="1"/>
  <c r="D264" i="1"/>
  <c r="H263" i="1"/>
  <c r="G263" i="1"/>
  <c r="F263" i="1"/>
  <c r="E263" i="1"/>
  <c r="D263" i="1"/>
  <c r="H262" i="1"/>
  <c r="G262" i="1"/>
  <c r="F262" i="1"/>
  <c r="E262" i="1"/>
  <c r="D262" i="1"/>
  <c r="H261" i="1"/>
  <c r="G261" i="1"/>
  <c r="F261" i="1"/>
  <c r="E261" i="1"/>
  <c r="D261" i="1"/>
  <c r="H260" i="1"/>
  <c r="G260" i="1"/>
  <c r="F260" i="1"/>
  <c r="E260" i="1"/>
  <c r="D260" i="1"/>
  <c r="H259" i="1"/>
  <c r="G259" i="1"/>
  <c r="F259" i="1"/>
  <c r="E259" i="1"/>
  <c r="D259" i="1"/>
  <c r="H258" i="1"/>
  <c r="G258" i="1"/>
  <c r="F258" i="1"/>
  <c r="E258" i="1"/>
  <c r="D258" i="1"/>
  <c r="H257" i="1"/>
  <c r="G257" i="1"/>
  <c r="F257" i="1"/>
  <c r="E257" i="1"/>
  <c r="D257" i="1"/>
  <c r="H256" i="1"/>
  <c r="G256" i="1"/>
  <c r="F256" i="1"/>
  <c r="E256" i="1"/>
  <c r="D256" i="1"/>
  <c r="H255" i="1"/>
  <c r="G255" i="1"/>
  <c r="F255" i="1"/>
  <c r="E255" i="1"/>
  <c r="D255" i="1"/>
  <c r="H254" i="1"/>
  <c r="G254" i="1"/>
  <c r="F254" i="1"/>
  <c r="E254" i="1"/>
  <c r="D254" i="1"/>
  <c r="H253" i="1"/>
  <c r="G253" i="1"/>
  <c r="F253" i="1"/>
  <c r="E253" i="1"/>
  <c r="D253" i="1"/>
  <c r="H252" i="1"/>
  <c r="G252" i="1"/>
  <c r="F252" i="1"/>
  <c r="E252" i="1"/>
  <c r="D252" i="1"/>
  <c r="H251" i="1"/>
  <c r="G251" i="1"/>
  <c r="F251" i="1"/>
  <c r="E251" i="1"/>
  <c r="D251" i="1"/>
  <c r="H250" i="1"/>
  <c r="G250" i="1"/>
  <c r="F250" i="1"/>
  <c r="E250" i="1"/>
  <c r="D250" i="1"/>
  <c r="H249" i="1"/>
  <c r="G249" i="1"/>
  <c r="F249" i="1"/>
  <c r="E249" i="1"/>
  <c r="D249" i="1"/>
  <c r="H248" i="1"/>
  <c r="G248" i="1"/>
  <c r="F248" i="1"/>
  <c r="E248" i="1"/>
  <c r="D248" i="1"/>
  <c r="H247" i="1"/>
  <c r="G247" i="1"/>
  <c r="F247" i="1"/>
  <c r="E247" i="1"/>
  <c r="D247" i="1"/>
  <c r="H246" i="1"/>
  <c r="G246" i="1"/>
  <c r="F246" i="1"/>
  <c r="E246" i="1"/>
  <c r="D246" i="1"/>
  <c r="H245" i="1"/>
  <c r="G245" i="1"/>
  <c r="F245" i="1"/>
  <c r="E245" i="1"/>
  <c r="D245" i="1"/>
  <c r="H244" i="1"/>
  <c r="G244" i="1"/>
  <c r="F244" i="1"/>
  <c r="E244" i="1"/>
  <c r="D244" i="1"/>
  <c r="H243" i="1"/>
  <c r="G243" i="1"/>
  <c r="F243" i="1"/>
  <c r="E243" i="1"/>
  <c r="D243" i="1"/>
  <c r="H242" i="1"/>
  <c r="G242" i="1"/>
  <c r="F242" i="1"/>
  <c r="E242" i="1"/>
  <c r="D242" i="1"/>
  <c r="H241" i="1"/>
  <c r="G241" i="1"/>
  <c r="F241" i="1"/>
  <c r="E241" i="1"/>
  <c r="D241" i="1"/>
  <c r="H240" i="1"/>
  <c r="G240" i="1"/>
  <c r="F240" i="1"/>
  <c r="E240" i="1"/>
  <c r="D240" i="1"/>
  <c r="H239" i="1"/>
  <c r="G239" i="1"/>
  <c r="F239" i="1"/>
  <c r="E239" i="1"/>
  <c r="D239" i="1"/>
  <c r="H238" i="1"/>
  <c r="G238" i="1"/>
  <c r="F238" i="1"/>
  <c r="E238" i="1"/>
  <c r="D238" i="1"/>
  <c r="H237" i="1"/>
  <c r="G237" i="1"/>
  <c r="F237" i="1"/>
  <c r="E237" i="1"/>
  <c r="D237" i="1"/>
  <c r="H236" i="1"/>
  <c r="G236" i="1"/>
  <c r="F236" i="1"/>
  <c r="E236" i="1"/>
  <c r="D236" i="1"/>
  <c r="H235" i="1"/>
  <c r="G235" i="1"/>
  <c r="F235" i="1"/>
  <c r="E235" i="1"/>
  <c r="D235" i="1"/>
  <c r="H234" i="1"/>
  <c r="G234" i="1"/>
  <c r="F234" i="1"/>
  <c r="E234" i="1"/>
  <c r="D234" i="1"/>
  <c r="H233" i="1"/>
  <c r="G233" i="1"/>
  <c r="F233" i="1"/>
  <c r="E233" i="1"/>
  <c r="D233" i="1"/>
  <c r="H232" i="1"/>
  <c r="G232" i="1"/>
  <c r="F232" i="1"/>
  <c r="E232" i="1"/>
  <c r="D232" i="1"/>
  <c r="H231" i="1"/>
  <c r="G231" i="1"/>
  <c r="F231" i="1"/>
  <c r="E231" i="1"/>
  <c r="D231" i="1"/>
  <c r="H230" i="1"/>
  <c r="G230" i="1"/>
  <c r="F230" i="1"/>
  <c r="E230" i="1"/>
  <c r="D230" i="1"/>
  <c r="H229" i="1"/>
  <c r="G229" i="1"/>
  <c r="F229" i="1"/>
  <c r="E229" i="1"/>
  <c r="D229" i="1"/>
  <c r="H228" i="1"/>
  <c r="G228" i="1"/>
  <c r="F228" i="1"/>
  <c r="E228" i="1"/>
  <c r="D228" i="1"/>
  <c r="H227" i="1"/>
  <c r="G227" i="1"/>
  <c r="F227" i="1"/>
  <c r="E227" i="1"/>
  <c r="D227" i="1"/>
  <c r="H226" i="1"/>
  <c r="G226" i="1"/>
  <c r="F226" i="1"/>
  <c r="E226" i="1"/>
  <c r="D226" i="1"/>
  <c r="H225" i="1"/>
  <c r="G225" i="1"/>
  <c r="F225" i="1"/>
  <c r="E225" i="1"/>
  <c r="D225" i="1"/>
  <c r="H224" i="1"/>
  <c r="G224" i="1"/>
  <c r="F224" i="1"/>
  <c r="E224" i="1"/>
  <c r="D224" i="1"/>
  <c r="H223" i="1"/>
  <c r="G223" i="1"/>
  <c r="F223" i="1"/>
  <c r="E223" i="1"/>
  <c r="D223" i="1"/>
  <c r="H222" i="1"/>
  <c r="G222" i="1"/>
  <c r="F222" i="1"/>
  <c r="E222" i="1"/>
  <c r="D222" i="1"/>
  <c r="H221" i="1"/>
  <c r="G221" i="1"/>
  <c r="F221" i="1"/>
  <c r="E221" i="1"/>
  <c r="D221" i="1"/>
  <c r="H220" i="1"/>
  <c r="G220" i="1"/>
  <c r="F220" i="1"/>
  <c r="E220" i="1"/>
  <c r="D220" i="1"/>
  <c r="H219" i="1"/>
  <c r="G219" i="1"/>
  <c r="F219" i="1"/>
  <c r="E219" i="1"/>
  <c r="D219" i="1"/>
  <c r="H218" i="1"/>
  <c r="G218" i="1"/>
  <c r="F218" i="1"/>
  <c r="E218" i="1"/>
  <c r="D218" i="1"/>
  <c r="H217" i="1"/>
  <c r="G217" i="1"/>
  <c r="F217" i="1"/>
  <c r="E217" i="1"/>
  <c r="D217" i="1"/>
  <c r="H216" i="1"/>
  <c r="G216" i="1"/>
  <c r="F216" i="1"/>
  <c r="E216" i="1"/>
  <c r="D216" i="1"/>
  <c r="H215" i="1"/>
  <c r="G215" i="1"/>
  <c r="F215" i="1"/>
  <c r="E215" i="1"/>
  <c r="D215" i="1"/>
  <c r="H214" i="1"/>
  <c r="G214" i="1"/>
  <c r="F214" i="1"/>
  <c r="E214" i="1"/>
  <c r="D214" i="1"/>
  <c r="H213" i="1"/>
  <c r="G213" i="1"/>
  <c r="F213" i="1"/>
  <c r="E213" i="1"/>
  <c r="D213" i="1"/>
  <c r="H212" i="1"/>
  <c r="G212" i="1"/>
  <c r="F212" i="1"/>
  <c r="E212" i="1"/>
  <c r="D212" i="1"/>
  <c r="H211" i="1"/>
  <c r="G211" i="1"/>
  <c r="F211" i="1"/>
  <c r="E211" i="1"/>
  <c r="D211" i="1"/>
  <c r="H210" i="1"/>
  <c r="G210" i="1"/>
  <c r="F210" i="1"/>
  <c r="E210" i="1"/>
  <c r="D210" i="1"/>
  <c r="H209" i="1"/>
  <c r="G209" i="1"/>
  <c r="F209" i="1"/>
  <c r="E209" i="1"/>
  <c r="D209" i="1"/>
  <c r="H208" i="1"/>
  <c r="G208" i="1"/>
  <c r="F208" i="1"/>
  <c r="E208" i="1"/>
  <c r="D208" i="1"/>
  <c r="H207" i="1"/>
  <c r="G207" i="1"/>
  <c r="F207" i="1"/>
  <c r="E207" i="1"/>
  <c r="D207" i="1"/>
  <c r="H206" i="1"/>
  <c r="G206" i="1"/>
  <c r="F206" i="1"/>
  <c r="E206" i="1"/>
  <c r="D206" i="1"/>
  <c r="H205" i="1"/>
  <c r="G205" i="1"/>
  <c r="F205" i="1"/>
  <c r="E205" i="1"/>
  <c r="D205" i="1"/>
  <c r="H204" i="1"/>
  <c r="G204" i="1"/>
  <c r="F204" i="1"/>
  <c r="E204" i="1"/>
  <c r="D204" i="1"/>
  <c r="H203" i="1"/>
  <c r="G203" i="1"/>
  <c r="F203" i="1"/>
  <c r="E203" i="1"/>
  <c r="D203" i="1"/>
  <c r="H202" i="1"/>
  <c r="G202" i="1"/>
  <c r="F202" i="1"/>
  <c r="E202" i="1"/>
  <c r="D202" i="1"/>
  <c r="H201" i="1"/>
  <c r="G201" i="1"/>
  <c r="F201" i="1"/>
  <c r="E201" i="1"/>
  <c r="D201" i="1"/>
  <c r="H200" i="1"/>
  <c r="G200" i="1"/>
  <c r="F200" i="1"/>
  <c r="E200" i="1"/>
  <c r="D200" i="1"/>
  <c r="H199" i="1"/>
  <c r="G199" i="1"/>
  <c r="F199" i="1"/>
  <c r="E199" i="1"/>
  <c r="D199" i="1"/>
  <c r="H198" i="1"/>
  <c r="G198" i="1"/>
  <c r="F198" i="1"/>
  <c r="E198" i="1"/>
  <c r="D198" i="1"/>
  <c r="H197" i="1"/>
  <c r="G197" i="1"/>
  <c r="F197" i="1"/>
  <c r="E197" i="1"/>
  <c r="D197" i="1"/>
  <c r="H196" i="1"/>
  <c r="G196" i="1"/>
  <c r="F196" i="1"/>
  <c r="E196" i="1"/>
  <c r="D196" i="1"/>
  <c r="H195" i="1"/>
  <c r="G195" i="1"/>
  <c r="F195" i="1"/>
  <c r="E195" i="1"/>
  <c r="D195" i="1"/>
  <c r="H194" i="1"/>
  <c r="G194" i="1"/>
  <c r="F194" i="1"/>
  <c r="E194" i="1"/>
  <c r="D194" i="1"/>
  <c r="H193" i="1"/>
  <c r="G193" i="1"/>
  <c r="F193" i="1"/>
  <c r="E193" i="1"/>
  <c r="D193" i="1"/>
  <c r="H192" i="1"/>
  <c r="G192" i="1"/>
  <c r="F192" i="1"/>
  <c r="E192" i="1"/>
  <c r="D192" i="1"/>
  <c r="H191" i="1"/>
  <c r="G191" i="1"/>
  <c r="F191" i="1"/>
  <c r="E191" i="1"/>
  <c r="D191" i="1"/>
  <c r="H190" i="1"/>
  <c r="G190" i="1"/>
  <c r="F190" i="1"/>
  <c r="E190" i="1"/>
  <c r="D190" i="1"/>
  <c r="H189" i="1"/>
  <c r="G189" i="1"/>
  <c r="F189" i="1"/>
  <c r="E189" i="1"/>
  <c r="D189" i="1"/>
  <c r="H188" i="1"/>
  <c r="G188" i="1"/>
  <c r="F188" i="1"/>
  <c r="E188" i="1"/>
  <c r="D188" i="1"/>
  <c r="H187" i="1"/>
  <c r="G187" i="1"/>
  <c r="F187" i="1"/>
  <c r="E187" i="1"/>
  <c r="D187" i="1"/>
  <c r="H186" i="1"/>
  <c r="G186" i="1"/>
  <c r="F186" i="1"/>
  <c r="E186" i="1"/>
  <c r="D186" i="1"/>
  <c r="H185" i="1"/>
  <c r="G185" i="1"/>
  <c r="F185" i="1"/>
  <c r="E185" i="1"/>
  <c r="D185" i="1"/>
  <c r="H184" i="1"/>
  <c r="G184" i="1"/>
  <c r="F184" i="1"/>
  <c r="E184" i="1"/>
  <c r="D184" i="1"/>
  <c r="H183" i="1"/>
  <c r="G183" i="1"/>
  <c r="F183" i="1"/>
  <c r="E183" i="1"/>
  <c r="D183" i="1"/>
  <c r="H182" i="1"/>
  <c r="G182" i="1"/>
  <c r="F182" i="1"/>
  <c r="E182" i="1"/>
  <c r="D182" i="1"/>
  <c r="H181" i="1"/>
  <c r="G181" i="1"/>
  <c r="F181" i="1"/>
  <c r="E181" i="1"/>
  <c r="D181" i="1"/>
  <c r="H180" i="1"/>
  <c r="G180" i="1"/>
  <c r="F180" i="1"/>
  <c r="E180" i="1"/>
  <c r="D180" i="1"/>
  <c r="H179" i="1"/>
  <c r="G179" i="1"/>
  <c r="F179" i="1"/>
  <c r="E179" i="1"/>
  <c r="D179" i="1"/>
  <c r="H178" i="1"/>
  <c r="G178" i="1"/>
  <c r="F178" i="1"/>
  <c r="E178" i="1"/>
  <c r="D178" i="1"/>
  <c r="H177" i="1"/>
  <c r="G177" i="1"/>
  <c r="F177" i="1"/>
  <c r="E177" i="1"/>
  <c r="D177" i="1"/>
  <c r="H176" i="1"/>
  <c r="G176" i="1"/>
  <c r="F176" i="1"/>
  <c r="E176" i="1"/>
  <c r="D176" i="1"/>
  <c r="H175" i="1"/>
  <c r="G175" i="1"/>
  <c r="F175" i="1"/>
  <c r="E175" i="1"/>
  <c r="D175" i="1"/>
  <c r="H174" i="1"/>
  <c r="G174" i="1"/>
  <c r="F174" i="1"/>
  <c r="E174" i="1"/>
  <c r="D174" i="1"/>
  <c r="H173" i="1"/>
  <c r="G173" i="1"/>
  <c r="F173" i="1"/>
  <c r="E173" i="1"/>
  <c r="D173" i="1"/>
  <c r="H172" i="1"/>
  <c r="G172" i="1"/>
  <c r="F172" i="1"/>
  <c r="E172" i="1"/>
  <c r="D172" i="1"/>
  <c r="H171" i="1"/>
  <c r="G171" i="1"/>
  <c r="F171" i="1"/>
  <c r="E171" i="1"/>
  <c r="D171" i="1"/>
  <c r="H170" i="1"/>
  <c r="G170" i="1"/>
  <c r="F170" i="1"/>
  <c r="E170" i="1"/>
  <c r="D170" i="1"/>
  <c r="H169" i="1"/>
  <c r="G169" i="1"/>
  <c r="F169" i="1"/>
  <c r="E169" i="1"/>
  <c r="D169" i="1"/>
  <c r="H168" i="1"/>
  <c r="G168" i="1"/>
  <c r="F168" i="1"/>
  <c r="E168" i="1"/>
  <c r="D168" i="1"/>
  <c r="H167" i="1"/>
  <c r="G167" i="1"/>
  <c r="F167" i="1"/>
  <c r="E167" i="1"/>
  <c r="D167" i="1"/>
  <c r="H166" i="1"/>
  <c r="G166" i="1"/>
  <c r="F166" i="1"/>
  <c r="E166" i="1"/>
  <c r="D166" i="1"/>
  <c r="H165" i="1"/>
  <c r="G165" i="1"/>
  <c r="F165" i="1"/>
  <c r="E165" i="1"/>
  <c r="D165" i="1"/>
  <c r="H164" i="1"/>
  <c r="G164" i="1"/>
  <c r="F164" i="1"/>
  <c r="E164" i="1"/>
  <c r="D164" i="1"/>
  <c r="H163" i="1"/>
  <c r="G163" i="1"/>
  <c r="F163" i="1"/>
  <c r="E163" i="1"/>
  <c r="D163" i="1"/>
  <c r="H162" i="1"/>
  <c r="G162" i="1"/>
  <c r="F162" i="1"/>
  <c r="E162" i="1"/>
  <c r="D162" i="1"/>
  <c r="H161" i="1"/>
  <c r="G161" i="1"/>
  <c r="F161" i="1"/>
  <c r="E161" i="1"/>
  <c r="D161" i="1"/>
  <c r="H160" i="1"/>
  <c r="G160" i="1"/>
  <c r="F160" i="1"/>
  <c r="E160" i="1"/>
  <c r="D160" i="1"/>
  <c r="H159" i="1"/>
  <c r="G159" i="1"/>
  <c r="F159" i="1"/>
  <c r="E159" i="1"/>
  <c r="D159" i="1"/>
  <c r="H158" i="1"/>
  <c r="G158" i="1"/>
  <c r="F158" i="1"/>
  <c r="E158" i="1"/>
  <c r="D158" i="1"/>
  <c r="H157" i="1"/>
  <c r="G157" i="1"/>
  <c r="F157" i="1"/>
  <c r="E157" i="1"/>
  <c r="D157" i="1"/>
  <c r="H156" i="1"/>
  <c r="G156" i="1"/>
  <c r="F156" i="1"/>
  <c r="E156" i="1"/>
  <c r="D156" i="1"/>
  <c r="H155" i="1"/>
  <c r="G155" i="1"/>
  <c r="F155" i="1"/>
  <c r="E155" i="1"/>
  <c r="D155" i="1"/>
  <c r="H154" i="1"/>
  <c r="G154" i="1"/>
  <c r="F154" i="1"/>
  <c r="E154" i="1"/>
  <c r="D154" i="1"/>
  <c r="H153" i="1"/>
  <c r="G153" i="1"/>
  <c r="F153" i="1"/>
  <c r="E153" i="1"/>
  <c r="D153" i="1"/>
  <c r="H152" i="1"/>
  <c r="G152" i="1"/>
  <c r="F152" i="1"/>
  <c r="E152" i="1"/>
  <c r="D152" i="1"/>
  <c r="H151" i="1"/>
  <c r="G151" i="1"/>
  <c r="F151" i="1"/>
  <c r="E151" i="1"/>
  <c r="D151" i="1"/>
  <c r="H150" i="1"/>
  <c r="G150" i="1"/>
  <c r="F150" i="1"/>
  <c r="E150" i="1"/>
  <c r="D150" i="1"/>
  <c r="H149" i="1"/>
  <c r="G149" i="1"/>
  <c r="F149" i="1"/>
  <c r="E149" i="1"/>
  <c r="D149" i="1"/>
  <c r="H148" i="1"/>
  <c r="G148" i="1"/>
  <c r="F148" i="1"/>
  <c r="E148" i="1"/>
  <c r="D148" i="1"/>
  <c r="H147" i="1"/>
  <c r="G147" i="1"/>
  <c r="F147" i="1"/>
  <c r="E147" i="1"/>
  <c r="D147" i="1"/>
  <c r="H146" i="1"/>
  <c r="G146" i="1"/>
  <c r="F146" i="1"/>
  <c r="E146" i="1"/>
  <c r="D146" i="1"/>
  <c r="H145" i="1"/>
  <c r="G145" i="1"/>
  <c r="F145" i="1"/>
  <c r="E145" i="1"/>
  <c r="D145" i="1"/>
  <c r="H144" i="1"/>
  <c r="G144" i="1"/>
  <c r="F144" i="1"/>
  <c r="E144" i="1"/>
  <c r="D144" i="1"/>
  <c r="H143" i="1"/>
  <c r="G143" i="1"/>
  <c r="F143" i="1"/>
  <c r="E143" i="1"/>
  <c r="D143" i="1"/>
  <c r="H142" i="1"/>
  <c r="G142" i="1"/>
  <c r="F142" i="1"/>
  <c r="E142" i="1"/>
  <c r="D142" i="1"/>
  <c r="H141" i="1"/>
  <c r="G141" i="1"/>
  <c r="F141" i="1"/>
  <c r="E141" i="1"/>
  <c r="D141" i="1"/>
  <c r="H140" i="1"/>
  <c r="G140" i="1"/>
  <c r="F140" i="1"/>
  <c r="E140" i="1"/>
  <c r="D140" i="1"/>
  <c r="H139" i="1"/>
  <c r="G139" i="1"/>
  <c r="F139" i="1"/>
  <c r="E139" i="1"/>
  <c r="D139" i="1"/>
  <c r="H138" i="1"/>
  <c r="G138" i="1"/>
  <c r="F138" i="1"/>
  <c r="E138" i="1"/>
  <c r="D138" i="1"/>
  <c r="H137" i="1"/>
  <c r="G137" i="1"/>
  <c r="F137" i="1"/>
  <c r="E137" i="1"/>
  <c r="D137" i="1"/>
  <c r="H136" i="1"/>
  <c r="G136" i="1"/>
  <c r="F136" i="1"/>
  <c r="E136" i="1"/>
  <c r="D136" i="1"/>
  <c r="H135" i="1"/>
  <c r="G135" i="1"/>
  <c r="F135" i="1"/>
  <c r="E135" i="1"/>
  <c r="D135" i="1"/>
  <c r="H134" i="1"/>
  <c r="G134" i="1"/>
  <c r="F134" i="1"/>
  <c r="E134" i="1"/>
  <c r="D134" i="1"/>
  <c r="H133" i="1"/>
  <c r="G133" i="1"/>
  <c r="F133" i="1"/>
  <c r="E133" i="1"/>
  <c r="D133" i="1"/>
  <c r="H132" i="1"/>
  <c r="G132" i="1"/>
  <c r="F132" i="1"/>
  <c r="E132" i="1"/>
  <c r="D132" i="1"/>
  <c r="H131" i="1"/>
  <c r="G131" i="1"/>
  <c r="F131" i="1"/>
  <c r="E131" i="1"/>
  <c r="D131" i="1"/>
  <c r="H130" i="1"/>
  <c r="G130" i="1"/>
  <c r="F130" i="1"/>
  <c r="E130" i="1"/>
  <c r="D130" i="1"/>
  <c r="H129" i="1"/>
  <c r="G129" i="1"/>
  <c r="F129" i="1"/>
  <c r="E129" i="1"/>
  <c r="D129" i="1"/>
  <c r="H128" i="1"/>
  <c r="G128" i="1"/>
  <c r="F128" i="1"/>
  <c r="E128" i="1"/>
  <c r="D128" i="1"/>
  <c r="H127" i="1"/>
  <c r="G127" i="1"/>
  <c r="F127" i="1"/>
  <c r="E127" i="1"/>
  <c r="D127" i="1"/>
  <c r="H126" i="1"/>
  <c r="G126" i="1"/>
  <c r="F126" i="1"/>
  <c r="E126" i="1"/>
  <c r="D126" i="1"/>
  <c r="H125" i="1"/>
  <c r="G125" i="1"/>
  <c r="F125" i="1"/>
  <c r="E125" i="1"/>
  <c r="D125" i="1"/>
  <c r="H124" i="1"/>
  <c r="G124" i="1"/>
  <c r="F124" i="1"/>
  <c r="E124" i="1"/>
  <c r="D124" i="1"/>
  <c r="H123" i="1"/>
  <c r="G123" i="1"/>
  <c r="F123" i="1"/>
  <c r="E123" i="1"/>
  <c r="D123" i="1"/>
  <c r="H122" i="1"/>
  <c r="G122" i="1"/>
  <c r="F122" i="1"/>
  <c r="E122" i="1"/>
  <c r="D122" i="1"/>
  <c r="H121" i="1"/>
  <c r="G121" i="1"/>
  <c r="F121" i="1"/>
  <c r="E121" i="1"/>
  <c r="D121" i="1"/>
  <c r="H120" i="1"/>
  <c r="G120" i="1"/>
  <c r="F120" i="1"/>
  <c r="E120" i="1"/>
  <c r="D120" i="1"/>
  <c r="H119" i="1"/>
  <c r="G119" i="1"/>
  <c r="F119" i="1"/>
  <c r="E119" i="1"/>
  <c r="D119" i="1"/>
  <c r="H118" i="1"/>
  <c r="G118" i="1"/>
  <c r="F118" i="1"/>
  <c r="E118" i="1"/>
  <c r="D118" i="1"/>
  <c r="H117" i="1"/>
  <c r="G117" i="1"/>
  <c r="F117" i="1"/>
  <c r="E117" i="1"/>
  <c r="D117" i="1"/>
  <c r="H116" i="1"/>
  <c r="G116" i="1"/>
  <c r="F116" i="1"/>
  <c r="E116" i="1"/>
  <c r="D116" i="1"/>
  <c r="H115" i="1"/>
  <c r="G115" i="1"/>
  <c r="F115" i="1"/>
  <c r="E115" i="1"/>
  <c r="D115" i="1"/>
  <c r="H114" i="1"/>
  <c r="G114" i="1"/>
  <c r="F114" i="1"/>
  <c r="E114" i="1"/>
  <c r="D114" i="1"/>
  <c r="H113" i="1"/>
  <c r="G113" i="1"/>
  <c r="F113" i="1"/>
  <c r="E113" i="1"/>
  <c r="D113" i="1"/>
  <c r="H112" i="1"/>
  <c r="G112" i="1"/>
  <c r="F112" i="1"/>
  <c r="E112" i="1"/>
  <c r="D112" i="1"/>
  <c r="H111" i="1"/>
  <c r="G111" i="1"/>
  <c r="F111" i="1"/>
  <c r="E111" i="1"/>
  <c r="D111" i="1"/>
  <c r="H110" i="1"/>
  <c r="G110" i="1"/>
  <c r="F110" i="1"/>
  <c r="E110" i="1"/>
  <c r="D110" i="1"/>
  <c r="H109" i="1"/>
  <c r="G109" i="1"/>
  <c r="F109" i="1"/>
  <c r="E109" i="1"/>
  <c r="D109" i="1"/>
  <c r="H108" i="1"/>
  <c r="G108" i="1"/>
  <c r="F108" i="1"/>
  <c r="E108" i="1"/>
  <c r="D108" i="1"/>
  <c r="H107" i="1"/>
  <c r="G107" i="1"/>
  <c r="F107" i="1"/>
  <c r="E107" i="1"/>
  <c r="D107" i="1"/>
  <c r="H106" i="1"/>
  <c r="G106" i="1"/>
  <c r="F106" i="1"/>
  <c r="E106" i="1"/>
  <c r="D106" i="1"/>
  <c r="H105" i="1"/>
  <c r="G105" i="1"/>
  <c r="F105" i="1"/>
  <c r="E105" i="1"/>
  <c r="D105" i="1"/>
  <c r="H104" i="1"/>
  <c r="G104" i="1"/>
  <c r="F104" i="1"/>
  <c r="E104" i="1"/>
  <c r="D104" i="1"/>
  <c r="H103" i="1"/>
  <c r="G103" i="1"/>
  <c r="F103" i="1"/>
  <c r="E103" i="1"/>
  <c r="D103" i="1"/>
  <c r="H102" i="1"/>
  <c r="G102" i="1"/>
  <c r="F102" i="1"/>
  <c r="E102" i="1"/>
  <c r="D102" i="1"/>
  <c r="H101" i="1"/>
  <c r="G101" i="1"/>
  <c r="F101" i="1"/>
  <c r="E101" i="1"/>
  <c r="D101" i="1"/>
  <c r="H100" i="1"/>
  <c r="G100" i="1"/>
  <c r="F100" i="1"/>
  <c r="E100" i="1"/>
  <c r="D100" i="1"/>
  <c r="H99" i="1"/>
  <c r="G99" i="1"/>
  <c r="F99" i="1"/>
  <c r="E99" i="1"/>
  <c r="D99" i="1"/>
  <c r="H98" i="1"/>
  <c r="G98" i="1"/>
  <c r="F98" i="1"/>
  <c r="E98" i="1"/>
  <c r="D98" i="1"/>
  <c r="H97" i="1"/>
  <c r="G97" i="1"/>
  <c r="F97" i="1"/>
  <c r="E97" i="1"/>
  <c r="D97" i="1"/>
  <c r="H96" i="1"/>
  <c r="G96" i="1"/>
  <c r="F96" i="1"/>
  <c r="E96" i="1"/>
  <c r="D96" i="1"/>
  <c r="H95" i="1"/>
  <c r="G95" i="1"/>
  <c r="F95" i="1"/>
  <c r="E95" i="1"/>
  <c r="D95" i="1"/>
  <c r="H94" i="1"/>
  <c r="G94" i="1"/>
  <c r="F94" i="1"/>
  <c r="E94" i="1"/>
  <c r="D94" i="1"/>
  <c r="H93" i="1"/>
  <c r="G93" i="1"/>
  <c r="F93" i="1"/>
  <c r="E93" i="1"/>
  <c r="D93" i="1"/>
  <c r="H92" i="1"/>
  <c r="G92" i="1"/>
  <c r="F92" i="1"/>
  <c r="E92" i="1"/>
  <c r="D92" i="1"/>
  <c r="H91" i="1"/>
  <c r="G91" i="1"/>
  <c r="F91" i="1"/>
  <c r="E91" i="1"/>
  <c r="D91" i="1"/>
  <c r="H90" i="1"/>
  <c r="G90" i="1"/>
  <c r="F90" i="1"/>
  <c r="E90" i="1"/>
  <c r="D90" i="1"/>
  <c r="H89" i="1"/>
  <c r="G89" i="1"/>
  <c r="F89" i="1"/>
  <c r="E89" i="1"/>
  <c r="D89" i="1"/>
  <c r="H88" i="1"/>
  <c r="G88" i="1"/>
  <c r="F88" i="1"/>
  <c r="E88" i="1"/>
  <c r="D88" i="1"/>
  <c r="H87" i="1"/>
  <c r="G87" i="1"/>
  <c r="F87" i="1"/>
  <c r="E87" i="1"/>
  <c r="D87" i="1"/>
  <c r="H86" i="1"/>
  <c r="G86" i="1"/>
  <c r="F86" i="1"/>
  <c r="E86" i="1"/>
  <c r="D86" i="1"/>
  <c r="H85" i="1"/>
  <c r="G85" i="1"/>
  <c r="F85" i="1"/>
  <c r="E85" i="1"/>
  <c r="D85" i="1"/>
  <c r="H84" i="1"/>
  <c r="G84" i="1"/>
  <c r="F84" i="1"/>
  <c r="E84" i="1"/>
  <c r="D84" i="1"/>
  <c r="H83" i="1"/>
  <c r="G83" i="1"/>
  <c r="F83" i="1"/>
  <c r="E83" i="1"/>
  <c r="D83" i="1"/>
  <c r="H82" i="1"/>
  <c r="G82" i="1"/>
  <c r="F82" i="1"/>
  <c r="E82" i="1"/>
  <c r="D82" i="1"/>
  <c r="H81" i="1"/>
  <c r="G81" i="1"/>
  <c r="F81" i="1"/>
  <c r="E81" i="1"/>
  <c r="D81" i="1"/>
  <c r="H80" i="1"/>
  <c r="G80" i="1"/>
  <c r="F80" i="1"/>
  <c r="E80" i="1"/>
  <c r="D80" i="1"/>
  <c r="H79" i="1"/>
  <c r="G79" i="1"/>
  <c r="F79" i="1"/>
  <c r="E79" i="1"/>
  <c r="D79" i="1"/>
  <c r="H78" i="1"/>
  <c r="G78" i="1"/>
  <c r="F78" i="1"/>
  <c r="E78" i="1"/>
  <c r="D78" i="1"/>
  <c r="H77" i="1"/>
  <c r="G77" i="1"/>
  <c r="F77" i="1"/>
  <c r="E77" i="1"/>
  <c r="D77" i="1"/>
  <c r="H76" i="1"/>
  <c r="G76" i="1"/>
  <c r="F76" i="1"/>
  <c r="E76" i="1"/>
  <c r="D76" i="1"/>
  <c r="H75" i="1"/>
  <c r="G75" i="1"/>
  <c r="F75" i="1"/>
  <c r="E75" i="1"/>
  <c r="D75" i="1"/>
  <c r="H74" i="1"/>
  <c r="G74" i="1"/>
  <c r="F74" i="1"/>
  <c r="E74" i="1"/>
  <c r="D74" i="1"/>
  <c r="H73" i="1"/>
  <c r="G73" i="1"/>
  <c r="F73" i="1"/>
  <c r="E73" i="1"/>
  <c r="D73" i="1"/>
  <c r="H72" i="1"/>
  <c r="G72" i="1"/>
  <c r="F72" i="1"/>
  <c r="E72" i="1"/>
  <c r="D72" i="1"/>
  <c r="H71" i="1"/>
  <c r="G71" i="1"/>
  <c r="F71" i="1"/>
  <c r="E71" i="1"/>
  <c r="D71" i="1"/>
  <c r="H70" i="1"/>
  <c r="G70" i="1"/>
  <c r="F70" i="1"/>
  <c r="E70" i="1"/>
  <c r="D70" i="1"/>
  <c r="H69" i="1"/>
  <c r="G69" i="1"/>
  <c r="F69" i="1"/>
  <c r="E69" i="1"/>
  <c r="D69" i="1"/>
  <c r="H68" i="1"/>
  <c r="G68" i="1"/>
  <c r="F68" i="1"/>
  <c r="E68" i="1"/>
  <c r="D68" i="1"/>
  <c r="H67" i="1"/>
  <c r="G67" i="1"/>
  <c r="F67" i="1"/>
  <c r="E67" i="1"/>
  <c r="D67" i="1"/>
  <c r="H66" i="1"/>
  <c r="G66" i="1"/>
  <c r="F66" i="1"/>
  <c r="E66" i="1"/>
  <c r="D66" i="1"/>
  <c r="H65" i="1"/>
  <c r="G65" i="1"/>
  <c r="F65" i="1"/>
  <c r="E65" i="1"/>
  <c r="D65" i="1"/>
  <c r="H64" i="1"/>
  <c r="G64" i="1"/>
  <c r="F64" i="1"/>
  <c r="E64" i="1"/>
  <c r="D64" i="1"/>
  <c r="H63" i="1"/>
  <c r="G63" i="1"/>
  <c r="F63" i="1"/>
  <c r="E63" i="1"/>
  <c r="D63" i="1"/>
  <c r="H62" i="1"/>
  <c r="G62" i="1"/>
  <c r="F62" i="1"/>
  <c r="E62" i="1"/>
  <c r="D62" i="1"/>
  <c r="H61" i="1"/>
  <c r="G61" i="1"/>
  <c r="F61" i="1"/>
  <c r="E61" i="1"/>
  <c r="D61" i="1"/>
  <c r="H60" i="1"/>
  <c r="G60" i="1"/>
  <c r="F60" i="1"/>
  <c r="E60" i="1"/>
  <c r="D60" i="1"/>
  <c r="H59" i="1"/>
  <c r="G59" i="1"/>
  <c r="F59" i="1"/>
  <c r="E59" i="1"/>
  <c r="D59" i="1"/>
  <c r="H58" i="1"/>
  <c r="G58" i="1"/>
  <c r="F58" i="1"/>
  <c r="E58" i="1"/>
  <c r="D58" i="1"/>
  <c r="H57" i="1"/>
  <c r="G57" i="1"/>
  <c r="F57" i="1"/>
  <c r="E57" i="1"/>
  <c r="D57" i="1"/>
  <c r="H56" i="1"/>
  <c r="G56" i="1"/>
  <c r="F56" i="1"/>
  <c r="E56" i="1"/>
  <c r="D56" i="1"/>
  <c r="H55" i="1"/>
  <c r="G55" i="1"/>
  <c r="F55" i="1"/>
  <c r="E55" i="1"/>
  <c r="D55" i="1"/>
  <c r="H54" i="1"/>
  <c r="G54" i="1"/>
  <c r="F54" i="1"/>
  <c r="E54" i="1"/>
  <c r="D54" i="1"/>
  <c r="H53" i="1"/>
  <c r="G53" i="1"/>
  <c r="F53" i="1"/>
  <c r="E53" i="1"/>
  <c r="D53" i="1"/>
  <c r="H52" i="1"/>
  <c r="G52" i="1"/>
  <c r="F52" i="1"/>
  <c r="E52" i="1"/>
  <c r="D52" i="1"/>
  <c r="H51" i="1"/>
  <c r="G51" i="1"/>
  <c r="F51" i="1"/>
  <c r="E51" i="1"/>
  <c r="D51" i="1"/>
  <c r="H50" i="1"/>
  <c r="G50" i="1"/>
  <c r="F50" i="1"/>
  <c r="E50" i="1"/>
  <c r="D50" i="1"/>
  <c r="H49" i="1"/>
  <c r="G49" i="1"/>
  <c r="F49" i="1"/>
  <c r="E49" i="1"/>
  <c r="D49" i="1"/>
  <c r="H48" i="1"/>
  <c r="G48" i="1"/>
  <c r="F48" i="1"/>
  <c r="E48" i="1"/>
  <c r="D48" i="1"/>
  <c r="H47" i="1"/>
  <c r="G47" i="1"/>
  <c r="F47" i="1"/>
  <c r="E47" i="1"/>
  <c r="D47" i="1"/>
  <c r="H46" i="1"/>
  <c r="G46" i="1"/>
  <c r="F46" i="1"/>
  <c r="E46" i="1"/>
  <c r="D46" i="1"/>
  <c r="H45" i="1"/>
  <c r="G45" i="1"/>
  <c r="F45" i="1"/>
  <c r="E45" i="1"/>
  <c r="D45" i="1"/>
  <c r="H44" i="1"/>
  <c r="G44" i="1"/>
  <c r="F44" i="1"/>
  <c r="E44" i="1"/>
  <c r="D44" i="1"/>
  <c r="H43" i="1"/>
  <c r="G43" i="1"/>
  <c r="F43" i="1"/>
  <c r="E43" i="1"/>
  <c r="D43" i="1"/>
  <c r="H42" i="1"/>
  <c r="G42" i="1"/>
  <c r="F42" i="1"/>
  <c r="E42" i="1"/>
  <c r="D42" i="1"/>
  <c r="H41" i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H37" i="1"/>
  <c r="G37" i="1"/>
  <c r="F37" i="1"/>
  <c r="E37" i="1"/>
  <c r="D37" i="1"/>
  <c r="H36" i="1"/>
  <c r="G36" i="1"/>
  <c r="F36" i="1"/>
  <c r="E36" i="1"/>
  <c r="D36" i="1"/>
  <c r="H35" i="1"/>
  <c r="G35" i="1"/>
  <c r="F35" i="1"/>
  <c r="E35" i="1"/>
  <c r="D35" i="1"/>
  <c r="H34" i="1"/>
  <c r="G34" i="1"/>
  <c r="F34" i="1"/>
  <c r="E34" i="1"/>
  <c r="D34" i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H28" i="1"/>
  <c r="G28" i="1"/>
  <c r="F28" i="1"/>
  <c r="E28" i="1"/>
  <c r="D28" i="1"/>
  <c r="H27" i="1"/>
  <c r="G27" i="1"/>
  <c r="F27" i="1"/>
  <c r="E27" i="1"/>
  <c r="D27" i="1"/>
  <c r="H26" i="1"/>
  <c r="G26" i="1"/>
  <c r="F26" i="1"/>
  <c r="E26" i="1"/>
  <c r="D26" i="1"/>
  <c r="H25" i="1"/>
  <c r="G25" i="1"/>
  <c r="F25" i="1"/>
  <c r="E25" i="1"/>
  <c r="D25" i="1"/>
  <c r="H24" i="1"/>
  <c r="G24" i="1"/>
  <c r="F24" i="1"/>
  <c r="E24" i="1"/>
  <c r="D24" i="1"/>
  <c r="H23" i="1"/>
  <c r="G23" i="1"/>
  <c r="F23" i="1"/>
  <c r="E23" i="1"/>
  <c r="D23" i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<sst xmlns="http://schemas.openxmlformats.org/spreadsheetml/2006/main" count="34" uniqueCount="29">
  <si>
    <t>RNUM</t>
  </si>
  <si>
    <t>REPORT_DATE</t>
  </si>
  <si>
    <t>CREDITOR_ID</t>
  </si>
  <si>
    <t>Номер счета</t>
  </si>
  <si>
    <t>Наименование номера счета</t>
  </si>
  <si>
    <t>Признак резидентства</t>
  </si>
  <si>
    <t>Код сектора экономики</t>
  </si>
  <si>
    <t>Код группы валют</t>
  </si>
  <si>
    <t>Сумма</t>
  </si>
  <si>
    <t>="Неинвестированные остатки на банковских счетах, предназначенных для учета денег клиентов лица, осуществляющего функции номинального держателя, в том числе на основании соответствующей лицензии Комитета Международного финансового центра «Астана» по регул</t>
  </si>
  <si>
    <t>Расходы по операциям "РЕПО" с ценными бумагами</t>
  </si>
  <si>
    <t>="Расходы, связанные с выплатой вознаграждения по долгосрочным займам, полученным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</t>
  </si>
  <si>
    <t>Приложение 2 к постановлению Правления
 Национального Банка Республики Казахстан от 21.04.2020г. №54</t>
  </si>
  <si>
    <t>Отчет об остатках на балансовых и внебалансовых счетах</t>
  </si>
  <si>
    <t>АО 'Банк ' RBK'</t>
  </si>
  <si>
    <t>Адрес</t>
  </si>
  <si>
    <t>г.Алматы  Площадь Республики 15</t>
  </si>
  <si>
    <t>Телефон</t>
  </si>
  <si>
    <t>8(727) 330 90 30</t>
  </si>
  <si>
    <t>Адрес электронной почты</t>
  </si>
  <si>
    <t>URO@bankrbk.kz</t>
  </si>
  <si>
    <t>Исполнитель</t>
  </si>
  <si>
    <t>Смаилов Д.Е.                      330 90 30 (1282)</t>
  </si>
  <si>
    <t>ФИО     Подпись   Телефон</t>
  </si>
  <si>
    <t>Главный бухгалтер или лицо, уполномоченное на подписание отчета:</t>
  </si>
  <si>
    <t>Первый руководитель или лицо, уполномоченное на подписание отчета:</t>
  </si>
  <si>
    <t>Куликова Т.М.                      +7 (727) 330-90-30*1075</t>
  </si>
  <si>
    <t>Рысбекова А.М.                      +7 (727) 330-90-30*1256</t>
  </si>
  <si>
    <t>по состоянию на 01.10.2025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</si>
</sst>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#,##0_-;\-\ #,##0_-;_-\ &quot; &quot;_-;_-@_-"/>
  </numFmts>
  <fonts count="23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  <font>
      <u/>
      <sz val="1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8" fillId="0" borderId="0" xfId="0" applyNumberFormat="1" applyFont="1"/>
    <xf numFmtId="4" fontId="0" fillId="0" borderId="0" xfId="0" applyNumberFormat="1"/>
    <xf numFmtId="0" fontId="21" fillId="0" borderId="0" xfId="0" applyFont="1"/>
    <xf numFmtId="0" fontId="0" fillId="0" borderId="0" xfId="0" applyFont="1" applyAlignment="1">
      <alignment horizontal="center"/>
    </xf>
    <xf numFmtId="4" fontId="21" fillId="0" borderId="0" xfId="42" applyNumberFormat="1" applyFont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/>
    <xf numFmtId="0" fontId="0" fillId="0" borderId="0" xfId="0"/>
    <xf numFmtId="14" fontId="18" fillId="0" borderId="0" xfId="0" applyNumberFormat="1" applyFont="1"/>
    <xf numFmtId="164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/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1"/>
  <sheetViews>
    <sheetView tabSelected="1" zoomScale="85" zoomScaleNormal="85" workbookViewId="0">
      <pane xSplit="4" ySplit="10" topLeftCell="E703" activePane="bottomRight" state="frozen"/>
      <selection pane="topRight" activeCell="E1" sqref="E1"/>
      <selection pane="bottomLeft" activeCell="A11" sqref="A11"/>
      <selection pane="bottomRight" activeCell="D10" sqref="D10"/>
    </sheetView>
  </sheetViews>
  <sheetFormatPr defaultRowHeight="15.75" x14ac:dyDescent="0.25"/>
  <cols>
    <col min="1" max="1" width="6.875" style="4" customWidth="1"/>
    <col min="2" max="2" width="10.875" customWidth="1"/>
    <col min="3" max="3" width="5.625" customWidth="1"/>
    <col min="4" max="4" width="14.25" bestFit="1" customWidth="1"/>
    <col min="5" max="5" width="39.875" customWidth="1"/>
    <col min="6" max="6" width="23.375" bestFit="1" customWidth="1"/>
    <col min="7" max="7" width="24.625" bestFit="1" customWidth="1"/>
    <col min="8" max="8" width="20.125" bestFit="1" customWidth="1"/>
    <col min="9" max="9" width="23.75" style="6" customWidth="1"/>
  </cols>
  <sheetData>
    <row r="1" spans="1:9" ht="30.75" customHeight="1" x14ac:dyDescent="0.25">
      <c r="A1" s="21" t="s">
        <v>12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3" t="s">
        <v>13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3" t="s">
        <v>14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7"/>
      <c r="B4" s="7"/>
      <c r="C4" s="7"/>
      <c r="D4" s="7"/>
      <c r="E4" s="8" t="s">
        <v>28</v>
      </c>
      <c r="F4" s="7"/>
      <c r="G4" s="7"/>
      <c r="H4" s="7"/>
      <c r="I4" s="9"/>
    </row>
    <row r="5" spans="1:9" ht="15" x14ac:dyDescent="0.25">
      <c r="A5" s="10"/>
    </row>
    <row r="6" spans="1:9" ht="15" x14ac:dyDescent="0.25">
      <c r="A6" s="10"/>
    </row>
    <row r="7" spans="1:9" ht="15" x14ac:dyDescent="0.25">
      <c r="A7" s="10"/>
    </row>
    <row r="8" spans="1:9" ht="15" x14ac:dyDescent="0.25">
      <c r="A8" s="10"/>
    </row>
    <row r="9" spans="1:9" ht="15" x14ac:dyDescent="0.25">
      <c r="A9" s="10"/>
    </row>
    <row r="10" spans="1:9" x14ac:dyDescent="0.25">
      <c r="A10" s="3" t="s">
        <v>0</v>
      </c>
      <c r="B10" s="15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5" t="s">
        <v>8</v>
      </c>
    </row>
    <row r="11" spans="1:9" x14ac:dyDescent="0.25">
      <c r="A11" s="10">
        <v>1</v>
      </c>
      <c r="B11" s="1">
        <v>45930</v>
      </c>
      <c r="C11" s="14">
        <v>8</v>
      </c>
      <c r="D11" s="14" t="str">
        <f>"1001"</f>
        <v>1001</v>
      </c>
      <c r="E11" s="14" t="str">
        <f>"Наличность в кассе"</f>
        <v>Наличность в кассе</v>
      </c>
      <c r="F11" s="14" t="str">
        <f>"1"</f>
        <v>1</v>
      </c>
      <c r="G11" s="14" t="str">
        <f t="shared" ref="G11:G17" si="0">"3"</f>
        <v>3</v>
      </c>
      <c r="H11" s="14" t="str">
        <f>"1"</f>
        <v>1</v>
      </c>
      <c r="I11" s="6">
        <v>2737068760</v>
      </c>
    </row>
    <row r="12" spans="1:9" x14ac:dyDescent="0.25">
      <c r="A12" s="10">
        <v>2</v>
      </c>
      <c r="B12" s="1">
        <v>45930</v>
      </c>
      <c r="C12" s="14">
        <v>8</v>
      </c>
      <c r="D12" s="14" t="str">
        <f>"1001"</f>
        <v>1001</v>
      </c>
      <c r="E12" s="14" t="str">
        <f>"Наличность в кассе"</f>
        <v>Наличность в кассе</v>
      </c>
      <c r="F12" s="14" t="str">
        <f>"2"</f>
        <v>2</v>
      </c>
      <c r="G12" s="14" t="str">
        <f t="shared" si="0"/>
        <v>3</v>
      </c>
      <c r="H12" s="14" t="str">
        <f>"2"</f>
        <v>2</v>
      </c>
      <c r="I12" s="6">
        <v>15818106336.610001</v>
      </c>
    </row>
    <row r="13" spans="1:9" x14ac:dyDescent="0.25">
      <c r="A13" s="10">
        <v>3</v>
      </c>
      <c r="B13" s="1">
        <v>45930</v>
      </c>
      <c r="C13" s="14">
        <v>8</v>
      </c>
      <c r="D13" s="14" t="str">
        <f>"1001"</f>
        <v>1001</v>
      </c>
      <c r="E13" s="14" t="str">
        <f>"Наличность в кассе"</f>
        <v>Наличность в кассе</v>
      </c>
      <c r="F13" s="14" t="str">
        <f>"2"</f>
        <v>2</v>
      </c>
      <c r="G13" s="14" t="str">
        <f t="shared" si="0"/>
        <v>3</v>
      </c>
      <c r="H13" s="14" t="str">
        <f>"3"</f>
        <v>3</v>
      </c>
      <c r="I13" s="6">
        <v>2864466832.5</v>
      </c>
    </row>
    <row r="14" spans="1:9" x14ac:dyDescent="0.25">
      <c r="A14" s="10">
        <v>4</v>
      </c>
      <c r="B14" s="1">
        <v>45930</v>
      </c>
      <c r="C14" s="14">
        <v>8</v>
      </c>
      <c r="D14" s="14" t="str">
        <f>"1002"</f>
        <v>1002</v>
      </c>
      <c r="E14" s="14" t="str">
        <f>"Банкноты и монеты в пути"</f>
        <v>Банкноты и монеты в пути</v>
      </c>
      <c r="F14" s="14" t="str">
        <f>"1"</f>
        <v>1</v>
      </c>
      <c r="G14" s="14" t="str">
        <f t="shared" si="0"/>
        <v>3</v>
      </c>
      <c r="H14" s="14" t="str">
        <f>"1"</f>
        <v>1</v>
      </c>
      <c r="I14" s="6">
        <v>2189501281</v>
      </c>
    </row>
    <row r="15" spans="1:9" x14ac:dyDescent="0.25">
      <c r="A15" s="10">
        <v>5</v>
      </c>
      <c r="B15" s="1">
        <v>45930</v>
      </c>
      <c r="C15" s="14">
        <v>8</v>
      </c>
      <c r="D15" s="14" t="str">
        <f>"1002"</f>
        <v>1002</v>
      </c>
      <c r="E15" s="14" t="str">
        <f>"Банкноты и монеты в пути"</f>
        <v>Банкноты и монеты в пути</v>
      </c>
      <c r="F15" s="14" t="str">
        <f>"2"</f>
        <v>2</v>
      </c>
      <c r="G15" s="14" t="str">
        <f t="shared" si="0"/>
        <v>3</v>
      </c>
      <c r="H15" s="14" t="str">
        <f>"2"</f>
        <v>2</v>
      </c>
      <c r="I15" s="6">
        <v>2361766414.5599999</v>
      </c>
    </row>
    <row r="16" spans="1:9" x14ac:dyDescent="0.25">
      <c r="A16" s="10">
        <v>6</v>
      </c>
      <c r="B16" s="1">
        <v>45930</v>
      </c>
      <c r="C16" s="14">
        <v>8</v>
      </c>
      <c r="D16" s="14" t="str">
        <f>"1002"</f>
        <v>1002</v>
      </c>
      <c r="E16" s="14" t="str">
        <f>"Банкноты и монеты в пути"</f>
        <v>Банкноты и монеты в пути</v>
      </c>
      <c r="F16" s="14" t="str">
        <f>"2"</f>
        <v>2</v>
      </c>
      <c r="G16" s="14" t="str">
        <f t="shared" si="0"/>
        <v>3</v>
      </c>
      <c r="H16" s="14" t="str">
        <f>"3"</f>
        <v>3</v>
      </c>
      <c r="I16" s="6">
        <v>26647259.399999999</v>
      </c>
    </row>
    <row r="17" spans="1:9" x14ac:dyDescent="0.25">
      <c r="A17" s="10">
        <v>7</v>
      </c>
      <c r="B17" s="1">
        <v>45930</v>
      </c>
      <c r="C17" s="14">
        <v>8</v>
      </c>
      <c r="D17" s="14" t="str">
        <f>"1005"</f>
        <v>1005</v>
      </c>
      <c r="E17" s="14" t="str">
        <f>"Наличность в банкоматах и электронных терминалах"</f>
        <v>Наличность в банкоматах и электронных терминалах</v>
      </c>
      <c r="F17" s="14" t="str">
        <f>"1"</f>
        <v>1</v>
      </c>
      <c r="G17" s="14" t="str">
        <f t="shared" si="0"/>
        <v>3</v>
      </c>
      <c r="H17" s="14" t="str">
        <f>"1"</f>
        <v>1</v>
      </c>
      <c r="I17" s="6">
        <v>4090140000</v>
      </c>
    </row>
    <row r="18" spans="1:9" x14ac:dyDescent="0.25">
      <c r="A18" s="10">
        <v>8</v>
      </c>
      <c r="B18" s="1">
        <v>45930</v>
      </c>
      <c r="C18" s="14">
        <v>8</v>
      </c>
      <c r="D18" s="14" t="str">
        <f>"1013"</f>
        <v>1013</v>
      </c>
      <c r="E18" s="14" t="str">
        <f>"Аффинированные драгоценные металлы, размещенные на металлических счетах"</f>
        <v>Аффинированные драгоценные металлы, размещенные на металлических счетах</v>
      </c>
      <c r="F18" s="14" t="str">
        <f>"2"</f>
        <v>2</v>
      </c>
      <c r="G18" s="14" t="str">
        <f>"4"</f>
        <v>4</v>
      </c>
      <c r="H18" s="14" t="str">
        <f>""</f>
        <v/>
      </c>
      <c r="I18" s="6">
        <v>1000262102.27</v>
      </c>
    </row>
    <row r="19" spans="1:9" x14ac:dyDescent="0.25">
      <c r="A19" s="10">
        <v>9</v>
      </c>
      <c r="B19" s="1">
        <v>45930</v>
      </c>
      <c r="C19" s="14">
        <v>8</v>
      </c>
      <c r="D19" s="14" t="str">
        <f>"1051"</f>
        <v>1051</v>
      </c>
      <c r="E19" s="14" t="str">
        <f>"Корреспондентский счет в Национальном Банке Республики Казахстан"</f>
        <v>Корреспондентский счет в Национальном Банке Республики Казахстан</v>
      </c>
      <c r="F19" s="14" t="str">
        <f>"1"</f>
        <v>1</v>
      </c>
      <c r="G19" s="14" t="str">
        <f>"3"</f>
        <v>3</v>
      </c>
      <c r="H19" s="14" t="str">
        <f>"1"</f>
        <v>1</v>
      </c>
      <c r="I19" s="6">
        <v>116767586063.91</v>
      </c>
    </row>
    <row r="20" spans="1:9" x14ac:dyDescent="0.25">
      <c r="A20" s="10">
        <v>10</v>
      </c>
      <c r="B20" s="1">
        <v>45930</v>
      </c>
      <c r="C20" s="14">
        <v>8</v>
      </c>
      <c r="D20" s="14" t="str">
        <f>"1051"</f>
        <v>1051</v>
      </c>
      <c r="E20" s="14" t="str">
        <f>"Корреспондентский счет в Национальном Банке Республики Казахстан"</f>
        <v>Корреспондентский счет в Национальном Банке Республики Казахстан</v>
      </c>
      <c r="F20" s="14" t="str">
        <f>"1"</f>
        <v>1</v>
      </c>
      <c r="G20" s="14" t="str">
        <f>"3"</f>
        <v>3</v>
      </c>
      <c r="H20" s="14" t="str">
        <f>"3"</f>
        <v>3</v>
      </c>
      <c r="I20" s="6">
        <v>3338517199.2800002</v>
      </c>
    </row>
    <row r="21" spans="1:9" x14ac:dyDescent="0.25">
      <c r="A21" s="10">
        <v>11</v>
      </c>
      <c r="B21" s="1">
        <v>45930</v>
      </c>
      <c r="C21" s="14">
        <v>8</v>
      </c>
      <c r="D21" s="14" t="str">
        <f>"1051"</f>
        <v>1051</v>
      </c>
      <c r="E21" s="14" t="str">
        <f>"Корреспондентский счет в Национальном Банке Республики Казахстан"</f>
        <v>Корреспондентский счет в Национальном Банке Республики Казахстан</v>
      </c>
      <c r="F21" s="14" t="str">
        <f>"1"</f>
        <v>1</v>
      </c>
      <c r="G21" s="14" t="str">
        <f>"3"</f>
        <v>3</v>
      </c>
      <c r="H21" s="14" t="str">
        <f>"2"</f>
        <v>2</v>
      </c>
      <c r="I21" s="6">
        <v>50411714601.690002</v>
      </c>
    </row>
    <row r="22" spans="1:9" x14ac:dyDescent="0.25">
      <c r="A22" s="10">
        <v>12</v>
      </c>
      <c r="B22" s="1">
        <v>45930</v>
      </c>
      <c r="C22" s="14">
        <v>8</v>
      </c>
      <c r="D22" s="14" t="str">
        <f t="shared" ref="D22:D30" si="1">"1052"</f>
        <v>1052</v>
      </c>
      <c r="E22" s="14" t="str">
        <f t="shared" ref="E22:E30" si="2">"Корреспондентские счета в других банках"</f>
        <v>Корреспондентские счета в других банках</v>
      </c>
      <c r="F22" s="14" t="str">
        <f>"2"</f>
        <v>2</v>
      </c>
      <c r="G22" s="14" t="str">
        <f>"3"</f>
        <v>3</v>
      </c>
      <c r="H22" s="14" t="str">
        <f>"3"</f>
        <v>3</v>
      </c>
      <c r="I22" s="6">
        <v>9194976252.2999992</v>
      </c>
    </row>
    <row r="23" spans="1:9" x14ac:dyDescent="0.25">
      <c r="A23" s="10">
        <v>13</v>
      </c>
      <c r="B23" s="1">
        <v>45930</v>
      </c>
      <c r="C23" s="14">
        <v>8</v>
      </c>
      <c r="D23" s="14" t="str">
        <f t="shared" si="1"/>
        <v>1052</v>
      </c>
      <c r="E23" s="14" t="str">
        <f t="shared" si="2"/>
        <v>Корреспондентские счета в других банках</v>
      </c>
      <c r="F23" s="14" t="str">
        <f>"2"</f>
        <v>2</v>
      </c>
      <c r="G23" s="14" t="str">
        <f>"3"</f>
        <v>3</v>
      </c>
      <c r="H23" s="14" t="str">
        <f>"2"</f>
        <v>2</v>
      </c>
      <c r="I23" s="6">
        <v>322.44</v>
      </c>
    </row>
    <row r="24" spans="1:9" x14ac:dyDescent="0.25">
      <c r="A24" s="10">
        <v>14</v>
      </c>
      <c r="B24" s="1">
        <v>45930</v>
      </c>
      <c r="C24" s="14">
        <v>8</v>
      </c>
      <c r="D24" s="14" t="str">
        <f t="shared" si="1"/>
        <v>1052</v>
      </c>
      <c r="E24" s="14" t="str">
        <f t="shared" si="2"/>
        <v>Корреспондентские счета в других банках</v>
      </c>
      <c r="F24" s="14" t="str">
        <f>"2"</f>
        <v>2</v>
      </c>
      <c r="G24" s="14" t="str">
        <f>"5"</f>
        <v>5</v>
      </c>
      <c r="H24" s="14" t="str">
        <f>"2"</f>
        <v>2</v>
      </c>
      <c r="I24" s="6">
        <v>94205.77</v>
      </c>
    </row>
    <row r="25" spans="1:9" x14ac:dyDescent="0.25">
      <c r="A25" s="10">
        <v>15</v>
      </c>
      <c r="B25" s="1">
        <v>45930</v>
      </c>
      <c r="C25" s="14">
        <v>8</v>
      </c>
      <c r="D25" s="14" t="str">
        <f t="shared" si="1"/>
        <v>1052</v>
      </c>
      <c r="E25" s="14" t="str">
        <f t="shared" si="2"/>
        <v>Корреспондентские счета в других банках</v>
      </c>
      <c r="F25" s="14" t="str">
        <f>"2"</f>
        <v>2</v>
      </c>
      <c r="G25" s="14" t="str">
        <f>"5"</f>
        <v>5</v>
      </c>
      <c r="H25" s="14" t="str">
        <f>"1"</f>
        <v>1</v>
      </c>
      <c r="I25" s="6">
        <v>889169.33</v>
      </c>
    </row>
    <row r="26" spans="1:9" x14ac:dyDescent="0.25">
      <c r="A26" s="10">
        <v>16</v>
      </c>
      <c r="B26" s="1">
        <v>45930</v>
      </c>
      <c r="C26" s="14">
        <v>8</v>
      </c>
      <c r="D26" s="14" t="str">
        <f t="shared" si="1"/>
        <v>1052</v>
      </c>
      <c r="E26" s="14" t="str">
        <f t="shared" si="2"/>
        <v>Корреспондентские счета в других банках</v>
      </c>
      <c r="F26" s="14" t="str">
        <f>"1"</f>
        <v>1</v>
      </c>
      <c r="G26" s="14" t="str">
        <f>"5"</f>
        <v>5</v>
      </c>
      <c r="H26" s="14" t="str">
        <f>"2"</f>
        <v>2</v>
      </c>
      <c r="I26" s="6">
        <v>491310568.89999998</v>
      </c>
    </row>
    <row r="27" spans="1:9" x14ac:dyDescent="0.25">
      <c r="A27" s="10">
        <v>17</v>
      </c>
      <c r="B27" s="1">
        <v>45930</v>
      </c>
      <c r="C27" s="14">
        <v>8</v>
      </c>
      <c r="D27" s="14" t="str">
        <f t="shared" si="1"/>
        <v>1052</v>
      </c>
      <c r="E27" s="14" t="str">
        <f t="shared" si="2"/>
        <v>Корреспондентские счета в других банках</v>
      </c>
      <c r="F27" s="14" t="str">
        <f>"2"</f>
        <v>2</v>
      </c>
      <c r="G27" s="14" t="str">
        <f>"4"</f>
        <v>4</v>
      </c>
      <c r="H27" s="14" t="str">
        <f>"3"</f>
        <v>3</v>
      </c>
      <c r="I27" s="6">
        <v>2184216879.3800001</v>
      </c>
    </row>
    <row r="28" spans="1:9" x14ac:dyDescent="0.25">
      <c r="A28" s="10">
        <v>18</v>
      </c>
      <c r="B28" s="1">
        <v>45930</v>
      </c>
      <c r="C28" s="14">
        <v>8</v>
      </c>
      <c r="D28" s="14" t="str">
        <f t="shared" si="1"/>
        <v>1052</v>
      </c>
      <c r="E28" s="14" t="str">
        <f t="shared" si="2"/>
        <v>Корреспондентские счета в других банках</v>
      </c>
      <c r="F28" s="14" t="str">
        <f>"2"</f>
        <v>2</v>
      </c>
      <c r="G28" s="14" t="str">
        <f>"5"</f>
        <v>5</v>
      </c>
      <c r="H28" s="14" t="str">
        <f>"3"</f>
        <v>3</v>
      </c>
      <c r="I28" s="6">
        <v>2972453.1</v>
      </c>
    </row>
    <row r="29" spans="1:9" x14ac:dyDescent="0.25">
      <c r="A29" s="10">
        <v>19</v>
      </c>
      <c r="B29" s="1">
        <v>45930</v>
      </c>
      <c r="C29" s="14">
        <v>8</v>
      </c>
      <c r="D29" s="14" t="str">
        <f t="shared" si="1"/>
        <v>1052</v>
      </c>
      <c r="E29" s="14" t="str">
        <f t="shared" si="2"/>
        <v>Корреспондентские счета в других банках</v>
      </c>
      <c r="F29" s="14" t="str">
        <f>"2"</f>
        <v>2</v>
      </c>
      <c r="G29" s="14" t="str">
        <f>"4"</f>
        <v>4</v>
      </c>
      <c r="H29" s="14" t="str">
        <f>"2"</f>
        <v>2</v>
      </c>
      <c r="I29" s="6">
        <v>52138813137.830002</v>
      </c>
    </row>
    <row r="30" spans="1:9" x14ac:dyDescent="0.25">
      <c r="A30" s="10">
        <v>20</v>
      </c>
      <c r="B30" s="1">
        <v>45930</v>
      </c>
      <c r="C30" s="14">
        <v>8</v>
      </c>
      <c r="D30" s="14" t="str">
        <f t="shared" si="1"/>
        <v>1052</v>
      </c>
      <c r="E30" s="14" t="str">
        <f t="shared" si="2"/>
        <v>Корреспондентские счета в других банках</v>
      </c>
      <c r="F30" s="14" t="str">
        <f>"1"</f>
        <v>1</v>
      </c>
      <c r="G30" s="14" t="str">
        <f>"4"</f>
        <v>4</v>
      </c>
      <c r="H30" s="14" t="str">
        <f>"2"</f>
        <v>2</v>
      </c>
      <c r="I30" s="6">
        <v>10542515404.66</v>
      </c>
    </row>
    <row r="31" spans="1:9" x14ac:dyDescent="0.25">
      <c r="A31" s="10">
        <v>21</v>
      </c>
      <c r="B31" s="1">
        <v>45930</v>
      </c>
      <c r="C31" s="14">
        <v>8</v>
      </c>
      <c r="D31" s="14" t="str">
        <f t="shared" ref="D31:D41" si="3">"1054"</f>
        <v>1054</v>
      </c>
      <c r="E31" s="14" t="str">
        <f t="shared" ref="E31:E41" si="4">"Резервы (провизии) по корреспондентским счетам в других банках и текущим счетам ипотечных организаций"</f>
        <v>Резервы (провизии) по корреспондентским счетам в других банках и текущим счетам ипотечных организаций</v>
      </c>
      <c r="F31" s="14" t="str">
        <f>"2"</f>
        <v>2</v>
      </c>
      <c r="G31" s="14" t="str">
        <f>"3"</f>
        <v>3</v>
      </c>
      <c r="H31" s="14" t="str">
        <f>"3"</f>
        <v>3</v>
      </c>
      <c r="I31" s="6">
        <v>-47078.27</v>
      </c>
    </row>
    <row r="32" spans="1:9" x14ac:dyDescent="0.25">
      <c r="A32" s="10">
        <v>22</v>
      </c>
      <c r="B32" s="1">
        <v>45930</v>
      </c>
      <c r="C32" s="14">
        <v>8</v>
      </c>
      <c r="D32" s="14" t="str">
        <f t="shared" si="3"/>
        <v>1054</v>
      </c>
      <c r="E32" s="14" t="str">
        <f t="shared" si="4"/>
        <v>Резервы (провизии) по корреспондентским счетам в других банках и текущим счетам ипотечных организаций</v>
      </c>
      <c r="F32" s="14" t="str">
        <f>"1"</f>
        <v>1</v>
      </c>
      <c r="G32" s="14" t="str">
        <f>"3"</f>
        <v>3</v>
      </c>
      <c r="H32" s="14" t="str">
        <f>"3"</f>
        <v>3</v>
      </c>
      <c r="I32" s="6">
        <v>-73347.25</v>
      </c>
    </row>
    <row r="33" spans="1:9" x14ac:dyDescent="0.25">
      <c r="A33" s="10">
        <v>23</v>
      </c>
      <c r="B33" s="1">
        <v>45930</v>
      </c>
      <c r="C33" s="14">
        <v>8</v>
      </c>
      <c r="D33" s="14" t="str">
        <f t="shared" si="3"/>
        <v>1054</v>
      </c>
      <c r="E33" s="14" t="str">
        <f t="shared" si="4"/>
        <v>Резервы (провизии) по корреспондентским счетам в других банках и текущим счетам ипотечных организаций</v>
      </c>
      <c r="F33" s="14" t="str">
        <f>"2"</f>
        <v>2</v>
      </c>
      <c r="G33" s="14" t="str">
        <f>"5"</f>
        <v>5</v>
      </c>
      <c r="H33" s="14" t="str">
        <f>"1"</f>
        <v>1</v>
      </c>
      <c r="I33" s="6">
        <v>-194603.78</v>
      </c>
    </row>
    <row r="34" spans="1:9" x14ac:dyDescent="0.25">
      <c r="A34" s="10">
        <v>24</v>
      </c>
      <c r="B34" s="1">
        <v>45930</v>
      </c>
      <c r="C34" s="14">
        <v>8</v>
      </c>
      <c r="D34" s="14" t="str">
        <f t="shared" si="3"/>
        <v>1054</v>
      </c>
      <c r="E34" s="14" t="str">
        <f t="shared" si="4"/>
        <v>Резервы (провизии) по корреспондентским счетам в других банках и текущим счетам ипотечных организаций</v>
      </c>
      <c r="F34" s="14" t="str">
        <f>"2"</f>
        <v>2</v>
      </c>
      <c r="G34" s="14" t="str">
        <f>"5"</f>
        <v>5</v>
      </c>
      <c r="H34" s="14" t="str">
        <f>"3"</f>
        <v>3</v>
      </c>
      <c r="I34" s="6">
        <v>-650551.66</v>
      </c>
    </row>
    <row r="35" spans="1:9" x14ac:dyDescent="0.25">
      <c r="A35" s="10">
        <v>25</v>
      </c>
      <c r="B35" s="1">
        <v>45930</v>
      </c>
      <c r="C35" s="14">
        <v>8</v>
      </c>
      <c r="D35" s="14" t="str">
        <f t="shared" si="3"/>
        <v>1054</v>
      </c>
      <c r="E35" s="14" t="str">
        <f t="shared" si="4"/>
        <v>Резервы (провизии) по корреспондентским счетам в других банках и текущим счетам ипотечных организаций</v>
      </c>
      <c r="F35" s="14" t="str">
        <f>"1"</f>
        <v>1</v>
      </c>
      <c r="G35" s="14" t="str">
        <f>"3"</f>
        <v>3</v>
      </c>
      <c r="H35" s="14" t="str">
        <f>"1"</f>
        <v>1</v>
      </c>
      <c r="I35" s="6">
        <v>-2584229.59</v>
      </c>
    </row>
    <row r="36" spans="1:9" x14ac:dyDescent="0.25">
      <c r="A36" s="10">
        <v>26</v>
      </c>
      <c r="B36" s="1">
        <v>45930</v>
      </c>
      <c r="C36" s="14">
        <v>8</v>
      </c>
      <c r="D36" s="14" t="str">
        <f t="shared" si="3"/>
        <v>1054</v>
      </c>
      <c r="E36" s="14" t="str">
        <f t="shared" si="4"/>
        <v>Резервы (провизии) по корреспондентским счетам в других банках и текущим счетам ипотечных организаций</v>
      </c>
      <c r="F36" s="14" t="str">
        <f>"1"</f>
        <v>1</v>
      </c>
      <c r="G36" s="14" t="str">
        <f>"4"</f>
        <v>4</v>
      </c>
      <c r="H36" s="14" t="str">
        <f>"2"</f>
        <v>2</v>
      </c>
      <c r="I36" s="6">
        <v>-80574.59</v>
      </c>
    </row>
    <row r="37" spans="1:9" x14ac:dyDescent="0.25">
      <c r="A37" s="10">
        <v>27</v>
      </c>
      <c r="B37" s="1">
        <v>45930</v>
      </c>
      <c r="C37" s="14">
        <v>8</v>
      </c>
      <c r="D37" s="14" t="str">
        <f t="shared" si="3"/>
        <v>1054</v>
      </c>
      <c r="E37" s="14" t="str">
        <f t="shared" si="4"/>
        <v>Резервы (провизии) по корреспондентским счетам в других банках и текущим счетам ипотечных организаций</v>
      </c>
      <c r="F37" s="14" t="str">
        <f>"1"</f>
        <v>1</v>
      </c>
      <c r="G37" s="14" t="str">
        <f>"3"</f>
        <v>3</v>
      </c>
      <c r="H37" s="14" t="str">
        <f>"2"</f>
        <v>2</v>
      </c>
      <c r="I37" s="6">
        <v>-1107545.82</v>
      </c>
    </row>
    <row r="38" spans="1:9" x14ac:dyDescent="0.25">
      <c r="A38" s="10">
        <v>28</v>
      </c>
      <c r="B38" s="1">
        <v>45930</v>
      </c>
      <c r="C38" s="14">
        <v>8</v>
      </c>
      <c r="D38" s="14" t="str">
        <f t="shared" si="3"/>
        <v>1054</v>
      </c>
      <c r="E38" s="14" t="str">
        <f t="shared" si="4"/>
        <v>Резервы (провизии) по корреспондентским счетам в других банках и текущим счетам ипотечных организаций</v>
      </c>
      <c r="F38" s="14" t="str">
        <f>"2"</f>
        <v>2</v>
      </c>
      <c r="G38" s="14" t="str">
        <f>"4"</f>
        <v>4</v>
      </c>
      <c r="H38" s="14" t="str">
        <f>"2"</f>
        <v>2</v>
      </c>
      <c r="I38" s="6">
        <v>-96287.74</v>
      </c>
    </row>
    <row r="39" spans="1:9" x14ac:dyDescent="0.25">
      <c r="A39" s="10">
        <v>29</v>
      </c>
      <c r="B39" s="1">
        <v>45930</v>
      </c>
      <c r="C39" s="14">
        <v>8</v>
      </c>
      <c r="D39" s="14" t="str">
        <f t="shared" si="3"/>
        <v>1054</v>
      </c>
      <c r="E39" s="14" t="str">
        <f t="shared" si="4"/>
        <v>Резервы (провизии) по корреспондентским счетам в других банках и текущим счетам ипотечных организаций</v>
      </c>
      <c r="F39" s="14" t="str">
        <f>"2"</f>
        <v>2</v>
      </c>
      <c r="G39" s="14" t="str">
        <f>"4"</f>
        <v>4</v>
      </c>
      <c r="H39" s="14" t="str">
        <f>"3"</f>
        <v>3</v>
      </c>
      <c r="I39" s="6">
        <v>-10701779.66</v>
      </c>
    </row>
    <row r="40" spans="1:9" x14ac:dyDescent="0.25">
      <c r="A40" s="10">
        <v>30</v>
      </c>
      <c r="B40" s="1">
        <v>45930</v>
      </c>
      <c r="C40" s="14">
        <v>8</v>
      </c>
      <c r="D40" s="14" t="str">
        <f t="shared" si="3"/>
        <v>1054</v>
      </c>
      <c r="E40" s="14" t="str">
        <f t="shared" si="4"/>
        <v>Резервы (провизии) по корреспондентским счетам в других банках и текущим счетам ипотечных организаций</v>
      </c>
      <c r="F40" s="14" t="str">
        <f>"2"</f>
        <v>2</v>
      </c>
      <c r="G40" s="14" t="str">
        <f>"5"</f>
        <v>5</v>
      </c>
      <c r="H40" s="14" t="str">
        <f>"2"</f>
        <v>2</v>
      </c>
      <c r="I40" s="6">
        <v>-20619.240000000002</v>
      </c>
    </row>
    <row r="41" spans="1:9" x14ac:dyDescent="0.25">
      <c r="A41" s="10">
        <v>31</v>
      </c>
      <c r="B41" s="1">
        <v>45930</v>
      </c>
      <c r="C41" s="14">
        <v>8</v>
      </c>
      <c r="D41" s="14" t="str">
        <f t="shared" si="3"/>
        <v>1054</v>
      </c>
      <c r="E41" s="14" t="str">
        <f t="shared" si="4"/>
        <v>Резервы (провизии) по корреспондентским счетам в других банках и текущим счетам ипотечных организаций</v>
      </c>
      <c r="F41" s="14" t="str">
        <f t="shared" ref="F41:F49" si="5">"1"</f>
        <v>1</v>
      </c>
      <c r="G41" s="14" t="str">
        <f>"5"</f>
        <v>5</v>
      </c>
      <c r="H41" s="14" t="str">
        <f>"2"</f>
        <v>2</v>
      </c>
      <c r="I41" s="6">
        <v>-10792.13</v>
      </c>
    </row>
    <row r="42" spans="1:9" x14ac:dyDescent="0.25">
      <c r="A42" s="10">
        <v>32</v>
      </c>
      <c r="B42" s="1">
        <v>45930</v>
      </c>
      <c r="C42" s="14">
        <v>8</v>
      </c>
      <c r="D42" s="14" t="str">
        <f>"1055"</f>
        <v>1055</v>
      </c>
      <c r="E42" s="14" t="str">
        <f>"Текущие счета банков в Национальном Банке  Республики Казахстан"</f>
        <v>Текущие счета банков в Национальном Банке  Республики Казахстан</v>
      </c>
      <c r="F42" s="14" t="str">
        <f t="shared" si="5"/>
        <v>1</v>
      </c>
      <c r="G42" s="14" t="str">
        <f>"3"</f>
        <v>3</v>
      </c>
      <c r="H42" s="14" t="str">
        <f>"1"</f>
        <v>1</v>
      </c>
      <c r="I42" s="6">
        <v>857793759.55999994</v>
      </c>
    </row>
    <row r="43" spans="1:9" x14ac:dyDescent="0.25">
      <c r="A43" s="10">
        <v>33</v>
      </c>
      <c r="B43" s="1">
        <v>45930</v>
      </c>
      <c r="C43" s="14">
        <v>8</v>
      </c>
      <c r="D43" s="14" t="str">
        <f>"1101"</f>
        <v>1101</v>
      </c>
      <c r="E43" s="14" t="str">
        <f>"Вклады в Национальном Банке Республики Казахстан (на одну ночь)"</f>
        <v>Вклады в Национальном Банке Республики Казахстан (на одну ночь)</v>
      </c>
      <c r="F43" s="14" t="str">
        <f t="shared" si="5"/>
        <v>1</v>
      </c>
      <c r="G43" s="14" t="str">
        <f>"3"</f>
        <v>3</v>
      </c>
      <c r="H43" s="14" t="str">
        <f>"1"</f>
        <v>1</v>
      </c>
      <c r="I43" s="6">
        <v>20000000000</v>
      </c>
    </row>
    <row r="44" spans="1:9" x14ac:dyDescent="0.25">
      <c r="A44" s="10">
        <v>34</v>
      </c>
      <c r="B44" s="1">
        <v>45930</v>
      </c>
      <c r="C44" s="14">
        <v>8</v>
      </c>
      <c r="D44" s="14" t="str">
        <f>"1103"</f>
        <v>1103</v>
      </c>
      <c r="E44" s="14" t="str">
        <f>"Срочные вклады в Национальном Банке Республики Казахстан"</f>
        <v>Срочные вклады в Национальном Банке Республики Казахстан</v>
      </c>
      <c r="F44" s="14" t="str">
        <f t="shared" si="5"/>
        <v>1</v>
      </c>
      <c r="G44" s="14" t="str">
        <f>"3"</f>
        <v>3</v>
      </c>
      <c r="H44" s="14" t="str">
        <f>"2"</f>
        <v>2</v>
      </c>
      <c r="I44" s="6">
        <v>32943600000</v>
      </c>
    </row>
    <row r="45" spans="1:9" x14ac:dyDescent="0.25">
      <c r="A45" s="10">
        <v>35</v>
      </c>
      <c r="B45" s="1">
        <v>45930</v>
      </c>
      <c r="C45" s="14">
        <v>8</v>
      </c>
      <c r="D45" s="14" t="str">
        <f t="shared" ref="D45:D52" si="6">"1259"</f>
        <v>1259</v>
      </c>
      <c r="E45" s="14" t="str">
        <f t="shared" ref="E45:E52" si="7">"Резервы (провизии) по вкладам, размещенным в других банках"</f>
        <v>Резервы (провизии) по вкладам, размещенным в других банках</v>
      </c>
      <c r="F45" s="14" t="str">
        <f t="shared" si="5"/>
        <v>1</v>
      </c>
      <c r="G45" s="14" t="str">
        <f>"3"</f>
        <v>3</v>
      </c>
      <c r="H45" s="14" t="str">
        <f>"2"</f>
        <v>2</v>
      </c>
      <c r="I45" s="6">
        <v>-723968.56</v>
      </c>
    </row>
    <row r="46" spans="1:9" x14ac:dyDescent="0.25">
      <c r="A46" s="10">
        <v>36</v>
      </c>
      <c r="B46" s="1">
        <v>45930</v>
      </c>
      <c r="C46" s="14">
        <v>8</v>
      </c>
      <c r="D46" s="14" t="str">
        <f t="shared" si="6"/>
        <v>1259</v>
      </c>
      <c r="E46" s="14" t="str">
        <f t="shared" si="7"/>
        <v>Резервы (провизии) по вкладам, размещенным в других банках</v>
      </c>
      <c r="F46" s="14" t="str">
        <f t="shared" si="5"/>
        <v>1</v>
      </c>
      <c r="G46" s="14" t="str">
        <f>"4"</f>
        <v>4</v>
      </c>
      <c r="H46" s="14" t="str">
        <f>"1"</f>
        <v>1</v>
      </c>
      <c r="I46" s="6">
        <v>-177849.56</v>
      </c>
    </row>
    <row r="47" spans="1:9" x14ac:dyDescent="0.25">
      <c r="A47" s="10">
        <v>37</v>
      </c>
      <c r="B47" s="1">
        <v>45930</v>
      </c>
      <c r="C47" s="14">
        <v>8</v>
      </c>
      <c r="D47" s="14" t="str">
        <f t="shared" si="6"/>
        <v>1259</v>
      </c>
      <c r="E47" s="14" t="str">
        <f t="shared" si="7"/>
        <v>Резервы (провизии) по вкладам, размещенным в других банках</v>
      </c>
      <c r="F47" s="14" t="str">
        <f t="shared" si="5"/>
        <v>1</v>
      </c>
      <c r="G47" s="14" t="str">
        <f>"3"</f>
        <v>3</v>
      </c>
      <c r="H47" s="14" t="str">
        <f>"1"</f>
        <v>1</v>
      </c>
      <c r="I47" s="6">
        <v>-439358.11</v>
      </c>
    </row>
    <row r="48" spans="1:9" x14ac:dyDescent="0.25">
      <c r="A48" s="10">
        <v>38</v>
      </c>
      <c r="B48" s="1">
        <v>45930</v>
      </c>
      <c r="C48" s="14">
        <v>8</v>
      </c>
      <c r="D48" s="14" t="str">
        <f t="shared" si="6"/>
        <v>1259</v>
      </c>
      <c r="E48" s="14" t="str">
        <f t="shared" si="7"/>
        <v>Резервы (провизии) по вкладам, размещенным в других банках</v>
      </c>
      <c r="F48" s="14" t="str">
        <f t="shared" si="5"/>
        <v>1</v>
      </c>
      <c r="G48" s="14" t="str">
        <f>"7"</f>
        <v>7</v>
      </c>
      <c r="H48" s="14" t="str">
        <f>"1"</f>
        <v>1</v>
      </c>
      <c r="I48" s="6">
        <v>-56056</v>
      </c>
    </row>
    <row r="49" spans="1:9" x14ac:dyDescent="0.25">
      <c r="A49" s="10">
        <v>39</v>
      </c>
      <c r="B49" s="1">
        <v>45930</v>
      </c>
      <c r="C49" s="14">
        <v>8</v>
      </c>
      <c r="D49" s="14" t="str">
        <f t="shared" si="6"/>
        <v>1259</v>
      </c>
      <c r="E49" s="14" t="str">
        <f t="shared" si="7"/>
        <v>Резервы (провизии) по вкладам, размещенным в других банках</v>
      </c>
      <c r="F49" s="14" t="str">
        <f t="shared" si="5"/>
        <v>1</v>
      </c>
      <c r="G49" s="14" t="str">
        <f>"5"</f>
        <v>5</v>
      </c>
      <c r="H49" s="14" t="str">
        <f>"2"</f>
        <v>2</v>
      </c>
      <c r="I49" s="6">
        <v>-17587489.920000002</v>
      </c>
    </row>
    <row r="50" spans="1:9" x14ac:dyDescent="0.25">
      <c r="A50" s="10">
        <v>40</v>
      </c>
      <c r="B50" s="1">
        <v>45930</v>
      </c>
      <c r="C50" s="14">
        <v>8</v>
      </c>
      <c r="D50" s="14" t="str">
        <f t="shared" si="6"/>
        <v>1259</v>
      </c>
      <c r="E50" s="14" t="str">
        <f t="shared" si="7"/>
        <v>Резервы (провизии) по вкладам, размещенным в других банках</v>
      </c>
      <c r="F50" s="14" t="str">
        <f>"2"</f>
        <v>2</v>
      </c>
      <c r="G50" s="14" t="str">
        <f>"5"</f>
        <v>5</v>
      </c>
      <c r="H50" s="14" t="str">
        <f>"2"</f>
        <v>2</v>
      </c>
      <c r="I50" s="6">
        <v>-2723557.22</v>
      </c>
    </row>
    <row r="51" spans="1:9" x14ac:dyDescent="0.25">
      <c r="A51" s="10">
        <v>41</v>
      </c>
      <c r="B51" s="1">
        <v>45930</v>
      </c>
      <c r="C51" s="14">
        <v>8</v>
      </c>
      <c r="D51" s="14" t="str">
        <f t="shared" si="6"/>
        <v>1259</v>
      </c>
      <c r="E51" s="14" t="str">
        <f t="shared" si="7"/>
        <v>Резервы (провизии) по вкладам, размещенным в других банках</v>
      </c>
      <c r="F51" s="14" t="str">
        <f>"2"</f>
        <v>2</v>
      </c>
      <c r="G51" s="14" t="str">
        <f>"4"</f>
        <v>4</v>
      </c>
      <c r="H51" s="14" t="str">
        <f>"2"</f>
        <v>2</v>
      </c>
      <c r="I51" s="6">
        <v>-309496.55</v>
      </c>
    </row>
    <row r="52" spans="1:9" x14ac:dyDescent="0.25">
      <c r="A52" s="10">
        <v>42</v>
      </c>
      <c r="B52" s="1">
        <v>45930</v>
      </c>
      <c r="C52" s="14">
        <v>8</v>
      </c>
      <c r="D52" s="14" t="str">
        <f t="shared" si="6"/>
        <v>1259</v>
      </c>
      <c r="E52" s="14" t="str">
        <f t="shared" si="7"/>
        <v>Резервы (провизии) по вкладам, размещенным в других банках</v>
      </c>
      <c r="F52" s="14" t="str">
        <f>"1"</f>
        <v>1</v>
      </c>
      <c r="G52" s="14" t="str">
        <f>"5"</f>
        <v>5</v>
      </c>
      <c r="H52" s="14" t="str">
        <f>"1"</f>
        <v>1</v>
      </c>
      <c r="I52" s="6">
        <v>-6590039.46</v>
      </c>
    </row>
    <row r="53" spans="1:9" x14ac:dyDescent="0.25">
      <c r="A53" s="10">
        <v>43</v>
      </c>
      <c r="B53" s="1">
        <v>45930</v>
      </c>
      <c r="C53" s="14">
        <v>8</v>
      </c>
      <c r="D53" s="14" t="str">
        <f>"1264"</f>
        <v>1264</v>
      </c>
      <c r="E53" s="14" t="str">
        <f>"Вклад, являющийся обеспечением  обязательств банка, ипотечной организации и акционерного общества «Банк Развития Казахстана»"</f>
        <v>Вклад, являющийся обеспечением  обязательств банка, ипотечной организации и акционерного общества «Банк Развития Казахстана»</v>
      </c>
      <c r="F53" s="14" t="str">
        <f>"1"</f>
        <v>1</v>
      </c>
      <c r="G53" s="14" t="str">
        <f>"4"</f>
        <v>4</v>
      </c>
      <c r="H53" s="14" t="str">
        <f>"1"</f>
        <v>1</v>
      </c>
      <c r="I53" s="6">
        <v>110358257.87</v>
      </c>
    </row>
    <row r="54" spans="1:9" x14ac:dyDescent="0.25">
      <c r="A54" s="10">
        <v>44</v>
      </c>
      <c r="B54" s="1">
        <v>45930</v>
      </c>
      <c r="C54" s="14">
        <v>8</v>
      </c>
      <c r="D54" s="14" t="str">
        <f>"1267"</f>
        <v>1267</v>
      </c>
      <c r="E54" s="14" t="str">
        <f>"Счет хранения денег, переданных в качестве обеспечения (заклад, задаток) обязательств банка и ипотечной организации"</f>
        <v>Счет хранения денег, переданных в качестве обеспечения (заклад, задаток) обязательств банка и ипотечной организации</v>
      </c>
      <c r="F54" s="14" t="str">
        <f>"1"</f>
        <v>1</v>
      </c>
      <c r="G54" s="14" t="str">
        <f>"7"</f>
        <v>7</v>
      </c>
      <c r="H54" s="14" t="str">
        <f>"1"</f>
        <v>1</v>
      </c>
      <c r="I54" s="6">
        <v>35000000</v>
      </c>
    </row>
    <row r="55" spans="1:9" x14ac:dyDescent="0.25">
      <c r="A55" s="10">
        <v>45</v>
      </c>
      <c r="B55" s="1">
        <v>45930</v>
      </c>
      <c r="C55" s="14">
        <v>8</v>
      </c>
      <c r="D55" s="14" t="str">
        <f>"1267"</f>
        <v>1267</v>
      </c>
      <c r="E55" s="14" t="str">
        <f>"Счет хранения денег, переданных в качестве обеспечения (заклад, задаток) обязательств банка и ипотечной организации"</f>
        <v>Счет хранения денег, переданных в качестве обеспечения (заклад, задаток) обязательств банка и ипотечной организации</v>
      </c>
      <c r="F55" s="14" t="str">
        <f>"2"</f>
        <v>2</v>
      </c>
      <c r="G55" s="14" t="str">
        <f>"4"</f>
        <v>4</v>
      </c>
      <c r="H55" s="14" t="str">
        <f>"2"</f>
        <v>2</v>
      </c>
      <c r="I55" s="6">
        <v>752876000</v>
      </c>
    </row>
    <row r="56" spans="1:9" x14ac:dyDescent="0.25">
      <c r="A56" s="10">
        <v>46</v>
      </c>
      <c r="B56" s="1">
        <v>45930</v>
      </c>
      <c r="C56" s="14">
        <v>8</v>
      </c>
      <c r="D56" s="14" t="str">
        <f>"1267"</f>
        <v>1267</v>
      </c>
      <c r="E56" s="14" t="str">
        <f>"Счет хранения денег, переданных в качестве обеспечения (заклад, задаток) обязательств банка и ипотечной организации"</f>
        <v>Счет хранения денег, переданных в качестве обеспечения (заклад, задаток) обязательств банка и ипотечной организации</v>
      </c>
      <c r="F56" s="14" t="str">
        <f>"1"</f>
        <v>1</v>
      </c>
      <c r="G56" s="14" t="str">
        <f>"5"</f>
        <v>5</v>
      </c>
      <c r="H56" s="14" t="str">
        <f>"2"</f>
        <v>2</v>
      </c>
      <c r="I56" s="6">
        <v>10981200000</v>
      </c>
    </row>
    <row r="57" spans="1:9" x14ac:dyDescent="0.25">
      <c r="A57" s="10">
        <v>47</v>
      </c>
      <c r="B57" s="1">
        <v>45930</v>
      </c>
      <c r="C57" s="14">
        <v>8</v>
      </c>
      <c r="D57" s="14" t="str">
        <f>"1267"</f>
        <v>1267</v>
      </c>
      <c r="E57" s="14" t="str">
        <f>"Счет хранения денег, переданных в качестве обеспечения (заклад, задаток) обязательств банка и ипотечной организации"</f>
        <v>Счет хранения денег, переданных в качестве обеспечения (заклад, задаток) обязательств банка и ипотечной организации</v>
      </c>
      <c r="F57" s="14" t="str">
        <f>"1"</f>
        <v>1</v>
      </c>
      <c r="G57" s="14" t="str">
        <f>"5"</f>
        <v>5</v>
      </c>
      <c r="H57" s="14" t="str">
        <f>"1"</f>
        <v>1</v>
      </c>
      <c r="I57" s="6">
        <v>4114660000</v>
      </c>
    </row>
    <row r="58" spans="1:9" x14ac:dyDescent="0.25">
      <c r="A58" s="10">
        <v>48</v>
      </c>
      <c r="B58" s="1">
        <v>45930</v>
      </c>
      <c r="C58" s="14">
        <v>8</v>
      </c>
      <c r="D58" s="14" t="str">
        <f>"1267"</f>
        <v>1267</v>
      </c>
      <c r="E58" s="14" t="str">
        <f>"Счет хранения денег, переданных в качестве обеспечения (заклад, задаток) обязательств банка и ипотечной организации"</f>
        <v>Счет хранения денег, переданных в качестве обеспечения (заклад, задаток) обязательств банка и ипотечной организации</v>
      </c>
      <c r="F58" s="14" t="str">
        <f>"2"</f>
        <v>2</v>
      </c>
      <c r="G58" s="14" t="str">
        <f>"5"</f>
        <v>5</v>
      </c>
      <c r="H58" s="14" t="str">
        <f>"2"</f>
        <v>2</v>
      </c>
      <c r="I58" s="6">
        <v>10842182740.9</v>
      </c>
    </row>
    <row r="59" spans="1:9" x14ac:dyDescent="0.25">
      <c r="A59" s="10">
        <v>49</v>
      </c>
      <c r="B59" s="1">
        <v>45930</v>
      </c>
      <c r="C59" s="14">
        <v>8</v>
      </c>
      <c r="D59" s="14" t="str">
        <f>"1403"</f>
        <v>1403</v>
      </c>
      <c r="E59" s="14" t="str">
        <f>"Счета по кредитным карточкам клиентов"</f>
        <v>Счета по кредитным карточкам клиентов</v>
      </c>
      <c r="F59" s="14" t="str">
        <f t="shared" ref="F59:F70" si="8">"1"</f>
        <v>1</v>
      </c>
      <c r="G59" s="14" t="str">
        <f>"9"</f>
        <v>9</v>
      </c>
      <c r="H59" s="14" t="str">
        <f>"1"</f>
        <v>1</v>
      </c>
      <c r="I59" s="6">
        <v>11001756.810000001</v>
      </c>
    </row>
    <row r="60" spans="1:9" x14ac:dyDescent="0.25">
      <c r="A60" s="10">
        <v>50</v>
      </c>
      <c r="B60" s="1">
        <v>45930</v>
      </c>
      <c r="C60" s="14">
        <v>8</v>
      </c>
      <c r="D60" s="14" t="str">
        <f>"1403"</f>
        <v>1403</v>
      </c>
      <c r="E60" s="14" t="str">
        <f>"Счета по кредитным карточкам клиентов"</f>
        <v>Счета по кредитным карточкам клиентов</v>
      </c>
      <c r="F60" s="14" t="str">
        <f t="shared" si="8"/>
        <v>1</v>
      </c>
      <c r="G60" s="14" t="str">
        <f>"9"</f>
        <v>9</v>
      </c>
      <c r="H60" s="14" t="str">
        <f>"2"</f>
        <v>2</v>
      </c>
      <c r="I60" s="6">
        <v>929964.88</v>
      </c>
    </row>
    <row r="61" spans="1:9" x14ac:dyDescent="0.25">
      <c r="A61" s="10">
        <v>51</v>
      </c>
      <c r="B61" s="1">
        <v>45930</v>
      </c>
      <c r="C61" s="14">
        <v>8</v>
      </c>
      <c r="D61" s="14" t="str">
        <f>"1411"</f>
        <v>1411</v>
      </c>
      <c r="E61" s="14" t="str">
        <f>"Краткосрочные займы, предоставленные клиентам"</f>
        <v>Краткосрочные займы, предоставленные клиентам</v>
      </c>
      <c r="F61" s="14" t="str">
        <f t="shared" si="8"/>
        <v>1</v>
      </c>
      <c r="G61" s="14" t="str">
        <f>"9"</f>
        <v>9</v>
      </c>
      <c r="H61" s="14" t="str">
        <f>"1"</f>
        <v>1</v>
      </c>
      <c r="I61" s="6">
        <v>8380677778.1899996</v>
      </c>
    </row>
    <row r="62" spans="1:9" x14ac:dyDescent="0.25">
      <c r="A62" s="10">
        <v>52</v>
      </c>
      <c r="B62" s="1">
        <v>45930</v>
      </c>
      <c r="C62" s="14">
        <v>8</v>
      </c>
      <c r="D62" s="14" t="str">
        <f>"1411"</f>
        <v>1411</v>
      </c>
      <c r="E62" s="14" t="str">
        <f>"Краткосрочные займы, предоставленные клиентам"</f>
        <v>Краткосрочные займы, предоставленные клиентам</v>
      </c>
      <c r="F62" s="14" t="str">
        <f t="shared" si="8"/>
        <v>1</v>
      </c>
      <c r="G62" s="14" t="str">
        <f>"7"</f>
        <v>7</v>
      </c>
      <c r="H62" s="14" t="str">
        <f>"1"</f>
        <v>1</v>
      </c>
      <c r="I62" s="6">
        <v>123644165525.14999</v>
      </c>
    </row>
    <row r="63" spans="1:9" x14ac:dyDescent="0.25">
      <c r="A63" s="10">
        <v>53</v>
      </c>
      <c r="B63" s="1">
        <v>45930</v>
      </c>
      <c r="C63" s="14">
        <v>8</v>
      </c>
      <c r="D63" s="14" t="str">
        <f>"1411"</f>
        <v>1411</v>
      </c>
      <c r="E63" s="14" t="str">
        <f>"Краткосрочные займы, предоставленные клиентам"</f>
        <v>Краткосрочные займы, предоставленные клиентам</v>
      </c>
      <c r="F63" s="14" t="str">
        <f t="shared" si="8"/>
        <v>1</v>
      </c>
      <c r="G63" s="14" t="str">
        <f>"5"</f>
        <v>5</v>
      </c>
      <c r="H63" s="14" t="str">
        <f>"1"</f>
        <v>1</v>
      </c>
      <c r="I63" s="6">
        <v>50000000</v>
      </c>
    </row>
    <row r="64" spans="1:9" x14ac:dyDescent="0.25">
      <c r="A64" s="10">
        <v>54</v>
      </c>
      <c r="B64" s="1">
        <v>45930</v>
      </c>
      <c r="C64" s="14">
        <v>8</v>
      </c>
      <c r="D64" s="14" t="str">
        <f>"1411"</f>
        <v>1411</v>
      </c>
      <c r="E64" s="14" t="str">
        <f>"Краткосрочные займы, предоставленные клиентам"</f>
        <v>Краткосрочные займы, предоставленные клиентам</v>
      </c>
      <c r="F64" s="14" t="str">
        <f t="shared" si="8"/>
        <v>1</v>
      </c>
      <c r="G64" s="14" t="str">
        <f>"7"</f>
        <v>7</v>
      </c>
      <c r="H64" s="14" t="str">
        <f>"2"</f>
        <v>2</v>
      </c>
      <c r="I64" s="6">
        <v>59400239935.459999</v>
      </c>
    </row>
    <row r="65" spans="1:9" x14ac:dyDescent="0.25">
      <c r="A65" s="10">
        <v>55</v>
      </c>
      <c r="B65" s="1">
        <v>45930</v>
      </c>
      <c r="C65" s="14">
        <v>8</v>
      </c>
      <c r="D65" s="14" t="str">
        <f t="shared" ref="D65:D71" si="9">"1417"</f>
        <v>1417</v>
      </c>
      <c r="E65" s="14" t="str">
        <f t="shared" ref="E65:E71" si="10">"Долгосрочные займы, предоставленные клиентам"</f>
        <v>Долгосрочные займы, предоставленные клиентам</v>
      </c>
      <c r="F65" s="14" t="str">
        <f t="shared" si="8"/>
        <v>1</v>
      </c>
      <c r="G65" s="14" t="str">
        <f>"7"</f>
        <v>7</v>
      </c>
      <c r="H65" s="14" t="str">
        <f>"1"</f>
        <v>1</v>
      </c>
      <c r="I65" s="6">
        <v>287963445131.59003</v>
      </c>
    </row>
    <row r="66" spans="1:9" x14ac:dyDescent="0.25">
      <c r="A66" s="10">
        <v>56</v>
      </c>
      <c r="B66" s="1">
        <v>45930</v>
      </c>
      <c r="C66" s="14">
        <v>8</v>
      </c>
      <c r="D66" s="14" t="str">
        <f t="shared" si="9"/>
        <v>1417</v>
      </c>
      <c r="E66" s="14" t="str">
        <f t="shared" si="10"/>
        <v>Долгосрочные займы, предоставленные клиентам</v>
      </c>
      <c r="F66" s="14" t="str">
        <f t="shared" si="8"/>
        <v>1</v>
      </c>
      <c r="G66" s="14" t="str">
        <f>"7"</f>
        <v>7</v>
      </c>
      <c r="H66" s="14" t="str">
        <f>"3"</f>
        <v>3</v>
      </c>
      <c r="I66" s="6">
        <v>130480455.2</v>
      </c>
    </row>
    <row r="67" spans="1:9" x14ac:dyDescent="0.25">
      <c r="A67" s="10">
        <v>57</v>
      </c>
      <c r="B67" s="1">
        <v>45930</v>
      </c>
      <c r="C67" s="14">
        <v>8</v>
      </c>
      <c r="D67" s="14" t="str">
        <f t="shared" si="9"/>
        <v>1417</v>
      </c>
      <c r="E67" s="14" t="str">
        <f t="shared" si="10"/>
        <v>Долгосрочные займы, предоставленные клиентам</v>
      </c>
      <c r="F67" s="14" t="str">
        <f t="shared" si="8"/>
        <v>1</v>
      </c>
      <c r="G67" s="14" t="str">
        <f>"7"</f>
        <v>7</v>
      </c>
      <c r="H67" s="14" t="str">
        <f>"2"</f>
        <v>2</v>
      </c>
      <c r="I67" s="6">
        <v>135003731087.44</v>
      </c>
    </row>
    <row r="68" spans="1:9" x14ac:dyDescent="0.25">
      <c r="A68" s="10">
        <v>58</v>
      </c>
      <c r="B68" s="1">
        <v>45930</v>
      </c>
      <c r="C68" s="14">
        <v>8</v>
      </c>
      <c r="D68" s="14" t="str">
        <f t="shared" si="9"/>
        <v>1417</v>
      </c>
      <c r="E68" s="14" t="str">
        <f t="shared" si="10"/>
        <v>Долгосрочные займы, предоставленные клиентам</v>
      </c>
      <c r="F68" s="14" t="str">
        <f t="shared" si="8"/>
        <v>1</v>
      </c>
      <c r="G68" s="14" t="str">
        <f>"5"</f>
        <v>5</v>
      </c>
      <c r="H68" s="14" t="str">
        <f>"1"</f>
        <v>1</v>
      </c>
      <c r="I68" s="6">
        <v>12100000000</v>
      </c>
    </row>
    <row r="69" spans="1:9" x14ac:dyDescent="0.25">
      <c r="A69" s="10">
        <v>59</v>
      </c>
      <c r="B69" s="1">
        <v>45930</v>
      </c>
      <c r="C69" s="14">
        <v>8</v>
      </c>
      <c r="D69" s="14" t="str">
        <f t="shared" si="9"/>
        <v>1417</v>
      </c>
      <c r="E69" s="14" t="str">
        <f t="shared" si="10"/>
        <v>Долгосрочные займы, предоставленные клиентам</v>
      </c>
      <c r="F69" s="14" t="str">
        <f t="shared" si="8"/>
        <v>1</v>
      </c>
      <c r="G69" s="14" t="str">
        <f>"9"</f>
        <v>9</v>
      </c>
      <c r="H69" s="14" t="str">
        <f>"1"</f>
        <v>1</v>
      </c>
      <c r="I69" s="6">
        <v>694849851849.10999</v>
      </c>
    </row>
    <row r="70" spans="1:9" x14ac:dyDescent="0.25">
      <c r="A70" s="10">
        <v>60</v>
      </c>
      <c r="B70" s="1">
        <v>45930</v>
      </c>
      <c r="C70" s="14">
        <v>8</v>
      </c>
      <c r="D70" s="14" t="str">
        <f t="shared" si="9"/>
        <v>1417</v>
      </c>
      <c r="E70" s="14" t="str">
        <f t="shared" si="10"/>
        <v>Долгосрочные займы, предоставленные клиентам</v>
      </c>
      <c r="F70" s="14" t="str">
        <f t="shared" si="8"/>
        <v>1</v>
      </c>
      <c r="G70" s="14" t="str">
        <f>"9"</f>
        <v>9</v>
      </c>
      <c r="H70" s="14" t="str">
        <f>"2"</f>
        <v>2</v>
      </c>
      <c r="I70" s="6">
        <v>3743595.4</v>
      </c>
    </row>
    <row r="71" spans="1:9" x14ac:dyDescent="0.25">
      <c r="A71" s="10">
        <v>61</v>
      </c>
      <c r="B71" s="1">
        <v>45930</v>
      </c>
      <c r="C71" s="14">
        <v>8</v>
      </c>
      <c r="D71" s="14" t="str">
        <f t="shared" si="9"/>
        <v>1417</v>
      </c>
      <c r="E71" s="14" t="str">
        <f t="shared" si="10"/>
        <v>Долгосрочные займы, предоставленные клиентам</v>
      </c>
      <c r="F71" s="14" t="str">
        <f>"2"</f>
        <v>2</v>
      </c>
      <c r="G71" s="14" t="str">
        <f>"7"</f>
        <v>7</v>
      </c>
      <c r="H71" s="14" t="str">
        <f>"2"</f>
        <v>2</v>
      </c>
      <c r="I71" s="6">
        <v>2155851497.79</v>
      </c>
    </row>
    <row r="72" spans="1:9" x14ac:dyDescent="0.25">
      <c r="A72" s="10">
        <v>62</v>
      </c>
      <c r="B72" s="1">
        <v>45930</v>
      </c>
      <c r="C72" s="14">
        <v>8</v>
      </c>
      <c r="D72" s="14" t="str">
        <f>"1424"</f>
        <v>1424</v>
      </c>
      <c r="E72" s="14" t="str">
        <f>"Просроченная задолженность клиентов по займам"</f>
        <v>Просроченная задолженность клиентов по займам</v>
      </c>
      <c r="F72" s="14" t="str">
        <f t="shared" ref="F72:F77" si="11">"1"</f>
        <v>1</v>
      </c>
      <c r="G72" s="14" t="str">
        <f>"7"</f>
        <v>7</v>
      </c>
      <c r="H72" s="14" t="str">
        <f>"1"</f>
        <v>1</v>
      </c>
      <c r="I72" s="6">
        <v>8835989072.5100002</v>
      </c>
    </row>
    <row r="73" spans="1:9" x14ac:dyDescent="0.25">
      <c r="A73" s="10">
        <v>63</v>
      </c>
      <c r="B73" s="1">
        <v>45930</v>
      </c>
      <c r="C73" s="14">
        <v>8</v>
      </c>
      <c r="D73" s="14" t="str">
        <f>"1424"</f>
        <v>1424</v>
      </c>
      <c r="E73" s="14" t="str">
        <f>"Просроченная задолженность клиентов по займам"</f>
        <v>Просроченная задолженность клиентов по займам</v>
      </c>
      <c r="F73" s="14" t="str">
        <f t="shared" si="11"/>
        <v>1</v>
      </c>
      <c r="G73" s="14" t="str">
        <f>"9"</f>
        <v>9</v>
      </c>
      <c r="H73" s="14" t="str">
        <f>"1"</f>
        <v>1</v>
      </c>
      <c r="I73" s="6">
        <v>56654099118.800003</v>
      </c>
    </row>
    <row r="74" spans="1:9" x14ac:dyDescent="0.25">
      <c r="A74" s="10">
        <v>64</v>
      </c>
      <c r="B74" s="1">
        <v>45930</v>
      </c>
      <c r="C74" s="14">
        <v>8</v>
      </c>
      <c r="D74" s="14" t="str">
        <f t="shared" ref="D74:D80" si="12">"1428"</f>
        <v>1428</v>
      </c>
      <c r="E74" s="14" t="str">
        <f t="shared" ref="E74:E80" si="13">"Резервы (провизии) по займам и финансовому лизингу, предоставленным клиентам"</f>
        <v>Резервы (провизии) по займам и финансовому лизингу, предоставленным клиентам</v>
      </c>
      <c r="F74" s="14" t="str">
        <f t="shared" si="11"/>
        <v>1</v>
      </c>
      <c r="G74" s="14" t="str">
        <f>"7"</f>
        <v>7</v>
      </c>
      <c r="H74" s="14" t="str">
        <f>"2"</f>
        <v>2</v>
      </c>
      <c r="I74" s="6">
        <v>-2295314170.8699999</v>
      </c>
    </row>
    <row r="75" spans="1:9" x14ac:dyDescent="0.25">
      <c r="A75" s="10">
        <v>65</v>
      </c>
      <c r="B75" s="1">
        <v>45930</v>
      </c>
      <c r="C75" s="14">
        <v>8</v>
      </c>
      <c r="D75" s="14" t="str">
        <f t="shared" si="12"/>
        <v>1428</v>
      </c>
      <c r="E75" s="14" t="str">
        <f t="shared" si="13"/>
        <v>Резервы (провизии) по займам и финансовому лизингу, предоставленным клиентам</v>
      </c>
      <c r="F75" s="14" t="str">
        <f t="shared" si="11"/>
        <v>1</v>
      </c>
      <c r="G75" s="14" t="str">
        <f>"5"</f>
        <v>5</v>
      </c>
      <c r="H75" s="14" t="str">
        <f>"1"</f>
        <v>1</v>
      </c>
      <c r="I75" s="6">
        <v>-97426240.099999994</v>
      </c>
    </row>
    <row r="76" spans="1:9" x14ac:dyDescent="0.25">
      <c r="A76" s="10">
        <v>66</v>
      </c>
      <c r="B76" s="1">
        <v>45930</v>
      </c>
      <c r="C76" s="14">
        <v>8</v>
      </c>
      <c r="D76" s="14" t="str">
        <f t="shared" si="12"/>
        <v>1428</v>
      </c>
      <c r="E76" s="14" t="str">
        <f t="shared" si="13"/>
        <v>Резервы (провизии) по займам и финансовому лизингу, предоставленным клиентам</v>
      </c>
      <c r="F76" s="14" t="str">
        <f t="shared" si="11"/>
        <v>1</v>
      </c>
      <c r="G76" s="14" t="str">
        <f>"7"</f>
        <v>7</v>
      </c>
      <c r="H76" s="14" t="str">
        <f>"1"</f>
        <v>1</v>
      </c>
      <c r="I76" s="6">
        <v>-10475974342.889999</v>
      </c>
    </row>
    <row r="77" spans="1:9" x14ac:dyDescent="0.25">
      <c r="A77" s="10">
        <v>67</v>
      </c>
      <c r="B77" s="1">
        <v>45930</v>
      </c>
      <c r="C77" s="14">
        <v>8</v>
      </c>
      <c r="D77" s="14" t="str">
        <f t="shared" si="12"/>
        <v>1428</v>
      </c>
      <c r="E77" s="14" t="str">
        <f t="shared" si="13"/>
        <v>Резервы (провизии) по займам и финансовому лизингу, предоставленным клиентам</v>
      </c>
      <c r="F77" s="14" t="str">
        <f t="shared" si="11"/>
        <v>1</v>
      </c>
      <c r="G77" s="14" t="str">
        <f>"9"</f>
        <v>9</v>
      </c>
      <c r="H77" s="14" t="str">
        <f>"2"</f>
        <v>2</v>
      </c>
      <c r="I77" s="6">
        <v>-31301.91</v>
      </c>
    </row>
    <row r="78" spans="1:9" x14ac:dyDescent="0.25">
      <c r="A78" s="10">
        <v>68</v>
      </c>
      <c r="B78" s="1">
        <v>45930</v>
      </c>
      <c r="C78" s="14">
        <v>8</v>
      </c>
      <c r="D78" s="14" t="str">
        <f t="shared" si="12"/>
        <v>1428</v>
      </c>
      <c r="E78" s="14" t="str">
        <f t="shared" si="13"/>
        <v>Резервы (провизии) по займам и финансовому лизингу, предоставленным клиентам</v>
      </c>
      <c r="F78" s="14" t="str">
        <f>"2"</f>
        <v>2</v>
      </c>
      <c r="G78" s="14" t="str">
        <f>"7"</f>
        <v>7</v>
      </c>
      <c r="H78" s="14" t="str">
        <f>"2"</f>
        <v>2</v>
      </c>
      <c r="I78" s="6">
        <v>-648242.21</v>
      </c>
    </row>
    <row r="79" spans="1:9" x14ac:dyDescent="0.25">
      <c r="A79" s="10">
        <v>69</v>
      </c>
      <c r="B79" s="1">
        <v>45930</v>
      </c>
      <c r="C79" s="14">
        <v>8</v>
      </c>
      <c r="D79" s="14" t="str">
        <f t="shared" si="12"/>
        <v>1428</v>
      </c>
      <c r="E79" s="14" t="str">
        <f t="shared" si="13"/>
        <v>Резервы (провизии) по займам и финансовому лизингу, предоставленным клиентам</v>
      </c>
      <c r="F79" s="14" t="str">
        <f>"1"</f>
        <v>1</v>
      </c>
      <c r="G79" s="14" t="str">
        <f>"7"</f>
        <v>7</v>
      </c>
      <c r="H79" s="14" t="str">
        <f>"3"</f>
        <v>3</v>
      </c>
      <c r="I79" s="6">
        <v>-70958.23</v>
      </c>
    </row>
    <row r="80" spans="1:9" x14ac:dyDescent="0.25">
      <c r="A80" s="10">
        <v>70</v>
      </c>
      <c r="B80" s="1">
        <v>45930</v>
      </c>
      <c r="C80" s="14">
        <v>8</v>
      </c>
      <c r="D80" s="14" t="str">
        <f t="shared" si="12"/>
        <v>1428</v>
      </c>
      <c r="E80" s="14" t="str">
        <f t="shared" si="13"/>
        <v>Резервы (провизии) по займам и финансовому лизингу, предоставленным клиентам</v>
      </c>
      <c r="F80" s="14" t="str">
        <f>"1"</f>
        <v>1</v>
      </c>
      <c r="G80" s="14" t="str">
        <f>"9"</f>
        <v>9</v>
      </c>
      <c r="H80" s="14" t="str">
        <f>"1"</f>
        <v>1</v>
      </c>
      <c r="I80" s="6">
        <v>-75128921734.130005</v>
      </c>
    </row>
    <row r="81" spans="1:9" x14ac:dyDescent="0.25">
      <c r="A81" s="10">
        <v>71</v>
      </c>
      <c r="B81" s="1">
        <v>45930</v>
      </c>
      <c r="C81" s="14">
        <v>8</v>
      </c>
      <c r="D81" s="14" t="str">
        <f>"1434"</f>
        <v>1434</v>
      </c>
      <c r="E81" s="14" t="str">
        <f>"Дисконт по займам, предоставленным клиентам"</f>
        <v>Дисконт по займам, предоставленным клиентам</v>
      </c>
      <c r="F81" s="14" t="str">
        <f>"1"</f>
        <v>1</v>
      </c>
      <c r="G81" s="14" t="str">
        <f>"9"</f>
        <v>9</v>
      </c>
      <c r="H81" s="14" t="str">
        <f>"1"</f>
        <v>1</v>
      </c>
      <c r="I81" s="6">
        <v>-33069548830.220001</v>
      </c>
    </row>
    <row r="82" spans="1:9" x14ac:dyDescent="0.25">
      <c r="A82" s="10">
        <v>72</v>
      </c>
      <c r="B82" s="1">
        <v>45930</v>
      </c>
      <c r="C82" s="14">
        <v>8</v>
      </c>
      <c r="D82" s="14" t="str">
        <f>"1434"</f>
        <v>1434</v>
      </c>
      <c r="E82" s="14" t="str">
        <f>"Дисконт по займам, предоставленным клиентам"</f>
        <v>Дисконт по займам, предоставленным клиентам</v>
      </c>
      <c r="F82" s="14" t="str">
        <f>"2"</f>
        <v>2</v>
      </c>
      <c r="G82" s="14" t="str">
        <f>"7"</f>
        <v>7</v>
      </c>
      <c r="H82" s="14" t="str">
        <f>"2"</f>
        <v>2</v>
      </c>
      <c r="I82" s="6">
        <v>-4340780.51</v>
      </c>
    </row>
    <row r="83" spans="1:9" x14ac:dyDescent="0.25">
      <c r="A83" s="10">
        <v>73</v>
      </c>
      <c r="B83" s="1">
        <v>45930</v>
      </c>
      <c r="C83" s="14">
        <v>8</v>
      </c>
      <c r="D83" s="14" t="str">
        <f>"1434"</f>
        <v>1434</v>
      </c>
      <c r="E83" s="14" t="str">
        <f>"Дисконт по займам, предоставленным клиентам"</f>
        <v>Дисконт по займам, предоставленным клиентам</v>
      </c>
      <c r="F83" s="14" t="str">
        <f t="shared" ref="F83:F91" si="14">"1"</f>
        <v>1</v>
      </c>
      <c r="G83" s="14" t="str">
        <f>"5"</f>
        <v>5</v>
      </c>
      <c r="H83" s="14" t="str">
        <f>"1"</f>
        <v>1</v>
      </c>
      <c r="I83" s="6">
        <v>-16068004.859999999</v>
      </c>
    </row>
    <row r="84" spans="1:9" x14ac:dyDescent="0.25">
      <c r="A84" s="10">
        <v>74</v>
      </c>
      <c r="B84" s="1">
        <v>45930</v>
      </c>
      <c r="C84" s="14">
        <v>8</v>
      </c>
      <c r="D84" s="14" t="str">
        <f>"1434"</f>
        <v>1434</v>
      </c>
      <c r="E84" s="14" t="str">
        <f>"Дисконт по займам, предоставленным клиентам"</f>
        <v>Дисконт по займам, предоставленным клиентам</v>
      </c>
      <c r="F84" s="14" t="str">
        <f t="shared" si="14"/>
        <v>1</v>
      </c>
      <c r="G84" s="14" t="str">
        <f>"7"</f>
        <v>7</v>
      </c>
      <c r="H84" s="14" t="str">
        <f>"1"</f>
        <v>1</v>
      </c>
      <c r="I84" s="6">
        <v>-7220594596.0299997</v>
      </c>
    </row>
    <row r="85" spans="1:9" x14ac:dyDescent="0.25">
      <c r="A85" s="10">
        <v>75</v>
      </c>
      <c r="B85" s="1">
        <v>45930</v>
      </c>
      <c r="C85" s="14">
        <v>8</v>
      </c>
      <c r="D85" s="14" t="str">
        <f>"1434"</f>
        <v>1434</v>
      </c>
      <c r="E85" s="14" t="str">
        <f>"Дисконт по займам, предоставленным клиентам"</f>
        <v>Дисконт по займам, предоставленным клиентам</v>
      </c>
      <c r="F85" s="14" t="str">
        <f t="shared" si="14"/>
        <v>1</v>
      </c>
      <c r="G85" s="14" t="str">
        <f>"7"</f>
        <v>7</v>
      </c>
      <c r="H85" s="14" t="str">
        <f>"2"</f>
        <v>2</v>
      </c>
      <c r="I85" s="6">
        <v>-650103835.77999997</v>
      </c>
    </row>
    <row r="86" spans="1:9" x14ac:dyDescent="0.25">
      <c r="A86" s="10">
        <v>76</v>
      </c>
      <c r="B86" s="1">
        <v>45930</v>
      </c>
      <c r="C86" s="14">
        <v>8</v>
      </c>
      <c r="D86" s="14" t="str">
        <f>"1435"</f>
        <v>1435</v>
      </c>
      <c r="E86" s="14" t="str">
        <f>"Премия по займам, предоставленным клиентам"</f>
        <v>Премия по займам, предоставленным клиентам</v>
      </c>
      <c r="F86" s="14" t="str">
        <f t="shared" si="14"/>
        <v>1</v>
      </c>
      <c r="G86" s="14" t="str">
        <f>"9"</f>
        <v>9</v>
      </c>
      <c r="H86" s="14" t="str">
        <f>"1"</f>
        <v>1</v>
      </c>
      <c r="I86" s="6">
        <v>7783499034.0600004</v>
      </c>
    </row>
    <row r="87" spans="1:9" x14ac:dyDescent="0.25">
      <c r="A87" s="10">
        <v>77</v>
      </c>
      <c r="B87" s="1">
        <v>45930</v>
      </c>
      <c r="C87" s="14">
        <v>8</v>
      </c>
      <c r="D87" s="14" t="str">
        <f>"1435"</f>
        <v>1435</v>
      </c>
      <c r="E87" s="14" t="str">
        <f>"Премия по займам, предоставленным клиентам"</f>
        <v>Премия по займам, предоставленным клиентам</v>
      </c>
      <c r="F87" s="14" t="str">
        <f t="shared" si="14"/>
        <v>1</v>
      </c>
      <c r="G87" s="14" t="str">
        <f>"7"</f>
        <v>7</v>
      </c>
      <c r="H87" s="14" t="str">
        <f>"1"</f>
        <v>1</v>
      </c>
      <c r="I87" s="6">
        <v>72646404.189999998</v>
      </c>
    </row>
    <row r="88" spans="1:9" x14ac:dyDescent="0.25">
      <c r="A88" s="10">
        <v>78</v>
      </c>
      <c r="B88" s="1">
        <v>45930</v>
      </c>
      <c r="C88" s="14">
        <v>8</v>
      </c>
      <c r="D88" s="14" t="str">
        <f t="shared" ref="D88:D96" si="15">"1452"</f>
        <v>1452</v>
      </c>
      <c r="E88" s="14" t="str">
        <f t="shared" ref="E88:E96" si="16">"Ценные бумаги, учитываемые по справедливой стоимости через прочий совокупный доход"</f>
        <v>Ценные бумаги, учитываемые по справедливой стоимости через прочий совокупный доход</v>
      </c>
      <c r="F88" s="14" t="str">
        <f t="shared" si="14"/>
        <v>1</v>
      </c>
      <c r="G88" s="14" t="str">
        <f>"6"</f>
        <v>6</v>
      </c>
      <c r="H88" s="14" t="str">
        <f>"1"</f>
        <v>1</v>
      </c>
      <c r="I88" s="6">
        <v>1820401000</v>
      </c>
    </row>
    <row r="89" spans="1:9" x14ac:dyDescent="0.25">
      <c r="A89" s="10">
        <v>79</v>
      </c>
      <c r="B89" s="1">
        <v>45930</v>
      </c>
      <c r="C89" s="14">
        <v>8</v>
      </c>
      <c r="D89" s="14" t="str">
        <f t="shared" si="15"/>
        <v>1452</v>
      </c>
      <c r="E89" s="14" t="str">
        <f t="shared" si="16"/>
        <v>Ценные бумаги, учитываемые по справедливой стоимости через прочий совокупный доход</v>
      </c>
      <c r="F89" s="14" t="str">
        <f t="shared" si="14"/>
        <v>1</v>
      </c>
      <c r="G89" s="14" t="str">
        <f>"4"</f>
        <v>4</v>
      </c>
      <c r="H89" s="14" t="str">
        <f>"2"</f>
        <v>2</v>
      </c>
      <c r="I89" s="6">
        <v>3568890000</v>
      </c>
    </row>
    <row r="90" spans="1:9" x14ac:dyDescent="0.25">
      <c r="A90" s="10">
        <v>80</v>
      </c>
      <c r="B90" s="1">
        <v>45930</v>
      </c>
      <c r="C90" s="14">
        <v>8</v>
      </c>
      <c r="D90" s="14" t="str">
        <f t="shared" si="15"/>
        <v>1452</v>
      </c>
      <c r="E90" s="14" t="str">
        <f t="shared" si="16"/>
        <v>Ценные бумаги, учитываемые по справедливой стоимости через прочий совокупный доход</v>
      </c>
      <c r="F90" s="14" t="str">
        <f t="shared" si="14"/>
        <v>1</v>
      </c>
      <c r="G90" s="14" t="str">
        <f>"1"</f>
        <v>1</v>
      </c>
      <c r="H90" s="14" t="str">
        <f>"2"</f>
        <v>2</v>
      </c>
      <c r="I90" s="6">
        <v>67960950930</v>
      </c>
    </row>
    <row r="91" spans="1:9" x14ac:dyDescent="0.25">
      <c r="A91" s="10">
        <v>81</v>
      </c>
      <c r="B91" s="1">
        <v>45930</v>
      </c>
      <c r="C91" s="14">
        <v>8</v>
      </c>
      <c r="D91" s="14" t="str">
        <f t="shared" si="15"/>
        <v>1452</v>
      </c>
      <c r="E91" s="14" t="str">
        <f t="shared" si="16"/>
        <v>Ценные бумаги, учитываемые по справедливой стоимости через прочий совокупный доход</v>
      </c>
      <c r="F91" s="14" t="str">
        <f t="shared" si="14"/>
        <v>1</v>
      </c>
      <c r="G91" s="14" t="str">
        <f>"1"</f>
        <v>1</v>
      </c>
      <c r="H91" s="14" t="str">
        <f>"1"</f>
        <v>1</v>
      </c>
      <c r="I91" s="6">
        <v>340429749700</v>
      </c>
    </row>
    <row r="92" spans="1:9" x14ac:dyDescent="0.25">
      <c r="A92" s="10">
        <v>82</v>
      </c>
      <c r="B92" s="1">
        <v>45930</v>
      </c>
      <c r="C92" s="14">
        <v>8</v>
      </c>
      <c r="D92" s="14" t="str">
        <f t="shared" si="15"/>
        <v>1452</v>
      </c>
      <c r="E92" s="14" t="str">
        <f t="shared" si="16"/>
        <v>Ценные бумаги, учитываемые по справедливой стоимости через прочий совокупный доход</v>
      </c>
      <c r="F92" s="14" t="str">
        <f>"2"</f>
        <v>2</v>
      </c>
      <c r="G92" s="14" t="str">
        <f>"3"</f>
        <v>3</v>
      </c>
      <c r="H92" s="14" t="str">
        <f>"1"</f>
        <v>1</v>
      </c>
      <c r="I92" s="6">
        <v>307692160</v>
      </c>
    </row>
    <row r="93" spans="1:9" x14ac:dyDescent="0.25">
      <c r="A93" s="10">
        <v>83</v>
      </c>
      <c r="B93" s="1">
        <v>45930</v>
      </c>
      <c r="C93" s="14">
        <v>8</v>
      </c>
      <c r="D93" s="14" t="str">
        <f t="shared" si="15"/>
        <v>1452</v>
      </c>
      <c r="E93" s="14" t="str">
        <f t="shared" si="16"/>
        <v>Ценные бумаги, учитываемые по справедливой стоимости через прочий совокупный доход</v>
      </c>
      <c r="F93" s="14" t="str">
        <f>"1"</f>
        <v>1</v>
      </c>
      <c r="G93" s="14" t="str">
        <f>"7"</f>
        <v>7</v>
      </c>
      <c r="H93" s="14" t="str">
        <f>"2"</f>
        <v>2</v>
      </c>
      <c r="I93" s="6">
        <v>1098120000</v>
      </c>
    </row>
    <row r="94" spans="1:9" x14ac:dyDescent="0.25">
      <c r="A94" s="10">
        <v>84</v>
      </c>
      <c r="B94" s="1">
        <v>45930</v>
      </c>
      <c r="C94" s="14">
        <v>8</v>
      </c>
      <c r="D94" s="14" t="str">
        <f t="shared" si="15"/>
        <v>1452</v>
      </c>
      <c r="E94" s="14" t="str">
        <f t="shared" si="16"/>
        <v>Ценные бумаги, учитываемые по справедливой стоимости через прочий совокупный доход</v>
      </c>
      <c r="F94" s="14" t="str">
        <f>"2"</f>
        <v>2</v>
      </c>
      <c r="G94" s="14" t="str">
        <f>"5"</f>
        <v>5</v>
      </c>
      <c r="H94" s="14" t="str">
        <f>"2"</f>
        <v>2</v>
      </c>
      <c r="I94" s="6">
        <v>1098120000</v>
      </c>
    </row>
    <row r="95" spans="1:9" x14ac:dyDescent="0.25">
      <c r="A95" s="10">
        <v>85</v>
      </c>
      <c r="B95" s="1">
        <v>45930</v>
      </c>
      <c r="C95" s="14">
        <v>8</v>
      </c>
      <c r="D95" s="14" t="str">
        <f t="shared" si="15"/>
        <v>1452</v>
      </c>
      <c r="E95" s="14" t="str">
        <f t="shared" si="16"/>
        <v>Ценные бумаги, учитываемые по справедливой стоимости через прочий совокупный доход</v>
      </c>
      <c r="F95" s="14" t="str">
        <f>"2"</f>
        <v>2</v>
      </c>
      <c r="G95" s="14" t="str">
        <f>"7"</f>
        <v>7</v>
      </c>
      <c r="H95" s="14" t="str">
        <f>"2"</f>
        <v>2</v>
      </c>
      <c r="I95" s="6">
        <v>2196240000</v>
      </c>
    </row>
    <row r="96" spans="1:9" x14ac:dyDescent="0.25">
      <c r="A96" s="10">
        <v>86</v>
      </c>
      <c r="B96" s="1">
        <v>45930</v>
      </c>
      <c r="C96" s="14">
        <v>8</v>
      </c>
      <c r="D96" s="14" t="str">
        <f t="shared" si="15"/>
        <v>1452</v>
      </c>
      <c r="E96" s="14" t="str">
        <f t="shared" si="16"/>
        <v>Ценные бумаги, учитываемые по справедливой стоимости через прочий совокупный доход</v>
      </c>
      <c r="F96" s="14" t="str">
        <f t="shared" ref="F96:F103" si="17">"1"</f>
        <v>1</v>
      </c>
      <c r="G96" s="14" t="str">
        <f>"6"</f>
        <v>6</v>
      </c>
      <c r="H96" s="14" t="str">
        <f>"2"</f>
        <v>2</v>
      </c>
      <c r="I96" s="6">
        <v>2196240000</v>
      </c>
    </row>
    <row r="97" spans="1:9" x14ac:dyDescent="0.25">
      <c r="A97" s="10">
        <v>87</v>
      </c>
      <c r="B97" s="1">
        <v>45930</v>
      </c>
      <c r="C97" s="14">
        <v>8</v>
      </c>
      <c r="D97" s="14" t="str">
        <f>"1453"</f>
        <v>1453</v>
      </c>
      <c r="E97" s="14" t="str">
        <f>"Дисконт по приобретенным ценным бумагам, учитываемым по справедливой стоимости через прочий совокупный доход"</f>
        <v>Дисконт по приобретенным ценным бумагам, учитываемым по справедливой стоимости через прочий совокупный доход</v>
      </c>
      <c r="F97" s="14" t="str">
        <f t="shared" si="17"/>
        <v>1</v>
      </c>
      <c r="G97" s="14" t="str">
        <f>"1"</f>
        <v>1</v>
      </c>
      <c r="H97" s="14" t="str">
        <f>"1"</f>
        <v>1</v>
      </c>
      <c r="I97" s="6">
        <v>-17028030517.16</v>
      </c>
    </row>
    <row r="98" spans="1:9" x14ac:dyDescent="0.25">
      <c r="A98" s="10">
        <v>88</v>
      </c>
      <c r="B98" s="1">
        <v>45930</v>
      </c>
      <c r="C98" s="14">
        <v>8</v>
      </c>
      <c r="D98" s="14" t="str">
        <f>"1453"</f>
        <v>1453</v>
      </c>
      <c r="E98" s="14" t="str">
        <f>"Дисконт по приобретенным ценным бумагам, учитываемым по справедливой стоимости через прочий совокупный доход"</f>
        <v>Дисконт по приобретенным ценным бумагам, учитываемым по справедливой стоимости через прочий совокупный доход</v>
      </c>
      <c r="F98" s="14" t="str">
        <f t="shared" si="17"/>
        <v>1</v>
      </c>
      <c r="G98" s="14" t="str">
        <f>"4"</f>
        <v>4</v>
      </c>
      <c r="H98" s="14" t="str">
        <f>"2"</f>
        <v>2</v>
      </c>
      <c r="I98" s="6">
        <v>-3615022.02</v>
      </c>
    </row>
    <row r="99" spans="1:9" x14ac:dyDescent="0.25">
      <c r="A99" s="10">
        <v>89</v>
      </c>
      <c r="B99" s="1">
        <v>45930</v>
      </c>
      <c r="C99" s="14">
        <v>8</v>
      </c>
      <c r="D99" s="14" t="str">
        <f>"1453"</f>
        <v>1453</v>
      </c>
      <c r="E99" s="14" t="str">
        <f>"Дисконт по приобретенным ценным бумагам, учитываемым по справедливой стоимости через прочий совокупный доход"</f>
        <v>Дисконт по приобретенным ценным бумагам, учитываемым по справедливой стоимости через прочий совокупный доход</v>
      </c>
      <c r="F99" s="14" t="str">
        <f t="shared" si="17"/>
        <v>1</v>
      </c>
      <c r="G99" s="14" t="str">
        <f>"1"</f>
        <v>1</v>
      </c>
      <c r="H99" s="14" t="str">
        <f>"2"</f>
        <v>2</v>
      </c>
      <c r="I99" s="6">
        <v>-629667450.63999999</v>
      </c>
    </row>
    <row r="100" spans="1:9" x14ac:dyDescent="0.25">
      <c r="A100" s="10">
        <v>90</v>
      </c>
      <c r="B100" s="1">
        <v>45930</v>
      </c>
      <c r="C100" s="14">
        <v>8</v>
      </c>
      <c r="D100" s="14" t="str">
        <f t="shared" ref="D100:D105" si="18">"1454"</f>
        <v>1454</v>
      </c>
      <c r="E100" s="14" t="str">
        <f t="shared" ref="E100:E105" si="19">"Премия по приобретенным ценным бумагам, учитываемым по справедливой стоимости через прочий совокупный доход"</f>
        <v>Премия по приобретенным ценным бумагам, учитываемым по справедливой стоимости через прочий совокупный доход</v>
      </c>
      <c r="F100" s="14" t="str">
        <f t="shared" si="17"/>
        <v>1</v>
      </c>
      <c r="G100" s="14" t="str">
        <f>"1"</f>
        <v>1</v>
      </c>
      <c r="H100" s="14" t="str">
        <f>"2"</f>
        <v>2</v>
      </c>
      <c r="I100" s="6">
        <v>2759278869.6700001</v>
      </c>
    </row>
    <row r="101" spans="1:9" x14ac:dyDescent="0.25">
      <c r="A101" s="10">
        <v>91</v>
      </c>
      <c r="B101" s="1">
        <v>45930</v>
      </c>
      <c r="C101" s="14">
        <v>8</v>
      </c>
      <c r="D101" s="14" t="str">
        <f t="shared" si="18"/>
        <v>1454</v>
      </c>
      <c r="E101" s="14" t="str">
        <f t="shared" si="19"/>
        <v>Премия по приобретенным ценным бумагам, учитываемым по справедливой стоимости через прочий совокупный доход</v>
      </c>
      <c r="F101" s="14" t="str">
        <f t="shared" si="17"/>
        <v>1</v>
      </c>
      <c r="G101" s="14" t="str">
        <f>"6"</f>
        <v>6</v>
      </c>
      <c r="H101" s="14" t="str">
        <f>"2"</f>
        <v>2</v>
      </c>
      <c r="I101" s="6">
        <v>142844794.80000001</v>
      </c>
    </row>
    <row r="102" spans="1:9" x14ac:dyDescent="0.25">
      <c r="A102" s="10">
        <v>92</v>
      </c>
      <c r="B102" s="1">
        <v>45930</v>
      </c>
      <c r="C102" s="14">
        <v>8</v>
      </c>
      <c r="D102" s="14" t="str">
        <f t="shared" si="18"/>
        <v>1454</v>
      </c>
      <c r="E102" s="14" t="str">
        <f t="shared" si="19"/>
        <v>Премия по приобретенным ценным бумагам, учитываемым по справедливой стоимости через прочий совокупный доход</v>
      </c>
      <c r="F102" s="14" t="str">
        <f t="shared" si="17"/>
        <v>1</v>
      </c>
      <c r="G102" s="14" t="str">
        <f>"1"</f>
        <v>1</v>
      </c>
      <c r="H102" s="14" t="str">
        <f>"1"</f>
        <v>1</v>
      </c>
      <c r="I102" s="6">
        <v>42169800.140000001</v>
      </c>
    </row>
    <row r="103" spans="1:9" x14ac:dyDescent="0.25">
      <c r="A103" s="10">
        <v>93</v>
      </c>
      <c r="B103" s="1">
        <v>45930</v>
      </c>
      <c r="C103" s="14">
        <v>8</v>
      </c>
      <c r="D103" s="14" t="str">
        <f t="shared" si="18"/>
        <v>1454</v>
      </c>
      <c r="E103" s="14" t="str">
        <f t="shared" si="19"/>
        <v>Премия по приобретенным ценным бумагам, учитываемым по справедливой стоимости через прочий совокупный доход</v>
      </c>
      <c r="F103" s="14" t="str">
        <f t="shared" si="17"/>
        <v>1</v>
      </c>
      <c r="G103" s="14" t="str">
        <f>"7"</f>
        <v>7</v>
      </c>
      <c r="H103" s="14" t="str">
        <f>"2"</f>
        <v>2</v>
      </c>
      <c r="I103" s="6">
        <v>41917442.130000003</v>
      </c>
    </row>
    <row r="104" spans="1:9" x14ac:dyDescent="0.25">
      <c r="A104" s="10">
        <v>94</v>
      </c>
      <c r="B104" s="1">
        <v>45930</v>
      </c>
      <c r="C104" s="14">
        <v>8</v>
      </c>
      <c r="D104" s="14" t="str">
        <f t="shared" si="18"/>
        <v>1454</v>
      </c>
      <c r="E104" s="14" t="str">
        <f t="shared" si="19"/>
        <v>Премия по приобретенным ценным бумагам, учитываемым по справедливой стоимости через прочий совокупный доход</v>
      </c>
      <c r="F104" s="14" t="str">
        <f>"2"</f>
        <v>2</v>
      </c>
      <c r="G104" s="14" t="str">
        <f>"5"</f>
        <v>5</v>
      </c>
      <c r="H104" s="14" t="str">
        <f>"2"</f>
        <v>2</v>
      </c>
      <c r="I104" s="6">
        <v>40760309.159999996</v>
      </c>
    </row>
    <row r="105" spans="1:9" x14ac:dyDescent="0.25">
      <c r="A105" s="10">
        <v>95</v>
      </c>
      <c r="B105" s="1">
        <v>45930</v>
      </c>
      <c r="C105" s="14">
        <v>8</v>
      </c>
      <c r="D105" s="14" t="str">
        <f t="shared" si="18"/>
        <v>1454</v>
      </c>
      <c r="E105" s="14" t="str">
        <f t="shared" si="19"/>
        <v>Премия по приобретенным ценным бумагам, учитываемым по справедливой стоимости через прочий совокупный доход</v>
      </c>
      <c r="F105" s="14" t="str">
        <f>"2"</f>
        <v>2</v>
      </c>
      <c r="G105" s="14" t="str">
        <f>"7"</f>
        <v>7</v>
      </c>
      <c r="H105" s="14" t="str">
        <f>"2"</f>
        <v>2</v>
      </c>
      <c r="I105" s="6">
        <v>19478644.73</v>
      </c>
    </row>
    <row r="106" spans="1:9" x14ac:dyDescent="0.25">
      <c r="A106" s="10">
        <v>96</v>
      </c>
      <c r="B106" s="1">
        <v>45930</v>
      </c>
      <c r="C106" s="14">
        <v>8</v>
      </c>
      <c r="D106" s="14" t="str">
        <f>"1456"</f>
        <v>1456</v>
      </c>
      <c r="E106" s="14" t="str">
        <f>"Счет положительной корректировки справедливой стоимости ценных бумаг, учитываемых по справедливой стоимости через прочий совокупный доход"</f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F106" s="14" t="str">
        <f t="shared" ref="F106:G108" si="20">"1"</f>
        <v>1</v>
      </c>
      <c r="G106" s="14" t="str">
        <f t="shared" si="20"/>
        <v>1</v>
      </c>
      <c r="H106" s="14" t="str">
        <f>"2"</f>
        <v>2</v>
      </c>
      <c r="I106" s="6">
        <v>587927567.57000005</v>
      </c>
    </row>
    <row r="107" spans="1:9" x14ac:dyDescent="0.25">
      <c r="A107" s="10">
        <v>97</v>
      </c>
      <c r="B107" s="1">
        <v>45930</v>
      </c>
      <c r="C107" s="14">
        <v>8</v>
      </c>
      <c r="D107" s="14" t="str">
        <f t="shared" ref="D107:D115" si="21">"1457"</f>
        <v>1457</v>
      </c>
      <c r="E107" s="14" t="str">
        <f t="shared" ref="E107:E115" si="22">"Счет отрицательной корректировки справедливой стоимости ценных бумаг, учитываемых по справедливой стоимости через прочий совокупный доход"</f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107" s="14" t="str">
        <f t="shared" si="20"/>
        <v>1</v>
      </c>
      <c r="G107" s="14" t="str">
        <f t="shared" si="20"/>
        <v>1</v>
      </c>
      <c r="H107" s="14" t="str">
        <f>"1"</f>
        <v>1</v>
      </c>
      <c r="I107" s="6">
        <v>-11012883078.24</v>
      </c>
    </row>
    <row r="108" spans="1:9" x14ac:dyDescent="0.25">
      <c r="A108" s="10">
        <v>98</v>
      </c>
      <c r="B108" s="1">
        <v>45930</v>
      </c>
      <c r="C108" s="14">
        <v>8</v>
      </c>
      <c r="D108" s="14" t="str">
        <f t="shared" si="21"/>
        <v>1457</v>
      </c>
      <c r="E108" s="14" t="str">
        <f t="shared" si="22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108" s="14" t="str">
        <f t="shared" si="20"/>
        <v>1</v>
      </c>
      <c r="G108" s="14" t="str">
        <f t="shared" si="20"/>
        <v>1</v>
      </c>
      <c r="H108" s="14" t="str">
        <f>"2"</f>
        <v>2</v>
      </c>
      <c r="I108" s="6">
        <v>-3587292933.1399999</v>
      </c>
    </row>
    <row r="109" spans="1:9" x14ac:dyDescent="0.25">
      <c r="A109" s="10">
        <v>99</v>
      </c>
      <c r="B109" s="1">
        <v>45930</v>
      </c>
      <c r="C109" s="14">
        <v>8</v>
      </c>
      <c r="D109" s="14" t="str">
        <f t="shared" si="21"/>
        <v>1457</v>
      </c>
      <c r="E109" s="14" t="str">
        <f t="shared" si="22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109" s="14" t="str">
        <f>"1"</f>
        <v>1</v>
      </c>
      <c r="G109" s="14" t="str">
        <f>"6"</f>
        <v>6</v>
      </c>
      <c r="H109" s="14" t="str">
        <f>"1"</f>
        <v>1</v>
      </c>
      <c r="I109" s="6">
        <v>-3215678.41</v>
      </c>
    </row>
    <row r="110" spans="1:9" x14ac:dyDescent="0.25">
      <c r="A110" s="10">
        <v>100</v>
      </c>
      <c r="B110" s="1">
        <v>45930</v>
      </c>
      <c r="C110" s="14">
        <v>8</v>
      </c>
      <c r="D110" s="14" t="str">
        <f t="shared" si="21"/>
        <v>1457</v>
      </c>
      <c r="E110" s="14" t="str">
        <f t="shared" si="22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110" s="14" t="str">
        <f>"1"</f>
        <v>1</v>
      </c>
      <c r="G110" s="14" t="str">
        <f>"4"</f>
        <v>4</v>
      </c>
      <c r="H110" s="14" t="str">
        <f>"2"</f>
        <v>2</v>
      </c>
      <c r="I110" s="6">
        <v>-353916378.18000001</v>
      </c>
    </row>
    <row r="111" spans="1:9" x14ac:dyDescent="0.25">
      <c r="A111" s="10">
        <v>101</v>
      </c>
      <c r="B111" s="1">
        <v>45930</v>
      </c>
      <c r="C111" s="14">
        <v>8</v>
      </c>
      <c r="D111" s="14" t="str">
        <f t="shared" si="21"/>
        <v>1457</v>
      </c>
      <c r="E111" s="14" t="str">
        <f t="shared" si="22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111" s="14" t="str">
        <f>"2"</f>
        <v>2</v>
      </c>
      <c r="G111" s="14" t="str">
        <f>"7"</f>
        <v>7</v>
      </c>
      <c r="H111" s="14" t="str">
        <f>"2"</f>
        <v>2</v>
      </c>
      <c r="I111" s="6">
        <v>-1073026299.84</v>
      </c>
    </row>
    <row r="112" spans="1:9" x14ac:dyDescent="0.25">
      <c r="A112" s="10">
        <v>102</v>
      </c>
      <c r="B112" s="1">
        <v>45930</v>
      </c>
      <c r="C112" s="14">
        <v>8</v>
      </c>
      <c r="D112" s="14" t="str">
        <f t="shared" si="21"/>
        <v>1457</v>
      </c>
      <c r="E112" s="14" t="str">
        <f t="shared" si="22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112" s="14" t="str">
        <f>"1"</f>
        <v>1</v>
      </c>
      <c r="G112" s="14" t="str">
        <f>"7"</f>
        <v>7</v>
      </c>
      <c r="H112" s="14" t="str">
        <f>"2"</f>
        <v>2</v>
      </c>
      <c r="I112" s="6">
        <v>-45255726.93</v>
      </c>
    </row>
    <row r="113" spans="1:9" x14ac:dyDescent="0.25">
      <c r="A113" s="10">
        <v>103</v>
      </c>
      <c r="B113" s="1">
        <v>45930</v>
      </c>
      <c r="C113" s="14">
        <v>8</v>
      </c>
      <c r="D113" s="14" t="str">
        <f t="shared" si="21"/>
        <v>1457</v>
      </c>
      <c r="E113" s="14" t="str">
        <f t="shared" si="22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113" s="14" t="str">
        <f>"1"</f>
        <v>1</v>
      </c>
      <c r="G113" s="14" t="str">
        <f>"6"</f>
        <v>6</v>
      </c>
      <c r="H113" s="14" t="str">
        <f>"2"</f>
        <v>2</v>
      </c>
      <c r="I113" s="6">
        <v>-210181507.71000001</v>
      </c>
    </row>
    <row r="114" spans="1:9" x14ac:dyDescent="0.25">
      <c r="A114" s="10">
        <v>104</v>
      </c>
      <c r="B114" s="1">
        <v>45930</v>
      </c>
      <c r="C114" s="14">
        <v>8</v>
      </c>
      <c r="D114" s="14" t="str">
        <f t="shared" si="21"/>
        <v>1457</v>
      </c>
      <c r="E114" s="14" t="str">
        <f t="shared" si="22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114" s="14" t="str">
        <f>"2"</f>
        <v>2</v>
      </c>
      <c r="G114" s="14" t="str">
        <f>"3"</f>
        <v>3</v>
      </c>
      <c r="H114" s="14" t="str">
        <f>"1"</f>
        <v>1</v>
      </c>
      <c r="I114" s="6">
        <v>-1980404.98</v>
      </c>
    </row>
    <row r="115" spans="1:9" x14ac:dyDescent="0.25">
      <c r="A115" s="10">
        <v>105</v>
      </c>
      <c r="B115" s="1">
        <v>45930</v>
      </c>
      <c r="C115" s="14">
        <v>8</v>
      </c>
      <c r="D115" s="14" t="str">
        <f t="shared" si="21"/>
        <v>1457</v>
      </c>
      <c r="E115" s="14" t="str">
        <f t="shared" si="22"/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115" s="14" t="str">
        <f>"2"</f>
        <v>2</v>
      </c>
      <c r="G115" s="14" t="str">
        <f>"5"</f>
        <v>5</v>
      </c>
      <c r="H115" s="14" t="str">
        <f>"2"</f>
        <v>2</v>
      </c>
      <c r="I115" s="6">
        <v>-847982693.29999995</v>
      </c>
    </row>
    <row r="116" spans="1:9" x14ac:dyDescent="0.25">
      <c r="A116" s="10">
        <v>106</v>
      </c>
      <c r="B116" s="1">
        <v>45930</v>
      </c>
      <c r="C116" s="14">
        <v>8</v>
      </c>
      <c r="D116" s="14" t="str">
        <f>"1471"</f>
        <v>1471</v>
      </c>
      <c r="E116" s="14" t="str">
        <f>"Инвестиции в дочерние организации"</f>
        <v>Инвестиции в дочерние организации</v>
      </c>
      <c r="F116" s="14" t="str">
        <f t="shared" ref="F116:F121" si="23">"1"</f>
        <v>1</v>
      </c>
      <c r="G116" s="14" t="str">
        <f>"7"</f>
        <v>7</v>
      </c>
      <c r="H116" s="14" t="str">
        <f>"1"</f>
        <v>1</v>
      </c>
      <c r="I116" s="6">
        <v>20925716659.169998</v>
      </c>
    </row>
    <row r="117" spans="1:9" x14ac:dyDescent="0.25">
      <c r="A117" s="10">
        <v>107</v>
      </c>
      <c r="B117" s="1">
        <v>45930</v>
      </c>
      <c r="C117" s="14">
        <v>8</v>
      </c>
      <c r="D117" s="14" t="str">
        <f>"1474"</f>
        <v>1474</v>
      </c>
      <c r="E117" s="14" t="str">
        <f>"Обесценение инвестиций в дочерние организации"</f>
        <v>Обесценение инвестиций в дочерние организации</v>
      </c>
      <c r="F117" s="14" t="str">
        <f t="shared" si="23"/>
        <v>1</v>
      </c>
      <c r="G117" s="14" t="str">
        <f>"7"</f>
        <v>7</v>
      </c>
      <c r="H117" s="14" t="str">
        <f>"1"</f>
        <v>1</v>
      </c>
      <c r="I117" s="6">
        <v>-7526889857.1700001</v>
      </c>
    </row>
    <row r="118" spans="1:9" x14ac:dyDescent="0.25">
      <c r="A118" s="10">
        <v>108</v>
      </c>
      <c r="B118" s="1">
        <v>45930</v>
      </c>
      <c r="C118" s="14">
        <v>8</v>
      </c>
      <c r="D118" s="14" t="str">
        <f>"1476"</f>
        <v>1476</v>
      </c>
      <c r="E118" s="14" t="str">
        <f>"Прочие инвестиции"</f>
        <v>Прочие инвестиции</v>
      </c>
      <c r="F118" s="14" t="str">
        <f t="shared" si="23"/>
        <v>1</v>
      </c>
      <c r="G118" s="14" t="str">
        <f>"7"</f>
        <v>7</v>
      </c>
      <c r="H118" s="14" t="str">
        <f>"2"</f>
        <v>2</v>
      </c>
      <c r="I118" s="6">
        <v>3019830000</v>
      </c>
    </row>
    <row r="119" spans="1:9" x14ac:dyDescent="0.25">
      <c r="A119" s="10">
        <v>109</v>
      </c>
      <c r="B119" s="1">
        <v>45930</v>
      </c>
      <c r="C119" s="14">
        <v>8</v>
      </c>
      <c r="D119" s="14" t="str">
        <f>"1476"</f>
        <v>1476</v>
      </c>
      <c r="E119" s="14" t="str">
        <f>"Прочие инвестиции"</f>
        <v>Прочие инвестиции</v>
      </c>
      <c r="F119" s="14" t="str">
        <f t="shared" si="23"/>
        <v>1</v>
      </c>
      <c r="G119" s="14" t="str">
        <f>"7"</f>
        <v>7</v>
      </c>
      <c r="H119" s="14" t="str">
        <f>"1"</f>
        <v>1</v>
      </c>
      <c r="I119" s="6">
        <v>29250000</v>
      </c>
    </row>
    <row r="120" spans="1:9" x14ac:dyDescent="0.25">
      <c r="A120" s="10">
        <v>110</v>
      </c>
      <c r="B120" s="1">
        <v>45930</v>
      </c>
      <c r="C120" s="14">
        <v>8</v>
      </c>
      <c r="D120" s="14" t="str">
        <f t="shared" ref="D120:D126" si="24">"1481"</f>
        <v>1481</v>
      </c>
      <c r="E120" s="14" t="str">
        <f t="shared" ref="E120:E126" si="25">"Ценные бумаги, учитываемые по амортизированной стоимости"</f>
        <v>Ценные бумаги, учитываемые по амортизированной стоимости</v>
      </c>
      <c r="F120" s="14" t="str">
        <f t="shared" si="23"/>
        <v>1</v>
      </c>
      <c r="G120" s="14" t="str">
        <f>"1"</f>
        <v>1</v>
      </c>
      <c r="H120" s="14" t="str">
        <f>"1"</f>
        <v>1</v>
      </c>
      <c r="I120" s="6">
        <v>61383352000</v>
      </c>
    </row>
    <row r="121" spans="1:9" x14ac:dyDescent="0.25">
      <c r="A121" s="10">
        <v>111</v>
      </c>
      <c r="B121" s="1">
        <v>45930</v>
      </c>
      <c r="C121" s="14">
        <v>8</v>
      </c>
      <c r="D121" s="14" t="str">
        <f t="shared" si="24"/>
        <v>1481</v>
      </c>
      <c r="E121" s="14" t="str">
        <f t="shared" si="25"/>
        <v>Ценные бумаги, учитываемые по амортизированной стоимости</v>
      </c>
      <c r="F121" s="14" t="str">
        <f t="shared" si="23"/>
        <v>1</v>
      </c>
      <c r="G121" s="14" t="str">
        <f>"1"</f>
        <v>1</v>
      </c>
      <c r="H121" s="14" t="str">
        <f>"2"</f>
        <v>2</v>
      </c>
      <c r="I121" s="6">
        <v>61340328030</v>
      </c>
    </row>
    <row r="122" spans="1:9" x14ac:dyDescent="0.25">
      <c r="A122" s="10">
        <v>112</v>
      </c>
      <c r="B122" s="1">
        <v>45930</v>
      </c>
      <c r="C122" s="14">
        <v>8</v>
      </c>
      <c r="D122" s="14" t="str">
        <f t="shared" si="24"/>
        <v>1481</v>
      </c>
      <c r="E122" s="14" t="str">
        <f t="shared" si="25"/>
        <v>Ценные бумаги, учитываемые по амортизированной стоимости</v>
      </c>
      <c r="F122" s="14" t="str">
        <f>"2"</f>
        <v>2</v>
      </c>
      <c r="G122" s="14" t="str">
        <f>"3"</f>
        <v>3</v>
      </c>
      <c r="H122" s="14" t="str">
        <f>"2"</f>
        <v>2</v>
      </c>
      <c r="I122" s="6">
        <v>6825948950</v>
      </c>
    </row>
    <row r="123" spans="1:9" x14ac:dyDescent="0.25">
      <c r="A123" s="10">
        <v>113</v>
      </c>
      <c r="B123" s="1">
        <v>45930</v>
      </c>
      <c r="C123" s="14">
        <v>8</v>
      </c>
      <c r="D123" s="14" t="str">
        <f t="shared" si="24"/>
        <v>1481</v>
      </c>
      <c r="E123" s="14" t="str">
        <f t="shared" si="25"/>
        <v>Ценные бумаги, учитываемые по амортизированной стоимости</v>
      </c>
      <c r="F123" s="14" t="str">
        <f>"1"</f>
        <v>1</v>
      </c>
      <c r="G123" s="14" t="str">
        <f>"6"</f>
        <v>6</v>
      </c>
      <c r="H123" s="14" t="str">
        <f>"2"</f>
        <v>2</v>
      </c>
      <c r="I123" s="6">
        <v>36705759120</v>
      </c>
    </row>
    <row r="124" spans="1:9" x14ac:dyDescent="0.25">
      <c r="A124" s="10">
        <v>114</v>
      </c>
      <c r="B124" s="1">
        <v>45930</v>
      </c>
      <c r="C124" s="14">
        <v>8</v>
      </c>
      <c r="D124" s="14" t="str">
        <f t="shared" si="24"/>
        <v>1481</v>
      </c>
      <c r="E124" s="14" t="str">
        <f t="shared" si="25"/>
        <v>Ценные бумаги, учитываемые по амортизированной стоимости</v>
      </c>
      <c r="F124" s="14" t="str">
        <f>"2"</f>
        <v>2</v>
      </c>
      <c r="G124" s="14" t="str">
        <f>"1"</f>
        <v>1</v>
      </c>
      <c r="H124" s="14" t="str">
        <f>"2"</f>
        <v>2</v>
      </c>
      <c r="I124" s="6">
        <v>82359000000</v>
      </c>
    </row>
    <row r="125" spans="1:9" x14ac:dyDescent="0.25">
      <c r="A125" s="10">
        <v>115</v>
      </c>
      <c r="B125" s="1">
        <v>45930</v>
      </c>
      <c r="C125" s="14">
        <v>8</v>
      </c>
      <c r="D125" s="14" t="str">
        <f t="shared" si="24"/>
        <v>1481</v>
      </c>
      <c r="E125" s="14" t="str">
        <f t="shared" si="25"/>
        <v>Ценные бумаги, учитываемые по амортизированной стоимости</v>
      </c>
      <c r="F125" s="14" t="str">
        <f>"1"</f>
        <v>1</v>
      </c>
      <c r="G125" s="14" t="str">
        <f>"3"</f>
        <v>3</v>
      </c>
      <c r="H125" s="14" t="str">
        <f>"1"</f>
        <v>1</v>
      </c>
      <c r="I125" s="6">
        <v>67670687400</v>
      </c>
    </row>
    <row r="126" spans="1:9" x14ac:dyDescent="0.25">
      <c r="A126" s="10">
        <v>116</v>
      </c>
      <c r="B126" s="1">
        <v>45930</v>
      </c>
      <c r="C126" s="14">
        <v>8</v>
      </c>
      <c r="D126" s="14" t="str">
        <f t="shared" si="24"/>
        <v>1481</v>
      </c>
      <c r="E126" s="14" t="str">
        <f t="shared" si="25"/>
        <v>Ценные бумаги, учитываемые по амортизированной стоимости</v>
      </c>
      <c r="F126" s="14" t="str">
        <f>"2"</f>
        <v>2</v>
      </c>
      <c r="G126" s="14" t="str">
        <f>"7"</f>
        <v>7</v>
      </c>
      <c r="H126" s="14" t="str">
        <f>"2"</f>
        <v>2</v>
      </c>
      <c r="I126" s="6">
        <v>982817400</v>
      </c>
    </row>
    <row r="127" spans="1:9" x14ac:dyDescent="0.25">
      <c r="A127" s="10">
        <v>117</v>
      </c>
      <c r="B127" s="1">
        <v>45930</v>
      </c>
      <c r="C127" s="14">
        <v>8</v>
      </c>
      <c r="D127" s="14" t="str">
        <f t="shared" ref="D127:D133" si="26">"1482"</f>
        <v>1482</v>
      </c>
      <c r="E127" s="14" t="str">
        <f t="shared" ref="E127:E133" si="27">"Дисконт по ценным бумагам, учитываемым по амортизированной стоимости"</f>
        <v>Дисконт по ценным бумагам, учитываемым по амортизированной стоимости</v>
      </c>
      <c r="F127" s="14" t="str">
        <f>"2"</f>
        <v>2</v>
      </c>
      <c r="G127" s="14" t="str">
        <f>"3"</f>
        <v>3</v>
      </c>
      <c r="H127" s="14" t="str">
        <f>"2"</f>
        <v>2</v>
      </c>
      <c r="I127" s="6">
        <v>-226546629.28</v>
      </c>
    </row>
    <row r="128" spans="1:9" x14ac:dyDescent="0.25">
      <c r="A128" s="10">
        <v>118</v>
      </c>
      <c r="B128" s="1">
        <v>45930</v>
      </c>
      <c r="C128" s="14">
        <v>8</v>
      </c>
      <c r="D128" s="14" t="str">
        <f t="shared" si="26"/>
        <v>1482</v>
      </c>
      <c r="E128" s="14" t="str">
        <f t="shared" si="27"/>
        <v>Дисконт по ценным бумагам, учитываемым по амортизированной стоимости</v>
      </c>
      <c r="F128" s="14" t="str">
        <f>"1"</f>
        <v>1</v>
      </c>
      <c r="G128" s="14" t="str">
        <f>"1"</f>
        <v>1</v>
      </c>
      <c r="H128" s="14" t="str">
        <f>"1"</f>
        <v>1</v>
      </c>
      <c r="I128" s="6">
        <v>-3368298191.0599999</v>
      </c>
    </row>
    <row r="129" spans="1:9" x14ac:dyDescent="0.25">
      <c r="A129" s="10">
        <v>119</v>
      </c>
      <c r="B129" s="1">
        <v>45930</v>
      </c>
      <c r="C129" s="14">
        <v>8</v>
      </c>
      <c r="D129" s="14" t="str">
        <f t="shared" si="26"/>
        <v>1482</v>
      </c>
      <c r="E129" s="14" t="str">
        <f t="shared" si="27"/>
        <v>Дисконт по ценным бумагам, учитываемым по амортизированной стоимости</v>
      </c>
      <c r="F129" s="14" t="str">
        <f>"1"</f>
        <v>1</v>
      </c>
      <c r="G129" s="14" t="str">
        <f>"1"</f>
        <v>1</v>
      </c>
      <c r="H129" s="14" t="str">
        <f>"2"</f>
        <v>2</v>
      </c>
      <c r="I129" s="6">
        <v>-1342552938.73</v>
      </c>
    </row>
    <row r="130" spans="1:9" x14ac:dyDescent="0.25">
      <c r="A130" s="10">
        <v>120</v>
      </c>
      <c r="B130" s="1">
        <v>45930</v>
      </c>
      <c r="C130" s="14">
        <v>8</v>
      </c>
      <c r="D130" s="14" t="str">
        <f t="shared" si="26"/>
        <v>1482</v>
      </c>
      <c r="E130" s="14" t="str">
        <f t="shared" si="27"/>
        <v>Дисконт по ценным бумагам, учитываемым по амортизированной стоимости</v>
      </c>
      <c r="F130" s="14" t="str">
        <f>"1"</f>
        <v>1</v>
      </c>
      <c r="G130" s="14" t="str">
        <f>"3"</f>
        <v>3</v>
      </c>
      <c r="H130" s="14" t="str">
        <f>"1"</f>
        <v>1</v>
      </c>
      <c r="I130" s="6">
        <v>-440126568.37</v>
      </c>
    </row>
    <row r="131" spans="1:9" x14ac:dyDescent="0.25">
      <c r="A131" s="10">
        <v>121</v>
      </c>
      <c r="B131" s="1">
        <v>45930</v>
      </c>
      <c r="C131" s="14">
        <v>8</v>
      </c>
      <c r="D131" s="14" t="str">
        <f t="shared" si="26"/>
        <v>1482</v>
      </c>
      <c r="E131" s="14" t="str">
        <f t="shared" si="27"/>
        <v>Дисконт по ценным бумагам, учитываемым по амортизированной стоимости</v>
      </c>
      <c r="F131" s="14" t="str">
        <f>"2"</f>
        <v>2</v>
      </c>
      <c r="G131" s="14" t="str">
        <f>"7"</f>
        <v>7</v>
      </c>
      <c r="H131" s="14" t="str">
        <f>"2"</f>
        <v>2</v>
      </c>
      <c r="I131" s="6">
        <v>-5283802.04</v>
      </c>
    </row>
    <row r="132" spans="1:9" x14ac:dyDescent="0.25">
      <c r="A132" s="10">
        <v>122</v>
      </c>
      <c r="B132" s="1">
        <v>45930</v>
      </c>
      <c r="C132" s="14">
        <v>8</v>
      </c>
      <c r="D132" s="14" t="str">
        <f t="shared" si="26"/>
        <v>1482</v>
      </c>
      <c r="E132" s="14" t="str">
        <f t="shared" si="27"/>
        <v>Дисконт по ценным бумагам, учитываемым по амортизированной стоимости</v>
      </c>
      <c r="F132" s="14" t="str">
        <f>"1"</f>
        <v>1</v>
      </c>
      <c r="G132" s="14" t="str">
        <f>"6"</f>
        <v>6</v>
      </c>
      <c r="H132" s="14" t="str">
        <f>"2"</f>
        <v>2</v>
      </c>
      <c r="I132" s="6">
        <v>-1262151482.8299999</v>
      </c>
    </row>
    <row r="133" spans="1:9" x14ac:dyDescent="0.25">
      <c r="A133" s="10">
        <v>123</v>
      </c>
      <c r="B133" s="1">
        <v>45930</v>
      </c>
      <c r="C133" s="14">
        <v>8</v>
      </c>
      <c r="D133" s="14" t="str">
        <f t="shared" si="26"/>
        <v>1482</v>
      </c>
      <c r="E133" s="14" t="str">
        <f t="shared" si="27"/>
        <v>Дисконт по ценным бумагам, учитываемым по амортизированной стоимости</v>
      </c>
      <c r="F133" s="14" t="str">
        <f>"2"</f>
        <v>2</v>
      </c>
      <c r="G133" s="14" t="str">
        <f>"1"</f>
        <v>1</v>
      </c>
      <c r="H133" s="14" t="str">
        <f>"2"</f>
        <v>2</v>
      </c>
      <c r="I133" s="6">
        <v>-512723126.83999997</v>
      </c>
    </row>
    <row r="134" spans="1:9" x14ac:dyDescent="0.25">
      <c r="A134" s="10">
        <v>124</v>
      </c>
      <c r="B134" s="1">
        <v>45930</v>
      </c>
      <c r="C134" s="14">
        <v>8</v>
      </c>
      <c r="D134" s="14" t="str">
        <f>"1483"</f>
        <v>1483</v>
      </c>
      <c r="E134" s="14" t="str">
        <f>"Премия по ценным бумагам, учитываемым по амортизированной стоимости"</f>
        <v>Премия по ценным бумагам, учитываемым по амортизированной стоимости</v>
      </c>
      <c r="F134" s="14" t="str">
        <f>"1"</f>
        <v>1</v>
      </c>
      <c r="G134" s="14" t="str">
        <f>"1"</f>
        <v>1</v>
      </c>
      <c r="H134" s="14" t="str">
        <f>"2"</f>
        <v>2</v>
      </c>
      <c r="I134" s="6">
        <v>120127656.92</v>
      </c>
    </row>
    <row r="135" spans="1:9" x14ac:dyDescent="0.25">
      <c r="A135" s="10">
        <v>125</v>
      </c>
      <c r="B135" s="1">
        <v>45930</v>
      </c>
      <c r="C135" s="14">
        <v>8</v>
      </c>
      <c r="D135" s="14" t="str">
        <f t="shared" ref="D135:D140" si="28">"1486"</f>
        <v>1486</v>
      </c>
      <c r="E135" s="14" t="str">
        <f t="shared" ref="E135:E140" si="29"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F135" s="14" t="str">
        <f>"1"</f>
        <v>1</v>
      </c>
      <c r="G135" s="14" t="str">
        <f>"1"</f>
        <v>1</v>
      </c>
      <c r="H135" s="14" t="str">
        <f>"1"</f>
        <v>1</v>
      </c>
      <c r="I135" s="6">
        <v>-85383684.200000003</v>
      </c>
    </row>
    <row r="136" spans="1:9" x14ac:dyDescent="0.25">
      <c r="A136" s="10">
        <v>126</v>
      </c>
      <c r="B136" s="1">
        <v>45930</v>
      </c>
      <c r="C136" s="14">
        <v>8</v>
      </c>
      <c r="D136" s="14" t="str">
        <f t="shared" si="28"/>
        <v>1486</v>
      </c>
      <c r="E136" s="14" t="str">
        <f t="shared" si="29"/>
        <v>Резервы (провизии) по ценным бумагам, учитываемым по амортизированной стоимости</v>
      </c>
      <c r="F136" s="14" t="str">
        <f>"1"</f>
        <v>1</v>
      </c>
      <c r="G136" s="14" t="str">
        <f>"1"</f>
        <v>1</v>
      </c>
      <c r="H136" s="14" t="str">
        <f>"2"</f>
        <v>2</v>
      </c>
      <c r="I136" s="6">
        <v>-97556039.189999998</v>
      </c>
    </row>
    <row r="137" spans="1:9" x14ac:dyDescent="0.25">
      <c r="A137" s="10">
        <v>127</v>
      </c>
      <c r="B137" s="1">
        <v>45930</v>
      </c>
      <c r="C137" s="14">
        <v>8</v>
      </c>
      <c r="D137" s="14" t="str">
        <f t="shared" si="28"/>
        <v>1486</v>
      </c>
      <c r="E137" s="14" t="str">
        <f t="shared" si="29"/>
        <v>Резервы (провизии) по ценным бумагам, учитываемым по амортизированной стоимости</v>
      </c>
      <c r="F137" s="14" t="str">
        <f>"1"</f>
        <v>1</v>
      </c>
      <c r="G137" s="14" t="str">
        <f>"6"</f>
        <v>6</v>
      </c>
      <c r="H137" s="14" t="str">
        <f>"2"</f>
        <v>2</v>
      </c>
      <c r="I137" s="6">
        <v>-46206314.509999998</v>
      </c>
    </row>
    <row r="138" spans="1:9" x14ac:dyDescent="0.25">
      <c r="A138" s="10">
        <v>128</v>
      </c>
      <c r="B138" s="1">
        <v>45930</v>
      </c>
      <c r="C138" s="14">
        <v>8</v>
      </c>
      <c r="D138" s="14" t="str">
        <f t="shared" si="28"/>
        <v>1486</v>
      </c>
      <c r="E138" s="14" t="str">
        <f t="shared" si="29"/>
        <v>Резервы (провизии) по ценным бумагам, учитываемым по амортизированной стоимости</v>
      </c>
      <c r="F138" s="14" t="str">
        <f>"2"</f>
        <v>2</v>
      </c>
      <c r="G138" s="14" t="str">
        <f>"3"</f>
        <v>3</v>
      </c>
      <c r="H138" s="14" t="str">
        <f>"2"</f>
        <v>2</v>
      </c>
      <c r="I138" s="6">
        <v>-1240155.95</v>
      </c>
    </row>
    <row r="139" spans="1:9" x14ac:dyDescent="0.25">
      <c r="A139" s="10">
        <v>129</v>
      </c>
      <c r="B139" s="1">
        <v>45930</v>
      </c>
      <c r="C139" s="14">
        <v>8</v>
      </c>
      <c r="D139" s="14" t="str">
        <f t="shared" si="28"/>
        <v>1486</v>
      </c>
      <c r="E139" s="14" t="str">
        <f t="shared" si="29"/>
        <v>Резервы (провизии) по ценным бумагам, учитываемым по амортизированной стоимости</v>
      </c>
      <c r="F139" s="14" t="str">
        <f>"2"</f>
        <v>2</v>
      </c>
      <c r="G139" s="14" t="str">
        <f>"7"</f>
        <v>7</v>
      </c>
      <c r="H139" s="14" t="str">
        <f>"2"</f>
        <v>2</v>
      </c>
      <c r="I139" s="6">
        <v>-887017.41</v>
      </c>
    </row>
    <row r="140" spans="1:9" x14ac:dyDescent="0.25">
      <c r="A140" s="10">
        <v>130</v>
      </c>
      <c r="B140" s="1">
        <v>45930</v>
      </c>
      <c r="C140" s="14">
        <v>8</v>
      </c>
      <c r="D140" s="14" t="str">
        <f t="shared" si="28"/>
        <v>1486</v>
      </c>
      <c r="E140" s="14" t="str">
        <f t="shared" si="29"/>
        <v>Резервы (провизии) по ценным бумагам, учитываемым по амортизированной стоимости</v>
      </c>
      <c r="F140" s="14" t="str">
        <f t="shared" ref="F140:F145" si="30">"1"</f>
        <v>1</v>
      </c>
      <c r="G140" s="14" t="str">
        <f>"3"</f>
        <v>3</v>
      </c>
      <c r="H140" s="14" t="str">
        <f t="shared" ref="H140:H145" si="31">"1"</f>
        <v>1</v>
      </c>
      <c r="I140" s="6">
        <v>-8973038.8499999996</v>
      </c>
    </row>
    <row r="141" spans="1:9" x14ac:dyDescent="0.25">
      <c r="A141" s="10">
        <v>131</v>
      </c>
      <c r="B141" s="1">
        <v>45930</v>
      </c>
      <c r="C141" s="14">
        <v>8</v>
      </c>
      <c r="D141" s="14" t="str">
        <f>"1491"</f>
        <v>1491</v>
      </c>
      <c r="E141" s="14" t="str">
        <f>"Прочие финансовые активы, учитываемые по амортизированной стоимости"</f>
        <v>Прочие финансовые активы, учитываемые по амортизированной стоимости</v>
      </c>
      <c r="F141" s="14" t="str">
        <f t="shared" si="30"/>
        <v>1</v>
      </c>
      <c r="G141" s="14" t="str">
        <f>"5"</f>
        <v>5</v>
      </c>
      <c r="H141" s="14" t="str">
        <f t="shared" si="31"/>
        <v>1</v>
      </c>
      <c r="I141" s="6">
        <v>538334281.85000002</v>
      </c>
    </row>
    <row r="142" spans="1:9" x14ac:dyDescent="0.25">
      <c r="A142" s="10">
        <v>132</v>
      </c>
      <c r="B142" s="1">
        <v>45930</v>
      </c>
      <c r="C142" s="14">
        <v>8</v>
      </c>
      <c r="D142" s="14" t="str">
        <f>"1491"</f>
        <v>1491</v>
      </c>
      <c r="E142" s="14" t="str">
        <f>"Прочие финансовые активы, учитываемые по амортизированной стоимости"</f>
        <v>Прочие финансовые активы, учитываемые по амортизированной стоимости</v>
      </c>
      <c r="F142" s="14" t="str">
        <f t="shared" si="30"/>
        <v>1</v>
      </c>
      <c r="G142" s="14" t="str">
        <f>"7"</f>
        <v>7</v>
      </c>
      <c r="H142" s="14" t="str">
        <f t="shared" si="31"/>
        <v>1</v>
      </c>
      <c r="I142" s="6">
        <v>29000000000</v>
      </c>
    </row>
    <row r="143" spans="1:9" x14ac:dyDescent="0.25">
      <c r="A143" s="10">
        <v>133</v>
      </c>
      <c r="B143" s="1">
        <v>45930</v>
      </c>
      <c r="C143" s="14">
        <v>8</v>
      </c>
      <c r="D143" s="14" t="str">
        <f>"1492"</f>
        <v>1492</v>
      </c>
      <c r="E143" s="14" t="str">
        <f>"Дисконт по прочим финансовым активам, учитываемым по амортизированной стоимости"</f>
        <v>Дисконт по прочим финансовым активам, учитываемым по амортизированной стоимости</v>
      </c>
      <c r="F143" s="14" t="str">
        <f t="shared" si="30"/>
        <v>1</v>
      </c>
      <c r="G143" s="14" t="str">
        <f>"5"</f>
        <v>5</v>
      </c>
      <c r="H143" s="14" t="str">
        <f t="shared" si="31"/>
        <v>1</v>
      </c>
      <c r="I143" s="6">
        <v>-327385389.23000002</v>
      </c>
    </row>
    <row r="144" spans="1:9" x14ac:dyDescent="0.25">
      <c r="A144" s="10">
        <v>134</v>
      </c>
      <c r="B144" s="1">
        <v>45930</v>
      </c>
      <c r="C144" s="14">
        <v>8</v>
      </c>
      <c r="D144" s="14" t="str">
        <f>"1492"</f>
        <v>1492</v>
      </c>
      <c r="E144" s="14" t="str">
        <f>"Дисконт по прочим финансовым активам, учитываемым по амортизированной стоимости"</f>
        <v>Дисконт по прочим финансовым активам, учитываемым по амортизированной стоимости</v>
      </c>
      <c r="F144" s="14" t="str">
        <f t="shared" si="30"/>
        <v>1</v>
      </c>
      <c r="G144" s="14" t="str">
        <f>"7"</f>
        <v>7</v>
      </c>
      <c r="H144" s="14" t="str">
        <f t="shared" si="31"/>
        <v>1</v>
      </c>
      <c r="I144" s="6">
        <v>-9152989.4299999997</v>
      </c>
    </row>
    <row r="145" spans="1:9" x14ac:dyDescent="0.25">
      <c r="A145" s="10">
        <v>135</v>
      </c>
      <c r="B145" s="1">
        <v>45930</v>
      </c>
      <c r="C145" s="14">
        <v>8</v>
      </c>
      <c r="D145" s="14" t="str">
        <f>"1495"</f>
        <v>1495</v>
      </c>
      <c r="E145" s="14" t="str">
        <f>"Резервы (провизии) по прочим финансовым активам, учитываемым по амортизированной стоимости"</f>
        <v>Резервы (провизии) по прочим финансовым активам, учитываемым по амортизированной стоимости</v>
      </c>
      <c r="F145" s="14" t="str">
        <f t="shared" si="30"/>
        <v>1</v>
      </c>
      <c r="G145" s="14" t="str">
        <f>"7"</f>
        <v>7</v>
      </c>
      <c r="H145" s="14" t="str">
        <f t="shared" si="31"/>
        <v>1</v>
      </c>
      <c r="I145" s="6">
        <v>-1293302600.79</v>
      </c>
    </row>
    <row r="146" spans="1:9" x14ac:dyDescent="0.25">
      <c r="A146" s="10">
        <v>136</v>
      </c>
      <c r="B146" s="1">
        <v>45930</v>
      </c>
      <c r="C146" s="14">
        <v>8</v>
      </c>
      <c r="D146" s="14" t="str">
        <f>"1602"</f>
        <v>1602</v>
      </c>
      <c r="E146" s="14" t="str">
        <f>"Прочие запасы"</f>
        <v>Прочие запасы</v>
      </c>
      <c r="F146" s="14" t="str">
        <f>""</f>
        <v/>
      </c>
      <c r="G146" s="14" t="str">
        <f>""</f>
        <v/>
      </c>
      <c r="H146" s="14" t="str">
        <f>""</f>
        <v/>
      </c>
      <c r="I146" s="6">
        <v>8461097082.8199997</v>
      </c>
    </row>
    <row r="147" spans="1:9" x14ac:dyDescent="0.25">
      <c r="A147" s="10">
        <v>137</v>
      </c>
      <c r="B147" s="1">
        <v>45930</v>
      </c>
      <c r="C147" s="14">
        <v>8</v>
      </c>
      <c r="D147" s="14" t="str">
        <f>"1652"</f>
        <v>1652</v>
      </c>
      <c r="E147" s="14" t="str">
        <f>"Земля, здания и сооружения"</f>
        <v>Земля, здания и сооружения</v>
      </c>
      <c r="F147" s="14" t="str">
        <f>""</f>
        <v/>
      </c>
      <c r="G147" s="14" t="str">
        <f>""</f>
        <v/>
      </c>
      <c r="H147" s="14" t="str">
        <f>""</f>
        <v/>
      </c>
      <c r="I147" s="6">
        <v>22204051509.540001</v>
      </c>
    </row>
    <row r="148" spans="1:9" x14ac:dyDescent="0.25">
      <c r="A148" s="10">
        <v>138</v>
      </c>
      <c r="B148" s="1">
        <v>45930</v>
      </c>
      <c r="C148" s="14">
        <v>8</v>
      </c>
      <c r="D148" s="14" t="str">
        <f>"1653"</f>
        <v>1653</v>
      </c>
      <c r="E148" s="14" t="str">
        <f>"Компьютерное оборудование"</f>
        <v>Компьютерное оборудование</v>
      </c>
      <c r="F148" s="14" t="str">
        <f>""</f>
        <v/>
      </c>
      <c r="G148" s="14" t="str">
        <f>""</f>
        <v/>
      </c>
      <c r="H148" s="14" t="str">
        <f>""</f>
        <v/>
      </c>
      <c r="I148" s="6">
        <v>2463579462.3200002</v>
      </c>
    </row>
    <row r="149" spans="1:9" x14ac:dyDescent="0.25">
      <c r="A149" s="10">
        <v>139</v>
      </c>
      <c r="B149" s="1">
        <v>45930</v>
      </c>
      <c r="C149" s="14">
        <v>8</v>
      </c>
      <c r="D149" s="14" t="str">
        <f>"1654"</f>
        <v>1654</v>
      </c>
      <c r="E149" s="14" t="str">
        <f>"Прочие основные средства"</f>
        <v>Прочие основные средства</v>
      </c>
      <c r="F149" s="14" t="str">
        <f>""</f>
        <v/>
      </c>
      <c r="G149" s="14" t="str">
        <f>""</f>
        <v/>
      </c>
      <c r="H149" s="14" t="str">
        <f>""</f>
        <v/>
      </c>
      <c r="I149" s="6">
        <v>23114003265.279999</v>
      </c>
    </row>
    <row r="150" spans="1:9" x14ac:dyDescent="0.25">
      <c r="A150" s="10">
        <v>140</v>
      </c>
      <c r="B150" s="1">
        <v>45930</v>
      </c>
      <c r="C150" s="14">
        <v>8</v>
      </c>
      <c r="D150" s="14" t="str">
        <f>"1655"</f>
        <v>1655</v>
      </c>
      <c r="E150" s="14" t="str">
        <f>"Активы в форме права пользования"</f>
        <v>Активы в форме права пользования</v>
      </c>
      <c r="F150" s="14" t="str">
        <f>""</f>
        <v/>
      </c>
      <c r="G150" s="14" t="str">
        <f>""</f>
        <v/>
      </c>
      <c r="H150" s="14" t="str">
        <f>""</f>
        <v/>
      </c>
      <c r="I150" s="6">
        <v>2313961558.3600001</v>
      </c>
    </row>
    <row r="151" spans="1:9" x14ac:dyDescent="0.25">
      <c r="A151" s="10">
        <v>141</v>
      </c>
      <c r="B151" s="1">
        <v>45930</v>
      </c>
      <c r="C151" s="14">
        <v>8</v>
      </c>
      <c r="D151" s="14" t="str">
        <f>"1657"</f>
        <v>1657</v>
      </c>
      <c r="E151" s="14" t="str">
        <f>"Капитальные затраты по активам в форме права пользования"</f>
        <v>Капитальные затраты по активам в форме права пользования</v>
      </c>
      <c r="F151" s="14" t="str">
        <f>""</f>
        <v/>
      </c>
      <c r="G151" s="14" t="str">
        <f>""</f>
        <v/>
      </c>
      <c r="H151" s="14" t="str">
        <f>""</f>
        <v/>
      </c>
      <c r="I151" s="6">
        <v>514151758</v>
      </c>
    </row>
    <row r="152" spans="1:9" x14ac:dyDescent="0.25">
      <c r="A152" s="10">
        <v>142</v>
      </c>
      <c r="B152" s="1">
        <v>45930</v>
      </c>
      <c r="C152" s="14">
        <v>8</v>
      </c>
      <c r="D152" s="14" t="str">
        <f>"1658"</f>
        <v>1658</v>
      </c>
      <c r="E152" s="14" t="str">
        <f>"Транспортные средства"</f>
        <v>Транспортные средства</v>
      </c>
      <c r="F152" s="14" t="str">
        <f>""</f>
        <v/>
      </c>
      <c r="G152" s="14" t="str">
        <f>""</f>
        <v/>
      </c>
      <c r="H152" s="14" t="str">
        <f>""</f>
        <v/>
      </c>
      <c r="I152" s="6">
        <v>702579536</v>
      </c>
    </row>
    <row r="153" spans="1:9" x14ac:dyDescent="0.25">
      <c r="A153" s="10">
        <v>143</v>
      </c>
      <c r="B153" s="1">
        <v>45930</v>
      </c>
      <c r="C153" s="14">
        <v>8</v>
      </c>
      <c r="D153" s="14" t="str">
        <f>"1659"</f>
        <v>1659</v>
      </c>
      <c r="E153" s="14" t="str">
        <f>"Нематериальные активы"</f>
        <v>Нематериальные активы</v>
      </c>
      <c r="F153" s="14" t="str">
        <f>""</f>
        <v/>
      </c>
      <c r="G153" s="14" t="str">
        <f>""</f>
        <v/>
      </c>
      <c r="H153" s="14" t="str">
        <f>""</f>
        <v/>
      </c>
      <c r="I153" s="6">
        <v>3532866748.5599999</v>
      </c>
    </row>
    <row r="154" spans="1:9" x14ac:dyDescent="0.25">
      <c r="A154" s="10">
        <v>144</v>
      </c>
      <c r="B154" s="1">
        <v>45930</v>
      </c>
      <c r="C154" s="14">
        <v>8</v>
      </c>
      <c r="D154" s="14" t="str">
        <f>"1660"</f>
        <v>1660</v>
      </c>
      <c r="E154" s="14" t="str">
        <f>"Создаваемые (разрабатываемые) нематериальные активы"</f>
        <v>Создаваемые (разрабатываемые) нематериальные активы</v>
      </c>
      <c r="F154" s="14" t="str">
        <f>""</f>
        <v/>
      </c>
      <c r="G154" s="14" t="str">
        <f>""</f>
        <v/>
      </c>
      <c r="H154" s="14" t="str">
        <f>""</f>
        <v/>
      </c>
      <c r="I154" s="6">
        <v>40000000</v>
      </c>
    </row>
    <row r="155" spans="1:9" x14ac:dyDescent="0.25">
      <c r="A155" s="10">
        <v>145</v>
      </c>
      <c r="B155" s="1">
        <v>45930</v>
      </c>
      <c r="C155" s="14">
        <v>8</v>
      </c>
      <c r="D155" s="14" t="str">
        <f>"1692"</f>
        <v>1692</v>
      </c>
      <c r="E155" s="14" t="str">
        <f>"Начисленная амортизация по зданиям и сооружениям"</f>
        <v>Начисленная амортизация по зданиям и сооружениям</v>
      </c>
      <c r="F155" s="14" t="str">
        <f>""</f>
        <v/>
      </c>
      <c r="G155" s="14" t="str">
        <f>""</f>
        <v/>
      </c>
      <c r="H155" s="14" t="str">
        <f>""</f>
        <v/>
      </c>
      <c r="I155" s="6">
        <v>-2888902499.2600002</v>
      </c>
    </row>
    <row r="156" spans="1:9" x14ac:dyDescent="0.25">
      <c r="A156" s="10">
        <v>146</v>
      </c>
      <c r="B156" s="1">
        <v>45930</v>
      </c>
      <c r="C156" s="14">
        <v>8</v>
      </c>
      <c r="D156" s="14" t="str">
        <f>"1693"</f>
        <v>1693</v>
      </c>
      <c r="E156" s="14" t="str">
        <f>"Начисленная амортизация по компьютерному оборудованию"</f>
        <v>Начисленная амортизация по компьютерному оборудованию</v>
      </c>
      <c r="F156" s="14" t="str">
        <f>""</f>
        <v/>
      </c>
      <c r="G156" s="14" t="str">
        <f>""</f>
        <v/>
      </c>
      <c r="H156" s="14" t="str">
        <f>""</f>
        <v/>
      </c>
      <c r="I156" s="6">
        <v>-1375457830.6900001</v>
      </c>
    </row>
    <row r="157" spans="1:9" x14ac:dyDescent="0.25">
      <c r="A157" s="10">
        <v>147</v>
      </c>
      <c r="B157" s="1">
        <v>45930</v>
      </c>
      <c r="C157" s="14">
        <v>8</v>
      </c>
      <c r="D157" s="14" t="str">
        <f>"1694"</f>
        <v>1694</v>
      </c>
      <c r="E157" s="14" t="str">
        <f>"Начисленная амортизация по прочим основным средствам"</f>
        <v>Начисленная амортизация по прочим основным средствам</v>
      </c>
      <c r="F157" s="14" t="str">
        <f>""</f>
        <v/>
      </c>
      <c r="G157" s="14" t="str">
        <f>""</f>
        <v/>
      </c>
      <c r="H157" s="14" t="str">
        <f>""</f>
        <v/>
      </c>
      <c r="I157" s="6">
        <v>-4200448206.1700001</v>
      </c>
    </row>
    <row r="158" spans="1:9" x14ac:dyDescent="0.25">
      <c r="A158" s="10">
        <v>148</v>
      </c>
      <c r="B158" s="1">
        <v>45930</v>
      </c>
      <c r="C158" s="14">
        <v>8</v>
      </c>
      <c r="D158" s="14" t="str">
        <f>"1695"</f>
        <v>1695</v>
      </c>
      <c r="E158" s="14" t="str">
        <f>"Начисленная амортизация по активам в форме права пользования"</f>
        <v>Начисленная амортизация по активам в форме права пользования</v>
      </c>
      <c r="F158" s="14" t="str">
        <f>""</f>
        <v/>
      </c>
      <c r="G158" s="14" t="str">
        <f>""</f>
        <v/>
      </c>
      <c r="H158" s="14" t="str">
        <f>""</f>
        <v/>
      </c>
      <c r="I158" s="6">
        <v>-952864701.30999994</v>
      </c>
    </row>
    <row r="159" spans="1:9" x14ac:dyDescent="0.25">
      <c r="A159" s="10">
        <v>149</v>
      </c>
      <c r="B159" s="1">
        <v>45930</v>
      </c>
      <c r="C159" s="14">
        <v>8</v>
      </c>
      <c r="D159" s="14" t="str">
        <f>"1697"</f>
        <v>1697</v>
      </c>
      <c r="E159" s="14" t="str">
        <f>"Начисленная амортизация по капитальным затратам по активам в форме права пользования"</f>
        <v>Начисленная амортизация по капитальным затратам по активам в форме права пользования</v>
      </c>
      <c r="F159" s="14" t="str">
        <f>""</f>
        <v/>
      </c>
      <c r="G159" s="14" t="str">
        <f>""</f>
        <v/>
      </c>
      <c r="H159" s="14" t="str">
        <f>""</f>
        <v/>
      </c>
      <c r="I159" s="6">
        <v>-476419694</v>
      </c>
    </row>
    <row r="160" spans="1:9" x14ac:dyDescent="0.25">
      <c r="A160" s="10">
        <v>150</v>
      </c>
      <c r="B160" s="1">
        <v>45930</v>
      </c>
      <c r="C160" s="14">
        <v>8</v>
      </c>
      <c r="D160" s="14" t="str">
        <f>"1698"</f>
        <v>1698</v>
      </c>
      <c r="E160" s="14" t="str">
        <f>"Начисленная амортизация по транспортным средствам"</f>
        <v>Начисленная амортизация по транспортным средствам</v>
      </c>
      <c r="F160" s="14" t="str">
        <f>""</f>
        <v/>
      </c>
      <c r="G160" s="14" t="str">
        <f>""</f>
        <v/>
      </c>
      <c r="H160" s="14" t="str">
        <f>""</f>
        <v/>
      </c>
      <c r="I160" s="6">
        <v>-395039281.17000002</v>
      </c>
    </row>
    <row r="161" spans="1:9" x14ac:dyDescent="0.25">
      <c r="A161" s="10">
        <v>151</v>
      </c>
      <c r="B161" s="1">
        <v>45930</v>
      </c>
      <c r="C161" s="14">
        <v>8</v>
      </c>
      <c r="D161" s="14" t="str">
        <f>"1699"</f>
        <v>1699</v>
      </c>
      <c r="E161" s="14" t="str">
        <f>"Начисленная амортизация по нематериальным активам"</f>
        <v>Начисленная амортизация по нематериальным активам</v>
      </c>
      <c r="F161" s="14" t="str">
        <f>""</f>
        <v/>
      </c>
      <c r="G161" s="14" t="str">
        <f>""</f>
        <v/>
      </c>
      <c r="H161" s="14" t="str">
        <f>""</f>
        <v/>
      </c>
      <c r="I161" s="6">
        <v>-2138590248.8</v>
      </c>
    </row>
    <row r="162" spans="1:9" x14ac:dyDescent="0.25">
      <c r="A162" s="10">
        <v>152</v>
      </c>
      <c r="B162" s="1">
        <v>45930</v>
      </c>
      <c r="C162" s="14">
        <v>8</v>
      </c>
      <c r="D162" s="14" t="str">
        <f>"1705"</f>
        <v>1705</v>
      </c>
      <c r="E162" s="14" t="str">
        <f>"Начисленные доходы по корреспондентским счетам"</f>
        <v>Начисленные доходы по корреспондентским счетам</v>
      </c>
      <c r="F162" s="14" t="str">
        <f>"2"</f>
        <v>2</v>
      </c>
      <c r="G162" s="14" t="str">
        <f>"4"</f>
        <v>4</v>
      </c>
      <c r="H162" s="14" t="str">
        <f>"2"</f>
        <v>2</v>
      </c>
      <c r="I162" s="6">
        <v>9539716.6199999992</v>
      </c>
    </row>
    <row r="163" spans="1:9" x14ac:dyDescent="0.25">
      <c r="A163" s="10">
        <v>153</v>
      </c>
      <c r="B163" s="1">
        <v>45930</v>
      </c>
      <c r="C163" s="14">
        <v>8</v>
      </c>
      <c r="D163" s="14" t="str">
        <f>"1705"</f>
        <v>1705</v>
      </c>
      <c r="E163" s="14" t="str">
        <f>"Начисленные доходы по корреспондентским счетам"</f>
        <v>Начисленные доходы по корреспондентским счетам</v>
      </c>
      <c r="F163" s="14" t="str">
        <f>"2"</f>
        <v>2</v>
      </c>
      <c r="G163" s="14" t="str">
        <f>"4"</f>
        <v>4</v>
      </c>
      <c r="H163" s="14" t="str">
        <f>"3"</f>
        <v>3</v>
      </c>
      <c r="I163" s="6">
        <v>8082.38</v>
      </c>
    </row>
    <row r="164" spans="1:9" x14ac:dyDescent="0.25">
      <c r="A164" s="10">
        <v>154</v>
      </c>
      <c r="B164" s="1">
        <v>45930</v>
      </c>
      <c r="C164" s="14">
        <v>8</v>
      </c>
      <c r="D164" s="14" t="str">
        <f>"1710"</f>
        <v>1710</v>
      </c>
      <c r="E164" s="14" t="str">
        <f>"Начисленные доходы по вкладам, размещенным в Национальном Банке Республики Казахстан"</f>
        <v>Начисленные доходы по вкладам, размещенным в Национальном Банке Республики Казахстан</v>
      </c>
      <c r="F164" s="14" t="str">
        <f>"1"</f>
        <v>1</v>
      </c>
      <c r="G164" s="14" t="str">
        <f>"3"</f>
        <v>3</v>
      </c>
      <c r="H164" s="14" t="str">
        <f>"2"</f>
        <v>2</v>
      </c>
      <c r="I164" s="6">
        <v>12189132</v>
      </c>
    </row>
    <row r="165" spans="1:9" x14ac:dyDescent="0.25">
      <c r="A165" s="10">
        <v>155</v>
      </c>
      <c r="B165" s="1">
        <v>45930</v>
      </c>
      <c r="C165" s="14">
        <v>8</v>
      </c>
      <c r="D165" s="14" t="str">
        <f>"1728"</f>
        <v>1728</v>
      </c>
      <c r="E165" s="14" t="str">
        <f>"Начисленные доходы по вкладу, являющемуся обеспечением обязательств банка, ипотечной организации и акционерного общества «Банк Развития Казахстана»"</f>
        <v>Начисленные доходы по вкладу, являющемуся обеспечением обязательств банка, ипотечной организации и акционерного общества «Банк Развития Казахстана»</v>
      </c>
      <c r="F165" s="14" t="str">
        <f>"1"</f>
        <v>1</v>
      </c>
      <c r="G165" s="14" t="str">
        <f>"4"</f>
        <v>4</v>
      </c>
      <c r="H165" s="14" t="str">
        <f>"1"</f>
        <v>1</v>
      </c>
      <c r="I165" s="6">
        <v>686673.64</v>
      </c>
    </row>
    <row r="166" spans="1:9" x14ac:dyDescent="0.25">
      <c r="A166" s="10">
        <v>156</v>
      </c>
      <c r="B166" s="1">
        <v>45930</v>
      </c>
      <c r="C166" s="14">
        <v>8</v>
      </c>
      <c r="D166" s="14" t="str">
        <f>"1728"</f>
        <v>1728</v>
      </c>
      <c r="E166" s="14" t="str">
        <f>"Начисленные доходы по вкладу, являющемуся обеспечением обязательств банка, ипотечной организации и акционерного общества «Банк Развития Казахстана»"</f>
        <v>Начисленные доходы по вкладу, являющемуся обеспечением обязательств банка, ипотечной организации и акционерного общества «Банк Развития Казахстана»</v>
      </c>
      <c r="F166" s="14" t="str">
        <f>"2"</f>
        <v>2</v>
      </c>
      <c r="G166" s="14" t="str">
        <f>"4"</f>
        <v>4</v>
      </c>
      <c r="H166" s="14" t="str">
        <f>"2"</f>
        <v>2</v>
      </c>
      <c r="I166" s="6">
        <v>9932220.8699999992</v>
      </c>
    </row>
    <row r="167" spans="1:9" x14ac:dyDescent="0.25">
      <c r="A167" s="10">
        <v>157</v>
      </c>
      <c r="B167" s="1">
        <v>45930</v>
      </c>
      <c r="C167" s="14">
        <v>8</v>
      </c>
      <c r="D167" s="14" t="str">
        <f>"1728"</f>
        <v>1728</v>
      </c>
      <c r="E167" s="14" t="str">
        <f>"Начисленные доходы по вкладу, являющемуся обеспечением обязательств банка, ипотечной организации и акционерного общества «Банк Развития Казахстана»"</f>
        <v>Начисленные доходы по вкладу, являющемуся обеспечением обязательств банка, ипотечной организации и акционерного общества «Банк Развития Казахстана»</v>
      </c>
      <c r="F167" s="14" t="str">
        <f>"2"</f>
        <v>2</v>
      </c>
      <c r="G167" s="14" t="str">
        <f>"5"</f>
        <v>5</v>
      </c>
      <c r="H167" s="14" t="str">
        <f>"2"</f>
        <v>2</v>
      </c>
      <c r="I167" s="6">
        <v>27579673.629999999</v>
      </c>
    </row>
    <row r="168" spans="1:9" x14ac:dyDescent="0.25">
      <c r="A168" s="10">
        <v>158</v>
      </c>
      <c r="B168" s="1">
        <v>45930</v>
      </c>
      <c r="C168" s="14">
        <v>8</v>
      </c>
      <c r="D168" s="14" t="str">
        <f t="shared" ref="D168:D174" si="32">"1740"</f>
        <v>1740</v>
      </c>
      <c r="E168" s="14" t="str">
        <f t="shared" ref="E168:E174" si="33">"Начисленные доходы по займам и финансовому лизингу, предоставленным клиентам"</f>
        <v>Начисленные доходы по займам и финансовому лизингу, предоставленным клиентам</v>
      </c>
      <c r="F168" s="14" t="str">
        <f>"1"</f>
        <v>1</v>
      </c>
      <c r="G168" s="14" t="str">
        <f>"9"</f>
        <v>9</v>
      </c>
      <c r="H168" s="14" t="str">
        <f>"2"</f>
        <v>2</v>
      </c>
      <c r="I168" s="6">
        <v>6237.32</v>
      </c>
    </row>
    <row r="169" spans="1:9" x14ac:dyDescent="0.25">
      <c r="A169" s="10">
        <v>159</v>
      </c>
      <c r="B169" s="1">
        <v>45930</v>
      </c>
      <c r="C169" s="14">
        <v>8</v>
      </c>
      <c r="D169" s="14" t="str">
        <f t="shared" si="32"/>
        <v>1740</v>
      </c>
      <c r="E169" s="14" t="str">
        <f t="shared" si="33"/>
        <v>Начисленные доходы по займам и финансовому лизингу, предоставленным клиентам</v>
      </c>
      <c r="F169" s="14" t="str">
        <f>"1"</f>
        <v>1</v>
      </c>
      <c r="G169" s="14" t="str">
        <f>"7"</f>
        <v>7</v>
      </c>
      <c r="H169" s="14" t="str">
        <f>"2"</f>
        <v>2</v>
      </c>
      <c r="I169" s="6">
        <v>433771154.62</v>
      </c>
    </row>
    <row r="170" spans="1:9" x14ac:dyDescent="0.25">
      <c r="A170" s="10">
        <v>160</v>
      </c>
      <c r="B170" s="1">
        <v>45930</v>
      </c>
      <c r="C170" s="14">
        <v>8</v>
      </c>
      <c r="D170" s="14" t="str">
        <f t="shared" si="32"/>
        <v>1740</v>
      </c>
      <c r="E170" s="14" t="str">
        <f t="shared" si="33"/>
        <v>Начисленные доходы по займам и финансовому лизингу, предоставленным клиентам</v>
      </c>
      <c r="F170" s="14" t="str">
        <f>"1"</f>
        <v>1</v>
      </c>
      <c r="G170" s="14" t="str">
        <f>"7"</f>
        <v>7</v>
      </c>
      <c r="H170" s="14" t="str">
        <f>"1"</f>
        <v>1</v>
      </c>
      <c r="I170" s="6">
        <v>5885452850.4099998</v>
      </c>
    </row>
    <row r="171" spans="1:9" x14ac:dyDescent="0.25">
      <c r="A171" s="10">
        <v>161</v>
      </c>
      <c r="B171" s="1">
        <v>45930</v>
      </c>
      <c r="C171" s="14">
        <v>8</v>
      </c>
      <c r="D171" s="14" t="str">
        <f t="shared" si="32"/>
        <v>1740</v>
      </c>
      <c r="E171" s="14" t="str">
        <f t="shared" si="33"/>
        <v>Начисленные доходы по займам и финансовому лизингу, предоставленным клиентам</v>
      </c>
      <c r="F171" s="14" t="str">
        <f>"1"</f>
        <v>1</v>
      </c>
      <c r="G171" s="14" t="str">
        <f>"5"</f>
        <v>5</v>
      </c>
      <c r="H171" s="14" t="str">
        <f>"1"</f>
        <v>1</v>
      </c>
      <c r="I171" s="6">
        <v>93336527.780000001</v>
      </c>
    </row>
    <row r="172" spans="1:9" x14ac:dyDescent="0.25">
      <c r="A172" s="10">
        <v>162</v>
      </c>
      <c r="B172" s="1">
        <v>45930</v>
      </c>
      <c r="C172" s="14">
        <v>8</v>
      </c>
      <c r="D172" s="14" t="str">
        <f t="shared" si="32"/>
        <v>1740</v>
      </c>
      <c r="E172" s="14" t="str">
        <f t="shared" si="33"/>
        <v>Начисленные доходы по займам и финансовому лизингу, предоставленным клиентам</v>
      </c>
      <c r="F172" s="14" t="str">
        <f>"1"</f>
        <v>1</v>
      </c>
      <c r="G172" s="14" t="str">
        <f>"9"</f>
        <v>9</v>
      </c>
      <c r="H172" s="14" t="str">
        <f>"1"</f>
        <v>1</v>
      </c>
      <c r="I172" s="6">
        <v>16831476999.799999</v>
      </c>
    </row>
    <row r="173" spans="1:9" x14ac:dyDescent="0.25">
      <c r="A173" s="10">
        <v>163</v>
      </c>
      <c r="B173" s="1">
        <v>45930</v>
      </c>
      <c r="C173" s="14">
        <v>8</v>
      </c>
      <c r="D173" s="14" t="str">
        <f t="shared" si="32"/>
        <v>1740</v>
      </c>
      <c r="E173" s="14" t="str">
        <f t="shared" si="33"/>
        <v>Начисленные доходы по займам и финансовому лизингу, предоставленным клиентам</v>
      </c>
      <c r="F173" s="14" t="str">
        <f>"2"</f>
        <v>2</v>
      </c>
      <c r="G173" s="14" t="str">
        <f>"7"</f>
        <v>7</v>
      </c>
      <c r="H173" s="14" t="str">
        <f>"2"</f>
        <v>2</v>
      </c>
      <c r="I173" s="6">
        <v>9297112.1899999995</v>
      </c>
    </row>
    <row r="174" spans="1:9" x14ac:dyDescent="0.25">
      <c r="A174" s="10">
        <v>164</v>
      </c>
      <c r="B174" s="1">
        <v>45930</v>
      </c>
      <c r="C174" s="14">
        <v>8</v>
      </c>
      <c r="D174" s="14" t="str">
        <f t="shared" si="32"/>
        <v>1740</v>
      </c>
      <c r="E174" s="14" t="str">
        <f t="shared" si="33"/>
        <v>Начисленные доходы по займам и финансовому лизингу, предоставленным клиентам</v>
      </c>
      <c r="F174" s="14" t="str">
        <f>"1"</f>
        <v>1</v>
      </c>
      <c r="G174" s="14" t="str">
        <f>"7"</f>
        <v>7</v>
      </c>
      <c r="H174" s="14" t="str">
        <f>"3"</f>
        <v>3</v>
      </c>
      <c r="I174" s="6">
        <v>293303.74</v>
      </c>
    </row>
    <row r="175" spans="1:9" x14ac:dyDescent="0.25">
      <c r="A175" s="10">
        <v>165</v>
      </c>
      <c r="B175" s="1">
        <v>45930</v>
      </c>
      <c r="C175" s="14">
        <v>8</v>
      </c>
      <c r="D175" s="14" t="str">
        <f>"1741"</f>
        <v>1741</v>
      </c>
      <c r="E175" s="14" t="str">
        <f>"Просроченное вознаграждение по займам и финансовому лизингу, предоставленным клиентам"</f>
        <v>Просроченное вознаграждение по займам и финансовому лизингу, предоставленным клиентам</v>
      </c>
      <c r="F175" s="14" t="str">
        <f>"1"</f>
        <v>1</v>
      </c>
      <c r="G175" s="14" t="str">
        <f>"9"</f>
        <v>9</v>
      </c>
      <c r="H175" s="14" t="str">
        <f>"1"</f>
        <v>1</v>
      </c>
      <c r="I175" s="6">
        <v>5914347482.1000004</v>
      </c>
    </row>
    <row r="176" spans="1:9" x14ac:dyDescent="0.25">
      <c r="A176" s="10">
        <v>166</v>
      </c>
      <c r="B176" s="1">
        <v>45930</v>
      </c>
      <c r="C176" s="14">
        <v>8</v>
      </c>
      <c r="D176" s="14" t="str">
        <f>"1741"</f>
        <v>1741</v>
      </c>
      <c r="E176" s="14" t="str">
        <f>"Просроченное вознаграждение по займам и финансовому лизингу, предоставленным клиентам"</f>
        <v>Просроченное вознаграждение по займам и финансовому лизингу, предоставленным клиентам</v>
      </c>
      <c r="F176" s="14" t="str">
        <f>"1"</f>
        <v>1</v>
      </c>
      <c r="G176" s="14" t="str">
        <f>"7"</f>
        <v>7</v>
      </c>
      <c r="H176" s="14" t="str">
        <f>"1"</f>
        <v>1</v>
      </c>
      <c r="I176" s="6">
        <v>1048732207.98</v>
      </c>
    </row>
    <row r="177" spans="1:9" x14ac:dyDescent="0.25">
      <c r="A177" s="10">
        <v>167</v>
      </c>
      <c r="B177" s="1">
        <v>45930</v>
      </c>
      <c r="C177" s="14">
        <v>8</v>
      </c>
      <c r="D177" s="14" t="str">
        <f>"1745"</f>
        <v>1745</v>
      </c>
      <c r="E177" s="14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177" s="14" t="str">
        <f>"1"</f>
        <v>1</v>
      </c>
      <c r="G177" s="14" t="str">
        <f>"1"</f>
        <v>1</v>
      </c>
      <c r="H177" s="14" t="str">
        <f>"2"</f>
        <v>2</v>
      </c>
      <c r="I177" s="6">
        <v>866325524.24000001</v>
      </c>
    </row>
    <row r="178" spans="1:9" x14ac:dyDescent="0.25">
      <c r="A178" s="10">
        <v>168</v>
      </c>
      <c r="B178" s="1">
        <v>45930</v>
      </c>
      <c r="C178" s="14">
        <v>8</v>
      </c>
      <c r="D178" s="14" t="str">
        <f>"1745"</f>
        <v>1745</v>
      </c>
      <c r="E178" s="14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178" s="14" t="str">
        <f>"2"</f>
        <v>2</v>
      </c>
      <c r="G178" s="14" t="str">
        <f>"7"</f>
        <v>7</v>
      </c>
      <c r="H178" s="14" t="str">
        <f>"2"</f>
        <v>2</v>
      </c>
      <c r="I178" s="6">
        <v>4914087</v>
      </c>
    </row>
    <row r="179" spans="1:9" x14ac:dyDescent="0.25">
      <c r="A179" s="10">
        <v>169</v>
      </c>
      <c r="B179" s="1">
        <v>45930</v>
      </c>
      <c r="C179" s="14">
        <v>8</v>
      </c>
      <c r="D179" s="14" t="str">
        <f>"1745"</f>
        <v>1745</v>
      </c>
      <c r="E179" s="14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179" s="14" t="str">
        <f>"1"</f>
        <v>1</v>
      </c>
      <c r="G179" s="14" t="str">
        <f>"6"</f>
        <v>6</v>
      </c>
      <c r="H179" s="14" t="str">
        <f>"2"</f>
        <v>2</v>
      </c>
      <c r="I179" s="6">
        <v>309959743.68000001</v>
      </c>
    </row>
    <row r="180" spans="1:9" x14ac:dyDescent="0.25">
      <c r="A180" s="10">
        <v>170</v>
      </c>
      <c r="B180" s="1">
        <v>45930</v>
      </c>
      <c r="C180" s="14">
        <v>8</v>
      </c>
      <c r="D180" s="14" t="str">
        <f>"1745"</f>
        <v>1745</v>
      </c>
      <c r="E180" s="14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180" s="14" t="str">
        <f>"2"</f>
        <v>2</v>
      </c>
      <c r="G180" s="14" t="str">
        <f>"3"</f>
        <v>3</v>
      </c>
      <c r="H180" s="14" t="str">
        <f>"2"</f>
        <v>2</v>
      </c>
      <c r="I180" s="6">
        <v>36841423.100000001</v>
      </c>
    </row>
    <row r="181" spans="1:9" x14ac:dyDescent="0.25">
      <c r="A181" s="10">
        <v>171</v>
      </c>
      <c r="B181" s="1">
        <v>45930</v>
      </c>
      <c r="C181" s="14">
        <v>8</v>
      </c>
      <c r="D181" s="14" t="str">
        <f>"1745"</f>
        <v>1745</v>
      </c>
      <c r="E181" s="14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181" s="14" t="str">
        <f t="shared" ref="F181:H182" si="34">"1"</f>
        <v>1</v>
      </c>
      <c r="G181" s="14" t="str">
        <f t="shared" si="34"/>
        <v>1</v>
      </c>
      <c r="H181" s="14" t="str">
        <f t="shared" si="34"/>
        <v>1</v>
      </c>
      <c r="I181" s="6">
        <v>1494242609.0799999</v>
      </c>
    </row>
    <row r="182" spans="1:9" x14ac:dyDescent="0.25">
      <c r="A182" s="10">
        <v>172</v>
      </c>
      <c r="B182" s="1">
        <v>45930</v>
      </c>
      <c r="C182" s="14">
        <v>8</v>
      </c>
      <c r="D182" s="14" t="str">
        <f t="shared" ref="D182:D190" si="35">"1746"</f>
        <v>1746</v>
      </c>
      <c r="E182" s="14" t="str">
        <f t="shared" ref="E182:E190" si="36">"Начисленные доходы по ценным бумагам, учитываемым по справедливой стоимости через прочий совокупный доход"</f>
        <v>Начисленные доходы по ценным бумагам, учитываемым по справедливой стоимости через прочий совокупный доход</v>
      </c>
      <c r="F182" s="14" t="str">
        <f t="shared" si="34"/>
        <v>1</v>
      </c>
      <c r="G182" s="14" t="str">
        <f t="shared" si="34"/>
        <v>1</v>
      </c>
      <c r="H182" s="14" t="str">
        <f t="shared" si="34"/>
        <v>1</v>
      </c>
      <c r="I182" s="6">
        <v>6187407772.8800001</v>
      </c>
    </row>
    <row r="183" spans="1:9" x14ac:dyDescent="0.25">
      <c r="A183" s="10">
        <v>173</v>
      </c>
      <c r="B183" s="1">
        <v>45930</v>
      </c>
      <c r="C183" s="14">
        <v>8</v>
      </c>
      <c r="D183" s="14" t="str">
        <f t="shared" si="35"/>
        <v>1746</v>
      </c>
      <c r="E183" s="14" t="str">
        <f t="shared" si="36"/>
        <v>Начисленные доходы по ценным бумагам, учитываемым по справедливой стоимости через прочий совокупный доход</v>
      </c>
      <c r="F183" s="14" t="str">
        <f>"1"</f>
        <v>1</v>
      </c>
      <c r="G183" s="14" t="str">
        <f>"1"</f>
        <v>1</v>
      </c>
      <c r="H183" s="14" t="str">
        <f>"2"</f>
        <v>2</v>
      </c>
      <c r="I183" s="6">
        <v>1265945760.26</v>
      </c>
    </row>
    <row r="184" spans="1:9" x14ac:dyDescent="0.25">
      <c r="A184" s="10">
        <v>174</v>
      </c>
      <c r="B184" s="1">
        <v>45930</v>
      </c>
      <c r="C184" s="14">
        <v>8</v>
      </c>
      <c r="D184" s="14" t="str">
        <f t="shared" si="35"/>
        <v>1746</v>
      </c>
      <c r="E184" s="14" t="str">
        <f t="shared" si="36"/>
        <v>Начисленные доходы по ценным бумагам, учитываемым по справедливой стоимости через прочий совокупный доход</v>
      </c>
      <c r="F184" s="14" t="str">
        <f>"1"</f>
        <v>1</v>
      </c>
      <c r="G184" s="14" t="str">
        <f>"7"</f>
        <v>7</v>
      </c>
      <c r="H184" s="14" t="str">
        <f>"2"</f>
        <v>2</v>
      </c>
      <c r="I184" s="6">
        <v>533807.11</v>
      </c>
    </row>
    <row r="185" spans="1:9" x14ac:dyDescent="0.25">
      <c r="A185" s="10">
        <v>175</v>
      </c>
      <c r="B185" s="1">
        <v>45930</v>
      </c>
      <c r="C185" s="14">
        <v>8</v>
      </c>
      <c r="D185" s="14" t="str">
        <f t="shared" si="35"/>
        <v>1746</v>
      </c>
      <c r="E185" s="14" t="str">
        <f t="shared" si="36"/>
        <v>Начисленные доходы по ценным бумагам, учитываемым по справедливой стоимости через прочий совокупный доход</v>
      </c>
      <c r="F185" s="14" t="str">
        <f>"1"</f>
        <v>1</v>
      </c>
      <c r="G185" s="14" t="str">
        <f>"4"</f>
        <v>4</v>
      </c>
      <c r="H185" s="14" t="str">
        <f>"2"</f>
        <v>2</v>
      </c>
      <c r="I185" s="6">
        <v>42112902</v>
      </c>
    </row>
    <row r="186" spans="1:9" x14ac:dyDescent="0.25">
      <c r="A186" s="10">
        <v>176</v>
      </c>
      <c r="B186" s="1">
        <v>45930</v>
      </c>
      <c r="C186" s="14">
        <v>8</v>
      </c>
      <c r="D186" s="14" t="str">
        <f t="shared" si="35"/>
        <v>1746</v>
      </c>
      <c r="E186" s="14" t="str">
        <f t="shared" si="36"/>
        <v>Начисленные доходы по ценным бумагам, учитываемым по справедливой стоимости через прочий совокупный доход</v>
      </c>
      <c r="F186" s="14" t="str">
        <f>"1"</f>
        <v>1</v>
      </c>
      <c r="G186" s="14" t="str">
        <f>"6"</f>
        <v>6</v>
      </c>
      <c r="H186" s="14" t="str">
        <f>"2"</f>
        <v>2</v>
      </c>
      <c r="I186" s="6">
        <v>43299481.060000002</v>
      </c>
    </row>
    <row r="187" spans="1:9" x14ac:dyDescent="0.25">
      <c r="A187" s="10">
        <v>177</v>
      </c>
      <c r="B187" s="1">
        <v>45930</v>
      </c>
      <c r="C187" s="14">
        <v>8</v>
      </c>
      <c r="D187" s="14" t="str">
        <f t="shared" si="35"/>
        <v>1746</v>
      </c>
      <c r="E187" s="14" t="str">
        <f t="shared" si="36"/>
        <v>Начисленные доходы по ценным бумагам, учитываемым по справедливой стоимости через прочий совокупный доход</v>
      </c>
      <c r="F187" s="14" t="str">
        <f>"1"</f>
        <v>1</v>
      </c>
      <c r="G187" s="14" t="str">
        <f>"6"</f>
        <v>6</v>
      </c>
      <c r="H187" s="14" t="str">
        <f>"1"</f>
        <v>1</v>
      </c>
      <c r="I187" s="6">
        <v>58733215.600000001</v>
      </c>
    </row>
    <row r="188" spans="1:9" x14ac:dyDescent="0.25">
      <c r="A188" s="10">
        <v>178</v>
      </c>
      <c r="B188" s="1">
        <v>45930</v>
      </c>
      <c r="C188" s="14">
        <v>8</v>
      </c>
      <c r="D188" s="14" t="str">
        <f t="shared" si="35"/>
        <v>1746</v>
      </c>
      <c r="E188" s="14" t="str">
        <f t="shared" si="36"/>
        <v>Начисленные доходы по ценным бумагам, учитываемым по справедливой стоимости через прочий совокупный доход</v>
      </c>
      <c r="F188" s="14" t="str">
        <f>"2"</f>
        <v>2</v>
      </c>
      <c r="G188" s="14" t="str">
        <f>"3"</f>
        <v>3</v>
      </c>
      <c r="H188" s="14" t="str">
        <f>"1"</f>
        <v>1</v>
      </c>
      <c r="I188" s="6">
        <v>5107689.8600000003</v>
      </c>
    </row>
    <row r="189" spans="1:9" x14ac:dyDescent="0.25">
      <c r="A189" s="10">
        <v>179</v>
      </c>
      <c r="B189" s="1">
        <v>45930</v>
      </c>
      <c r="C189" s="14">
        <v>8</v>
      </c>
      <c r="D189" s="14" t="str">
        <f t="shared" si="35"/>
        <v>1746</v>
      </c>
      <c r="E189" s="14" t="str">
        <f t="shared" si="36"/>
        <v>Начисленные доходы по ценным бумагам, учитываемым по справедливой стоимости через прочий совокупный доход</v>
      </c>
      <c r="F189" s="14" t="str">
        <f>"2"</f>
        <v>2</v>
      </c>
      <c r="G189" s="14" t="str">
        <f>"5"</f>
        <v>5</v>
      </c>
      <c r="H189" s="14" t="str">
        <f>"2"</f>
        <v>2</v>
      </c>
      <c r="I189" s="6">
        <v>17020860</v>
      </c>
    </row>
    <row r="190" spans="1:9" x14ac:dyDescent="0.25">
      <c r="A190" s="10">
        <v>180</v>
      </c>
      <c r="B190" s="1">
        <v>45930</v>
      </c>
      <c r="C190" s="14">
        <v>8</v>
      </c>
      <c r="D190" s="14" t="str">
        <f t="shared" si="35"/>
        <v>1746</v>
      </c>
      <c r="E190" s="14" t="str">
        <f t="shared" si="36"/>
        <v>Начисленные доходы по ценным бумагам, учитываемым по справедливой стоимости через прочий совокупный доход</v>
      </c>
      <c r="F190" s="14" t="str">
        <f>"2"</f>
        <v>2</v>
      </c>
      <c r="G190" s="14" t="str">
        <f>"7"</f>
        <v>7</v>
      </c>
      <c r="H190" s="14" t="str">
        <f>"2"</f>
        <v>2</v>
      </c>
      <c r="I190" s="6">
        <v>12575000.390000001</v>
      </c>
    </row>
    <row r="191" spans="1:9" x14ac:dyDescent="0.25">
      <c r="A191" s="10">
        <v>181</v>
      </c>
      <c r="B191" s="1">
        <v>45930</v>
      </c>
      <c r="C191" s="14">
        <v>8</v>
      </c>
      <c r="D191" s="14" t="str">
        <f>"1750"</f>
        <v>1750</v>
      </c>
      <c r="E191" s="14" t="str">
        <f>"Просроченное вознаграждение по ценным бумагам"</f>
        <v>Просроченное вознаграждение по ценным бумагам</v>
      </c>
      <c r="F191" s="14" t="str">
        <f>"2"</f>
        <v>2</v>
      </c>
      <c r="G191" s="14" t="str">
        <f>"7"</f>
        <v>7</v>
      </c>
      <c r="H191" s="14" t="str">
        <f>"2"</f>
        <v>2</v>
      </c>
      <c r="I191" s="6">
        <v>76868400</v>
      </c>
    </row>
    <row r="192" spans="1:9" x14ac:dyDescent="0.25">
      <c r="A192" s="10">
        <v>182</v>
      </c>
      <c r="B192" s="1">
        <v>45930</v>
      </c>
      <c r="C192" s="14">
        <v>8</v>
      </c>
      <c r="D192" s="14" t="str">
        <f>"1793"</f>
        <v>1793</v>
      </c>
      <c r="E192" s="14" t="str">
        <f>"Расходы будущих периодов"</f>
        <v>Расходы будущих периодов</v>
      </c>
      <c r="F192" s="14" t="str">
        <f>"1"</f>
        <v>1</v>
      </c>
      <c r="G192" s="14" t="str">
        <f>"9"</f>
        <v>9</v>
      </c>
      <c r="H192" s="14" t="str">
        <f t="shared" ref="H192:H202" si="37">"1"</f>
        <v>1</v>
      </c>
      <c r="I192" s="6">
        <v>701548.6</v>
      </c>
    </row>
    <row r="193" spans="1:9" x14ac:dyDescent="0.25">
      <c r="A193" s="10">
        <v>183</v>
      </c>
      <c r="B193" s="1">
        <v>45930</v>
      </c>
      <c r="C193" s="14">
        <v>8</v>
      </c>
      <c r="D193" s="14" t="str">
        <f>"1793"</f>
        <v>1793</v>
      </c>
      <c r="E193" s="14" t="str">
        <f>"Расходы будущих периодов"</f>
        <v>Расходы будущих периодов</v>
      </c>
      <c r="F193" s="14" t="str">
        <f>"1"</f>
        <v>1</v>
      </c>
      <c r="G193" s="14" t="str">
        <f>"5"</f>
        <v>5</v>
      </c>
      <c r="H193" s="14" t="str">
        <f t="shared" si="37"/>
        <v>1</v>
      </c>
      <c r="I193" s="6">
        <v>39147131.880000003</v>
      </c>
    </row>
    <row r="194" spans="1:9" x14ac:dyDescent="0.25">
      <c r="A194" s="10">
        <v>184</v>
      </c>
      <c r="B194" s="1">
        <v>45930</v>
      </c>
      <c r="C194" s="14">
        <v>8</v>
      </c>
      <c r="D194" s="14" t="str">
        <f>"1793"</f>
        <v>1793</v>
      </c>
      <c r="E194" s="14" t="str">
        <f>"Расходы будущих периодов"</f>
        <v>Расходы будущих периодов</v>
      </c>
      <c r="F194" s="14" t="str">
        <f>"1"</f>
        <v>1</v>
      </c>
      <c r="G194" s="14" t="str">
        <f>"7"</f>
        <v>7</v>
      </c>
      <c r="H194" s="14" t="str">
        <f t="shared" si="37"/>
        <v>1</v>
      </c>
      <c r="I194" s="6">
        <v>606036543.87</v>
      </c>
    </row>
    <row r="195" spans="1:9" x14ac:dyDescent="0.25">
      <c r="A195" s="10">
        <v>185</v>
      </c>
      <c r="B195" s="1">
        <v>45930</v>
      </c>
      <c r="C195" s="14">
        <v>8</v>
      </c>
      <c r="D195" s="14" t="str">
        <f>"1793"</f>
        <v>1793</v>
      </c>
      <c r="E195" s="14" t="str">
        <f>"Расходы будущих периодов"</f>
        <v>Расходы будущих периодов</v>
      </c>
      <c r="F195" s="14" t="str">
        <f>"2"</f>
        <v>2</v>
      </c>
      <c r="G195" s="14" t="str">
        <f>"7"</f>
        <v>7</v>
      </c>
      <c r="H195" s="14" t="str">
        <f t="shared" si="37"/>
        <v>1</v>
      </c>
      <c r="I195" s="6">
        <v>17122725.219999999</v>
      </c>
    </row>
    <row r="196" spans="1:9" x14ac:dyDescent="0.25">
      <c r="A196" s="10">
        <v>186</v>
      </c>
      <c r="B196" s="1">
        <v>45930</v>
      </c>
      <c r="C196" s="14">
        <v>8</v>
      </c>
      <c r="D196" s="14" t="str">
        <f>"1799"</f>
        <v>1799</v>
      </c>
      <c r="E196" s="14" t="str">
        <f>"Прочие предоплаты"</f>
        <v>Прочие предоплаты</v>
      </c>
      <c r="F196" s="14" t="str">
        <f>"2"</f>
        <v>2</v>
      </c>
      <c r="G196" s="14" t="str">
        <f>"7"</f>
        <v>7</v>
      </c>
      <c r="H196" s="14" t="str">
        <f t="shared" si="37"/>
        <v>1</v>
      </c>
      <c r="I196" s="6">
        <v>166935031.09</v>
      </c>
    </row>
    <row r="197" spans="1:9" x14ac:dyDescent="0.25">
      <c r="A197" s="10">
        <v>187</v>
      </c>
      <c r="B197" s="1">
        <v>45930</v>
      </c>
      <c r="C197" s="14">
        <v>8</v>
      </c>
      <c r="D197" s="14" t="str">
        <f>"1799"</f>
        <v>1799</v>
      </c>
      <c r="E197" s="14" t="str">
        <f>"Прочие предоплаты"</f>
        <v>Прочие предоплаты</v>
      </c>
      <c r="F197" s="14" t="str">
        <f>"1"</f>
        <v>1</v>
      </c>
      <c r="G197" s="14" t="str">
        <f>"9"</f>
        <v>9</v>
      </c>
      <c r="H197" s="14" t="str">
        <f t="shared" si="37"/>
        <v>1</v>
      </c>
      <c r="I197" s="6">
        <v>17291162</v>
      </c>
    </row>
    <row r="198" spans="1:9" x14ac:dyDescent="0.25">
      <c r="A198" s="10">
        <v>188</v>
      </c>
      <c r="B198" s="1">
        <v>45930</v>
      </c>
      <c r="C198" s="14">
        <v>8</v>
      </c>
      <c r="D198" s="14" t="str">
        <f>"1799"</f>
        <v>1799</v>
      </c>
      <c r="E198" s="14" t="str">
        <f>"Прочие предоплаты"</f>
        <v>Прочие предоплаты</v>
      </c>
      <c r="F198" s="14" t="str">
        <f>"1"</f>
        <v>1</v>
      </c>
      <c r="G198" s="14" t="str">
        <f>"7"</f>
        <v>7</v>
      </c>
      <c r="H198" s="14" t="str">
        <f t="shared" si="37"/>
        <v>1</v>
      </c>
      <c r="I198" s="6">
        <v>184871487.63999999</v>
      </c>
    </row>
    <row r="199" spans="1:9" x14ac:dyDescent="0.25">
      <c r="A199" s="10">
        <v>189</v>
      </c>
      <c r="B199" s="1">
        <v>45930</v>
      </c>
      <c r="C199" s="14">
        <v>8</v>
      </c>
      <c r="D199" s="14" t="str">
        <f>"1811"</f>
        <v>1811</v>
      </c>
      <c r="E199" s="14" t="str">
        <f>"Начисленные комиссионные доходы за услуги по переводным операциям"</f>
        <v>Начисленные комиссионные доходы за услуги по переводным операциям</v>
      </c>
      <c r="F199" s="14" t="str">
        <f>"1"</f>
        <v>1</v>
      </c>
      <c r="G199" s="14" t="str">
        <f>""</f>
        <v/>
      </c>
      <c r="H199" s="14" t="str">
        <f t="shared" si="37"/>
        <v>1</v>
      </c>
      <c r="I199" s="6">
        <v>62127.5</v>
      </c>
    </row>
    <row r="200" spans="1:9" x14ac:dyDescent="0.25">
      <c r="A200" s="10">
        <v>190</v>
      </c>
      <c r="B200" s="1">
        <v>45930</v>
      </c>
      <c r="C200" s="14">
        <v>8</v>
      </c>
      <c r="D200" s="14" t="str">
        <f>"1811"</f>
        <v>1811</v>
      </c>
      <c r="E200" s="14" t="str">
        <f>"Начисленные комиссионные доходы за услуги по переводным операциям"</f>
        <v>Начисленные комиссионные доходы за услуги по переводным операциям</v>
      </c>
      <c r="F200" s="14" t="str">
        <f>"2"</f>
        <v>2</v>
      </c>
      <c r="G200" s="14" t="str">
        <f>""</f>
        <v/>
      </c>
      <c r="H200" s="14" t="str">
        <f t="shared" si="37"/>
        <v>1</v>
      </c>
      <c r="I200" s="6">
        <v>0.82</v>
      </c>
    </row>
    <row r="201" spans="1:9" x14ac:dyDescent="0.25">
      <c r="A201" s="10">
        <v>191</v>
      </c>
      <c r="B201" s="1">
        <v>45930</v>
      </c>
      <c r="C201" s="14">
        <v>8</v>
      </c>
      <c r="D201" s="14" t="str">
        <f>"1813"</f>
        <v>1813</v>
      </c>
      <c r="E201" s="14" t="str">
        <f>"Начисленные комиссионные доходы за услуги по купле-продаже ценных бумаг"</f>
        <v>Начисленные комиссионные доходы за услуги по купле-продаже ценных бумаг</v>
      </c>
      <c r="F201" s="14" t="str">
        <f>"1"</f>
        <v>1</v>
      </c>
      <c r="G201" s="14" t="str">
        <f>""</f>
        <v/>
      </c>
      <c r="H201" s="14" t="str">
        <f t="shared" si="37"/>
        <v>1</v>
      </c>
      <c r="I201" s="6">
        <v>3394635.49</v>
      </c>
    </row>
    <row r="202" spans="1:9" x14ac:dyDescent="0.25">
      <c r="A202" s="10">
        <v>192</v>
      </c>
      <c r="B202" s="1">
        <v>45930</v>
      </c>
      <c r="C202" s="14">
        <v>8</v>
      </c>
      <c r="D202" s="14" t="str">
        <f>"1816"</f>
        <v>1816</v>
      </c>
      <c r="E202" s="14" t="str">
        <f>"Начисленные комиссионные доходы за услуги по операциям с гарантиями"</f>
        <v>Начисленные комиссионные доходы за услуги по операциям с гарантиями</v>
      </c>
      <c r="F202" s="14" t="str">
        <f>"1"</f>
        <v>1</v>
      </c>
      <c r="G202" s="14" t="str">
        <f>""</f>
        <v/>
      </c>
      <c r="H202" s="14" t="str">
        <f t="shared" si="37"/>
        <v>1</v>
      </c>
      <c r="I202" s="6">
        <v>44840220.920000002</v>
      </c>
    </row>
    <row r="203" spans="1:9" x14ac:dyDescent="0.25">
      <c r="A203" s="10">
        <v>193</v>
      </c>
      <c r="B203" s="1">
        <v>45930</v>
      </c>
      <c r="C203" s="14">
        <v>8</v>
      </c>
      <c r="D203" s="14" t="str">
        <f>"1816"</f>
        <v>1816</v>
      </c>
      <c r="E203" s="14" t="str">
        <f>"Начисленные комиссионные доходы за услуги по операциям с гарантиями"</f>
        <v>Начисленные комиссионные доходы за услуги по операциям с гарантиями</v>
      </c>
      <c r="F203" s="14" t="str">
        <f>"1"</f>
        <v>1</v>
      </c>
      <c r="G203" s="14" t="str">
        <f>""</f>
        <v/>
      </c>
      <c r="H203" s="14" t="str">
        <f>"2"</f>
        <v>2</v>
      </c>
      <c r="I203" s="6">
        <v>4811066.88</v>
      </c>
    </row>
    <row r="204" spans="1:9" x14ac:dyDescent="0.25">
      <c r="A204" s="10">
        <v>194</v>
      </c>
      <c r="B204" s="1">
        <v>45930</v>
      </c>
      <c r="C204" s="14">
        <v>8</v>
      </c>
      <c r="D204" s="14" t="str">
        <f>"1816"</f>
        <v>1816</v>
      </c>
      <c r="E204" s="14" t="str">
        <f>"Начисленные комиссионные доходы за услуги по операциям с гарантиями"</f>
        <v>Начисленные комиссионные доходы за услуги по операциям с гарантиями</v>
      </c>
      <c r="F204" s="14" t="str">
        <f>"1"</f>
        <v>1</v>
      </c>
      <c r="G204" s="14" t="str">
        <f>""</f>
        <v/>
      </c>
      <c r="H204" s="14" t="str">
        <f>"3"</f>
        <v>3</v>
      </c>
      <c r="I204" s="6">
        <v>12508699.050000001</v>
      </c>
    </row>
    <row r="205" spans="1:9" x14ac:dyDescent="0.25">
      <c r="A205" s="10">
        <v>195</v>
      </c>
      <c r="B205" s="1">
        <v>45930</v>
      </c>
      <c r="C205" s="14">
        <v>8</v>
      </c>
      <c r="D205" s="14" t="str">
        <f>"1817"</f>
        <v>1817</v>
      </c>
      <c r="E205" s="14" t="str">
        <f>"Начисленные комиссионные доходы за услуги по приему вкладов, открытию и ведению банковских счетов клиентов"</f>
        <v>Начисленные комиссионные доходы за услуги по приему вкладов, открытию и ведению банковских счетов клиентов</v>
      </c>
      <c r="F205" s="14" t="str">
        <f>"2"</f>
        <v>2</v>
      </c>
      <c r="G205" s="14" t="str">
        <f>""</f>
        <v/>
      </c>
      <c r="H205" s="14" t="str">
        <f t="shared" ref="H205:H210" si="38">"1"</f>
        <v>1</v>
      </c>
      <c r="I205" s="6">
        <v>96358.55</v>
      </c>
    </row>
    <row r="206" spans="1:9" x14ac:dyDescent="0.25">
      <c r="A206" s="10">
        <v>196</v>
      </c>
      <c r="B206" s="1">
        <v>45930</v>
      </c>
      <c r="C206" s="14">
        <v>8</v>
      </c>
      <c r="D206" s="14" t="str">
        <f>"1817"</f>
        <v>1817</v>
      </c>
      <c r="E206" s="14" t="str">
        <f>"Начисленные комиссионные доходы за услуги по приему вкладов, открытию и ведению банковских счетов клиентов"</f>
        <v>Начисленные комиссионные доходы за услуги по приему вкладов, открытию и ведению банковских счетов клиентов</v>
      </c>
      <c r="F206" s="14" t="str">
        <f>"1"</f>
        <v>1</v>
      </c>
      <c r="G206" s="14" t="str">
        <f>""</f>
        <v/>
      </c>
      <c r="H206" s="14" t="str">
        <f t="shared" si="38"/>
        <v>1</v>
      </c>
      <c r="I206" s="6">
        <v>10103946.4</v>
      </c>
    </row>
    <row r="207" spans="1:9" x14ac:dyDescent="0.25">
      <c r="A207" s="10">
        <v>197</v>
      </c>
      <c r="B207" s="1">
        <v>45930</v>
      </c>
      <c r="C207" s="14">
        <v>8</v>
      </c>
      <c r="D207" s="14" t="str">
        <f>"1818"</f>
        <v>1818</v>
      </c>
      <c r="E207" s="14" t="str">
        <f>"Начисленные прочие комиссионные доходы"</f>
        <v>Начисленные прочие комиссионные доходы</v>
      </c>
      <c r="F207" s="14" t="str">
        <f>"1"</f>
        <v>1</v>
      </c>
      <c r="G207" s="14" t="str">
        <f>""</f>
        <v/>
      </c>
      <c r="H207" s="14" t="str">
        <f t="shared" si="38"/>
        <v>1</v>
      </c>
      <c r="I207" s="6">
        <v>48259115.539999999</v>
      </c>
    </row>
    <row r="208" spans="1:9" x14ac:dyDescent="0.25">
      <c r="A208" s="10">
        <v>198</v>
      </c>
      <c r="B208" s="1">
        <v>45930</v>
      </c>
      <c r="C208" s="14">
        <v>8</v>
      </c>
      <c r="D208" s="14" t="str">
        <f>"1818"</f>
        <v>1818</v>
      </c>
      <c r="E208" s="14" t="str">
        <f>"Начисленные прочие комиссионные доходы"</f>
        <v>Начисленные прочие комиссионные доходы</v>
      </c>
      <c r="F208" s="14" t="str">
        <f>"2"</f>
        <v>2</v>
      </c>
      <c r="G208" s="14" t="str">
        <f>""</f>
        <v/>
      </c>
      <c r="H208" s="14" t="str">
        <f t="shared" si="38"/>
        <v>1</v>
      </c>
      <c r="I208" s="6">
        <v>55054.96</v>
      </c>
    </row>
    <row r="209" spans="1:9" x14ac:dyDescent="0.25">
      <c r="A209" s="10">
        <v>199</v>
      </c>
      <c r="B209" s="1">
        <v>45930</v>
      </c>
      <c r="C209" s="14">
        <v>8</v>
      </c>
      <c r="D209" s="14" t="str">
        <f>"1819"</f>
        <v>1819</v>
      </c>
      <c r="E209" s="14" t="str">
        <f>"Начисленные комиссионные доходы по профессиональной деятельности на рынке ценных бумаг"</f>
        <v>Начисленные комиссионные доходы по профессиональной деятельности на рынке ценных бумаг</v>
      </c>
      <c r="F209" s="14" t="str">
        <f>"1"</f>
        <v>1</v>
      </c>
      <c r="G209" s="14" t="str">
        <f>""</f>
        <v/>
      </c>
      <c r="H209" s="14" t="str">
        <f t="shared" si="38"/>
        <v>1</v>
      </c>
      <c r="I209" s="6">
        <v>9277398.4299999997</v>
      </c>
    </row>
    <row r="210" spans="1:9" x14ac:dyDescent="0.25">
      <c r="A210" s="10">
        <v>200</v>
      </c>
      <c r="B210" s="1">
        <v>45930</v>
      </c>
      <c r="C210" s="14">
        <v>8</v>
      </c>
      <c r="D210" s="14" t="str">
        <f>"1821"</f>
        <v>1821</v>
      </c>
      <c r="E210" s="14" t="str">
        <f>"Начисленные комиссионные доходы за услуги по кассовым операциям"</f>
        <v>Начисленные комиссионные доходы за услуги по кассовым операциям</v>
      </c>
      <c r="F210" s="14" t="str">
        <f>"1"</f>
        <v>1</v>
      </c>
      <c r="G210" s="14" t="str">
        <f>""</f>
        <v/>
      </c>
      <c r="H210" s="14" t="str">
        <f t="shared" si="38"/>
        <v>1</v>
      </c>
      <c r="I210" s="6">
        <v>1000</v>
      </c>
    </row>
    <row r="211" spans="1:9" x14ac:dyDescent="0.25">
      <c r="A211" s="10">
        <v>201</v>
      </c>
      <c r="B211" s="1">
        <v>45930</v>
      </c>
      <c r="C211" s="14">
        <v>8</v>
      </c>
      <c r="D211" s="14" t="str">
        <f>"1822"</f>
        <v>1822</v>
      </c>
      <c r="E211" s="14" t="str">
        <f>"Начисленные комиссионные доходы по документарным расчетам"</f>
        <v>Начисленные комиссионные доходы по документарным расчетам</v>
      </c>
      <c r="F211" s="14" t="str">
        <f>"1"</f>
        <v>1</v>
      </c>
      <c r="G211" s="14" t="str">
        <f>""</f>
        <v/>
      </c>
      <c r="H211" s="14" t="str">
        <f>"2"</f>
        <v>2</v>
      </c>
      <c r="I211" s="6">
        <v>1302073.83</v>
      </c>
    </row>
    <row r="212" spans="1:9" x14ac:dyDescent="0.25">
      <c r="A212" s="10">
        <v>202</v>
      </c>
      <c r="B212" s="1">
        <v>45930</v>
      </c>
      <c r="C212" s="14">
        <v>8</v>
      </c>
      <c r="D212" s="14" t="str">
        <f>"1831"</f>
        <v>1831</v>
      </c>
      <c r="E212" s="14" t="str">
        <f>"Просроченные комиссионные доходы за услуги по переводным операциям"</f>
        <v>Просроченные комиссионные доходы за услуги по переводным операциям</v>
      </c>
      <c r="F212" s="14" t="str">
        <f>"1"</f>
        <v>1</v>
      </c>
      <c r="G212" s="14" t="str">
        <f>""</f>
        <v/>
      </c>
      <c r="H212" s="14" t="str">
        <f t="shared" ref="H212:H222" si="39">"1"</f>
        <v>1</v>
      </c>
      <c r="I212" s="6">
        <v>4369189.8499999996</v>
      </c>
    </row>
    <row r="213" spans="1:9" x14ac:dyDescent="0.25">
      <c r="A213" s="10">
        <v>203</v>
      </c>
      <c r="B213" s="1">
        <v>45930</v>
      </c>
      <c r="C213" s="14">
        <v>8</v>
      </c>
      <c r="D213" s="14" t="str">
        <f>"1831"</f>
        <v>1831</v>
      </c>
      <c r="E213" s="14" t="str">
        <f>"Просроченные комиссионные доходы за услуги по переводным операциям"</f>
        <v>Просроченные комиссионные доходы за услуги по переводным операциям</v>
      </c>
      <c r="F213" s="14" t="str">
        <f>"2"</f>
        <v>2</v>
      </c>
      <c r="G213" s="14" t="str">
        <f>""</f>
        <v/>
      </c>
      <c r="H213" s="14" t="str">
        <f t="shared" si="39"/>
        <v>1</v>
      </c>
      <c r="I213" s="6">
        <v>183703.7</v>
      </c>
    </row>
    <row r="214" spans="1:9" x14ac:dyDescent="0.25">
      <c r="A214" s="10">
        <v>204</v>
      </c>
      <c r="B214" s="1">
        <v>45930</v>
      </c>
      <c r="C214" s="14">
        <v>8</v>
      </c>
      <c r="D214" s="14" t="str">
        <f>"1836"</f>
        <v>1836</v>
      </c>
      <c r="E214" s="14" t="str">
        <f>"Просроченные комиссионные доходы за услуги по выданным гарантиям"</f>
        <v>Просроченные комиссионные доходы за услуги по выданным гарантиям</v>
      </c>
      <c r="F214" s="14" t="str">
        <f>"1"</f>
        <v>1</v>
      </c>
      <c r="G214" s="14" t="str">
        <f>""</f>
        <v/>
      </c>
      <c r="H214" s="14" t="str">
        <f t="shared" si="39"/>
        <v>1</v>
      </c>
      <c r="I214" s="6">
        <v>47886520.420000002</v>
      </c>
    </row>
    <row r="215" spans="1:9" x14ac:dyDescent="0.25">
      <c r="A215" s="10">
        <v>205</v>
      </c>
      <c r="B215" s="1">
        <v>45930</v>
      </c>
      <c r="C215" s="14">
        <v>8</v>
      </c>
      <c r="D215" s="14" t="str">
        <f>"1837"</f>
        <v>1837</v>
      </c>
      <c r="E215" s="14" t="str">
        <f>"Просроченные комиссионные доходы за услуги по приему вкладов, открытию и ведению банковских счетов клиентов"</f>
        <v>Просроченные комиссионные доходы за услуги по приему вкладов, открытию и ведению банковских счетов клиентов</v>
      </c>
      <c r="F215" s="14" t="str">
        <f>"1"</f>
        <v>1</v>
      </c>
      <c r="G215" s="14" t="str">
        <f>""</f>
        <v/>
      </c>
      <c r="H215" s="14" t="str">
        <f t="shared" si="39"/>
        <v>1</v>
      </c>
      <c r="I215" s="6">
        <v>758956345.88</v>
      </c>
    </row>
    <row r="216" spans="1:9" x14ac:dyDescent="0.25">
      <c r="A216" s="10">
        <v>206</v>
      </c>
      <c r="B216" s="1">
        <v>45930</v>
      </c>
      <c r="C216" s="14">
        <v>8</v>
      </c>
      <c r="D216" s="14" t="str">
        <f>"1837"</f>
        <v>1837</v>
      </c>
      <c r="E216" s="14" t="str">
        <f>"Просроченные комиссионные доходы за услуги по приему вкладов, открытию и ведению банковских счетов клиентов"</f>
        <v>Просроченные комиссионные доходы за услуги по приему вкладов, открытию и ведению банковских счетов клиентов</v>
      </c>
      <c r="F216" s="14" t="str">
        <f>"2"</f>
        <v>2</v>
      </c>
      <c r="G216" s="14" t="str">
        <f>""</f>
        <v/>
      </c>
      <c r="H216" s="14" t="str">
        <f t="shared" si="39"/>
        <v>1</v>
      </c>
      <c r="I216" s="6">
        <v>2374760</v>
      </c>
    </row>
    <row r="217" spans="1:9" x14ac:dyDescent="0.25">
      <c r="A217" s="10">
        <v>207</v>
      </c>
      <c r="B217" s="1">
        <v>45930</v>
      </c>
      <c r="C217" s="14">
        <v>8</v>
      </c>
      <c r="D217" s="14" t="str">
        <f>"1838"</f>
        <v>1838</v>
      </c>
      <c r="E217" s="14" t="str">
        <f>"Просроченные прочие комиссионные доходы"</f>
        <v>Просроченные прочие комиссионные доходы</v>
      </c>
      <c r="F217" s="14" t="str">
        <f>"2"</f>
        <v>2</v>
      </c>
      <c r="G217" s="14" t="str">
        <f>""</f>
        <v/>
      </c>
      <c r="H217" s="14" t="str">
        <f t="shared" si="39"/>
        <v>1</v>
      </c>
      <c r="I217" s="6">
        <v>39499.19</v>
      </c>
    </row>
    <row r="218" spans="1:9" x14ac:dyDescent="0.25">
      <c r="A218" s="10">
        <v>208</v>
      </c>
      <c r="B218" s="1">
        <v>45930</v>
      </c>
      <c r="C218" s="14">
        <v>8</v>
      </c>
      <c r="D218" s="14" t="str">
        <f>"1838"</f>
        <v>1838</v>
      </c>
      <c r="E218" s="14" t="str">
        <f>"Просроченные прочие комиссионные доходы"</f>
        <v>Просроченные прочие комиссионные доходы</v>
      </c>
      <c r="F218" s="14" t="str">
        <f>"1"</f>
        <v>1</v>
      </c>
      <c r="G218" s="14" t="str">
        <f>""</f>
        <v/>
      </c>
      <c r="H218" s="14" t="str">
        <f t="shared" si="39"/>
        <v>1</v>
      </c>
      <c r="I218" s="6">
        <v>251635206.81</v>
      </c>
    </row>
    <row r="219" spans="1:9" x14ac:dyDescent="0.25">
      <c r="A219" s="10">
        <v>209</v>
      </c>
      <c r="B219" s="1">
        <v>45930</v>
      </c>
      <c r="C219" s="14">
        <v>8</v>
      </c>
      <c r="D219" s="14" t="str">
        <f>"1841"</f>
        <v>1841</v>
      </c>
      <c r="E219" s="14" t="str">
        <f>"Просроченные комиссионные доходы за услуги по кассовым операциям"</f>
        <v>Просроченные комиссионные доходы за услуги по кассовым операциям</v>
      </c>
      <c r="F219" s="14" t="str">
        <f>"1"</f>
        <v>1</v>
      </c>
      <c r="G219" s="14" t="str">
        <f>""</f>
        <v/>
      </c>
      <c r="H219" s="14" t="str">
        <f t="shared" si="39"/>
        <v>1</v>
      </c>
      <c r="I219" s="6">
        <v>4899077.47</v>
      </c>
    </row>
    <row r="220" spans="1:9" x14ac:dyDescent="0.25">
      <c r="A220" s="10">
        <v>210</v>
      </c>
      <c r="B220" s="1">
        <v>45930</v>
      </c>
      <c r="C220" s="14">
        <v>8</v>
      </c>
      <c r="D220" s="14" t="str">
        <f>"1841"</f>
        <v>1841</v>
      </c>
      <c r="E220" s="14" t="str">
        <f>"Просроченные комиссионные доходы за услуги по кассовым операциям"</f>
        <v>Просроченные комиссионные доходы за услуги по кассовым операциям</v>
      </c>
      <c r="F220" s="14" t="str">
        <f>"2"</f>
        <v>2</v>
      </c>
      <c r="G220" s="14" t="str">
        <f>""</f>
        <v/>
      </c>
      <c r="H220" s="14" t="str">
        <f t="shared" si="39"/>
        <v>1</v>
      </c>
      <c r="I220" s="6">
        <v>186123.78</v>
      </c>
    </row>
    <row r="221" spans="1:9" x14ac:dyDescent="0.25">
      <c r="A221" s="10">
        <v>211</v>
      </c>
      <c r="B221" s="1">
        <v>45930</v>
      </c>
      <c r="C221" s="14">
        <v>8</v>
      </c>
      <c r="D221" s="14" t="str">
        <f>"1845"</f>
        <v>1845</v>
      </c>
      <c r="E221" s="14" t="str">
        <f>"Резервы (провизии) по начисленным и просроченным комиссионным доходам"</f>
        <v>Резервы (провизии) по начисленным и просроченным комиссионным доходам</v>
      </c>
      <c r="F221" s="14" t="str">
        <f>"1"</f>
        <v>1</v>
      </c>
      <c r="G221" s="14" t="str">
        <f>""</f>
        <v/>
      </c>
      <c r="H221" s="14" t="str">
        <f t="shared" si="39"/>
        <v>1</v>
      </c>
      <c r="I221" s="6">
        <v>-490498812.08999997</v>
      </c>
    </row>
    <row r="222" spans="1:9" x14ac:dyDescent="0.25">
      <c r="A222" s="10">
        <v>212</v>
      </c>
      <c r="B222" s="1">
        <v>45930</v>
      </c>
      <c r="C222" s="14">
        <v>8</v>
      </c>
      <c r="D222" s="14" t="str">
        <f>"1845"</f>
        <v>1845</v>
      </c>
      <c r="E222" s="14" t="str">
        <f>"Резервы (провизии) по начисленным и просроченным комиссионным доходам"</f>
        <v>Резервы (провизии) по начисленным и просроченным комиссионным доходам</v>
      </c>
      <c r="F222" s="14" t="str">
        <f>"2"</f>
        <v>2</v>
      </c>
      <c r="G222" s="14" t="str">
        <f>""</f>
        <v/>
      </c>
      <c r="H222" s="14" t="str">
        <f t="shared" si="39"/>
        <v>1</v>
      </c>
      <c r="I222" s="6">
        <v>-868924.56</v>
      </c>
    </row>
    <row r="223" spans="1:9" x14ac:dyDescent="0.25">
      <c r="A223" s="10">
        <v>213</v>
      </c>
      <c r="B223" s="1">
        <v>45930</v>
      </c>
      <c r="C223" s="14">
        <v>8</v>
      </c>
      <c r="D223" s="14" t="str">
        <f>"1845"</f>
        <v>1845</v>
      </c>
      <c r="E223" s="14" t="str">
        <f>"Резервы (провизии) по начисленным и просроченным комиссионным доходам"</f>
        <v>Резервы (провизии) по начисленным и просроченным комиссионным доходам</v>
      </c>
      <c r="F223" s="14" t="str">
        <f>"1"</f>
        <v>1</v>
      </c>
      <c r="G223" s="14" t="str">
        <f>""</f>
        <v/>
      </c>
      <c r="H223" s="14" t="str">
        <f>"2"</f>
        <v>2</v>
      </c>
      <c r="I223" s="6">
        <v>-17103.240000000002</v>
      </c>
    </row>
    <row r="224" spans="1:9" x14ac:dyDescent="0.25">
      <c r="A224" s="10">
        <v>214</v>
      </c>
      <c r="B224" s="1">
        <v>45930</v>
      </c>
      <c r="C224" s="14">
        <v>8</v>
      </c>
      <c r="D224" s="14" t="str">
        <f>"1845"</f>
        <v>1845</v>
      </c>
      <c r="E224" s="14" t="str">
        <f>"Резервы (провизии) по начисленным и просроченным комиссионным доходам"</f>
        <v>Резервы (провизии) по начисленным и просроченным комиссионным доходам</v>
      </c>
      <c r="F224" s="14" t="str">
        <f>"1"</f>
        <v>1</v>
      </c>
      <c r="G224" s="14" t="str">
        <f>""</f>
        <v/>
      </c>
      <c r="H224" s="14" t="str">
        <f>"3"</f>
        <v>3</v>
      </c>
      <c r="I224" s="6">
        <v>-5043.62</v>
      </c>
    </row>
    <row r="225" spans="1:9" x14ac:dyDescent="0.25">
      <c r="A225" s="10">
        <v>215</v>
      </c>
      <c r="B225" s="1">
        <v>45930</v>
      </c>
      <c r="C225" s="14">
        <v>8</v>
      </c>
      <c r="D225" s="14" t="str">
        <f>"1851"</f>
        <v>1851</v>
      </c>
      <c r="E225" s="14" t="str">
        <f>"Расчеты по налогам и другим обязательным платежам в бюджет"</f>
        <v>Расчеты по налогам и другим обязательным платежам в бюджет</v>
      </c>
      <c r="F225" s="14" t="str">
        <f>"1"</f>
        <v>1</v>
      </c>
      <c r="G225" s="14" t="str">
        <f>"1"</f>
        <v>1</v>
      </c>
      <c r="H225" s="14" t="str">
        <f>"1"</f>
        <v>1</v>
      </c>
      <c r="I225" s="6">
        <v>1635730716.23</v>
      </c>
    </row>
    <row r="226" spans="1:9" x14ac:dyDescent="0.25">
      <c r="A226" s="10">
        <v>216</v>
      </c>
      <c r="B226" s="1">
        <v>45930</v>
      </c>
      <c r="C226" s="14">
        <v>8</v>
      </c>
      <c r="D226" s="14" t="str">
        <f>"1854"</f>
        <v>1854</v>
      </c>
      <c r="E226" s="14" t="str">
        <f>"Расчеты с работниками"</f>
        <v>Расчеты с работниками</v>
      </c>
      <c r="F226" s="14" t="str">
        <f>""</f>
        <v/>
      </c>
      <c r="G226" s="14" t="str">
        <f>""</f>
        <v/>
      </c>
      <c r="H226" s="14" t="str">
        <f>""</f>
        <v/>
      </c>
      <c r="I226" s="6">
        <v>29146075.239999998</v>
      </c>
    </row>
    <row r="227" spans="1:9" x14ac:dyDescent="0.25">
      <c r="A227" s="10">
        <v>217</v>
      </c>
      <c r="B227" s="1">
        <v>45930</v>
      </c>
      <c r="C227" s="14">
        <v>8</v>
      </c>
      <c r="D227" s="14" t="str">
        <f>"1856"</f>
        <v>1856</v>
      </c>
      <c r="E227" s="14" t="str">
        <f>"Дебиторы по капитальным вложениям"</f>
        <v>Дебиторы по капитальным вложениям</v>
      </c>
      <c r="F227" s="14" t="str">
        <f t="shared" ref="F227:F236" si="40">"1"</f>
        <v>1</v>
      </c>
      <c r="G227" s="14" t="str">
        <f>"9"</f>
        <v>9</v>
      </c>
      <c r="H227" s="14" t="str">
        <f>"1"</f>
        <v>1</v>
      </c>
      <c r="I227" s="6">
        <v>12500000</v>
      </c>
    </row>
    <row r="228" spans="1:9" x14ac:dyDescent="0.25">
      <c r="A228" s="10">
        <v>218</v>
      </c>
      <c r="B228" s="1">
        <v>45930</v>
      </c>
      <c r="C228" s="14">
        <v>8</v>
      </c>
      <c r="D228" s="14" t="str">
        <f>"1856"</f>
        <v>1856</v>
      </c>
      <c r="E228" s="14" t="str">
        <f>"Дебиторы по капитальным вложениям"</f>
        <v>Дебиторы по капитальным вложениям</v>
      </c>
      <c r="F228" s="14" t="str">
        <f t="shared" si="40"/>
        <v>1</v>
      </c>
      <c r="G228" s="14" t="str">
        <f>"7"</f>
        <v>7</v>
      </c>
      <c r="H228" s="14" t="str">
        <f>"1"</f>
        <v>1</v>
      </c>
      <c r="I228" s="6">
        <v>3004781</v>
      </c>
    </row>
    <row r="229" spans="1:9" x14ac:dyDescent="0.25">
      <c r="A229" s="10">
        <v>219</v>
      </c>
      <c r="B229" s="1">
        <v>45930</v>
      </c>
      <c r="C229" s="14">
        <v>8</v>
      </c>
      <c r="D229" s="14" t="str">
        <f t="shared" ref="D229:D242" si="41">"1860"</f>
        <v>1860</v>
      </c>
      <c r="E229" s="14" t="str">
        <f t="shared" ref="E229:E242" si="42">"Прочие дебиторы по банковской деятельности"</f>
        <v>Прочие дебиторы по банковской деятельности</v>
      </c>
      <c r="F229" s="14" t="str">
        <f t="shared" si="40"/>
        <v>1</v>
      </c>
      <c r="G229" s="14" t="str">
        <f>"1"</f>
        <v>1</v>
      </c>
      <c r="H229" s="14" t="str">
        <f>"1"</f>
        <v>1</v>
      </c>
      <c r="I229" s="6">
        <v>723613.2</v>
      </c>
    </row>
    <row r="230" spans="1:9" x14ac:dyDescent="0.25">
      <c r="A230" s="10">
        <v>220</v>
      </c>
      <c r="B230" s="1">
        <v>45930</v>
      </c>
      <c r="C230" s="14">
        <v>8</v>
      </c>
      <c r="D230" s="14" t="str">
        <f t="shared" si="41"/>
        <v>1860</v>
      </c>
      <c r="E230" s="14" t="str">
        <f t="shared" si="42"/>
        <v>Прочие дебиторы по банковской деятельности</v>
      </c>
      <c r="F230" s="14" t="str">
        <f t="shared" si="40"/>
        <v>1</v>
      </c>
      <c r="G230" s="14" t="str">
        <f>"4"</f>
        <v>4</v>
      </c>
      <c r="H230" s="14" t="str">
        <f>"1"</f>
        <v>1</v>
      </c>
      <c r="I230" s="6">
        <v>228416047.25</v>
      </c>
    </row>
    <row r="231" spans="1:9" x14ac:dyDescent="0.25">
      <c r="A231" s="10">
        <v>221</v>
      </c>
      <c r="B231" s="1">
        <v>45930</v>
      </c>
      <c r="C231" s="14">
        <v>8</v>
      </c>
      <c r="D231" s="14" t="str">
        <f t="shared" si="41"/>
        <v>1860</v>
      </c>
      <c r="E231" s="14" t="str">
        <f t="shared" si="42"/>
        <v>Прочие дебиторы по банковской деятельности</v>
      </c>
      <c r="F231" s="14" t="str">
        <f t="shared" si="40"/>
        <v>1</v>
      </c>
      <c r="G231" s="14" t="str">
        <f>"7"</f>
        <v>7</v>
      </c>
      <c r="H231" s="14" t="str">
        <f>"2"</f>
        <v>2</v>
      </c>
      <c r="I231" s="6">
        <v>63866.66</v>
      </c>
    </row>
    <row r="232" spans="1:9" x14ac:dyDescent="0.25">
      <c r="A232" s="10">
        <v>222</v>
      </c>
      <c r="B232" s="1">
        <v>45930</v>
      </c>
      <c r="C232" s="14">
        <v>8</v>
      </c>
      <c r="D232" s="14" t="str">
        <f t="shared" si="41"/>
        <v>1860</v>
      </c>
      <c r="E232" s="14" t="str">
        <f t="shared" si="42"/>
        <v>Прочие дебиторы по банковской деятельности</v>
      </c>
      <c r="F232" s="14" t="str">
        <f t="shared" si="40"/>
        <v>1</v>
      </c>
      <c r="G232" s="14" t="str">
        <f>"9"</f>
        <v>9</v>
      </c>
      <c r="H232" s="14" t="str">
        <f>"1"</f>
        <v>1</v>
      </c>
      <c r="I232" s="6">
        <v>1324149233.45</v>
      </c>
    </row>
    <row r="233" spans="1:9" x14ac:dyDescent="0.25">
      <c r="A233" s="10">
        <v>223</v>
      </c>
      <c r="B233" s="1">
        <v>45930</v>
      </c>
      <c r="C233" s="14">
        <v>8</v>
      </c>
      <c r="D233" s="14" t="str">
        <f t="shared" si="41"/>
        <v>1860</v>
      </c>
      <c r="E233" s="14" t="str">
        <f t="shared" si="42"/>
        <v>Прочие дебиторы по банковской деятельности</v>
      </c>
      <c r="F233" s="14" t="str">
        <f t="shared" si="40"/>
        <v>1</v>
      </c>
      <c r="G233" s="14" t="str">
        <f>"7"</f>
        <v>7</v>
      </c>
      <c r="H233" s="14" t="str">
        <f>"1"</f>
        <v>1</v>
      </c>
      <c r="I233" s="6">
        <v>220910313.80000001</v>
      </c>
    </row>
    <row r="234" spans="1:9" x14ac:dyDescent="0.25">
      <c r="A234" s="10">
        <v>224</v>
      </c>
      <c r="B234" s="1">
        <v>45930</v>
      </c>
      <c r="C234" s="14">
        <v>8</v>
      </c>
      <c r="D234" s="14" t="str">
        <f t="shared" si="41"/>
        <v>1860</v>
      </c>
      <c r="E234" s="14" t="str">
        <f t="shared" si="42"/>
        <v>Прочие дебиторы по банковской деятельности</v>
      </c>
      <c r="F234" s="14" t="str">
        <f t="shared" si="40"/>
        <v>1</v>
      </c>
      <c r="G234" s="14" t="str">
        <f>"9"</f>
        <v>9</v>
      </c>
      <c r="H234" s="14" t="str">
        <f>"3"</f>
        <v>3</v>
      </c>
      <c r="I234" s="6">
        <v>3987.74</v>
      </c>
    </row>
    <row r="235" spans="1:9" x14ac:dyDescent="0.25">
      <c r="A235" s="10">
        <v>225</v>
      </c>
      <c r="B235" s="1">
        <v>45930</v>
      </c>
      <c r="C235" s="14">
        <v>8</v>
      </c>
      <c r="D235" s="14" t="str">
        <f t="shared" si="41"/>
        <v>1860</v>
      </c>
      <c r="E235" s="14" t="str">
        <f t="shared" si="42"/>
        <v>Прочие дебиторы по банковской деятельности</v>
      </c>
      <c r="F235" s="14" t="str">
        <f t="shared" si="40"/>
        <v>1</v>
      </c>
      <c r="G235" s="14" t="str">
        <f>"4"</f>
        <v>4</v>
      </c>
      <c r="H235" s="14" t="str">
        <f>"2"</f>
        <v>2</v>
      </c>
      <c r="I235" s="6">
        <v>77641086.120000005</v>
      </c>
    </row>
    <row r="236" spans="1:9" x14ac:dyDescent="0.25">
      <c r="A236" s="10">
        <v>226</v>
      </c>
      <c r="B236" s="1">
        <v>45930</v>
      </c>
      <c r="C236" s="14">
        <v>8</v>
      </c>
      <c r="D236" s="14" t="str">
        <f t="shared" si="41"/>
        <v>1860</v>
      </c>
      <c r="E236" s="14" t="str">
        <f t="shared" si="42"/>
        <v>Прочие дебиторы по банковской деятельности</v>
      </c>
      <c r="F236" s="14" t="str">
        <f t="shared" si="40"/>
        <v>1</v>
      </c>
      <c r="G236" s="14" t="str">
        <f>"5"</f>
        <v>5</v>
      </c>
      <c r="H236" s="14" t="str">
        <f>"1"</f>
        <v>1</v>
      </c>
      <c r="I236" s="6">
        <v>409445094.93000001</v>
      </c>
    </row>
    <row r="237" spans="1:9" x14ac:dyDescent="0.25">
      <c r="A237" s="10">
        <v>227</v>
      </c>
      <c r="B237" s="1">
        <v>45930</v>
      </c>
      <c r="C237" s="14">
        <v>8</v>
      </c>
      <c r="D237" s="14" t="str">
        <f t="shared" si="41"/>
        <v>1860</v>
      </c>
      <c r="E237" s="14" t="str">
        <f t="shared" si="42"/>
        <v>Прочие дебиторы по банковской деятельности</v>
      </c>
      <c r="F237" s="14" t="str">
        <f>"2"</f>
        <v>2</v>
      </c>
      <c r="G237" s="14" t="str">
        <f>"9"</f>
        <v>9</v>
      </c>
      <c r="H237" s="14" t="str">
        <f>"1"</f>
        <v>1</v>
      </c>
      <c r="I237" s="6">
        <v>3114974.68</v>
      </c>
    </row>
    <row r="238" spans="1:9" x14ac:dyDescent="0.25">
      <c r="A238" s="10">
        <v>228</v>
      </c>
      <c r="B238" s="1">
        <v>45930</v>
      </c>
      <c r="C238" s="14">
        <v>8</v>
      </c>
      <c r="D238" s="14" t="str">
        <f t="shared" si="41"/>
        <v>1860</v>
      </c>
      <c r="E238" s="14" t="str">
        <f t="shared" si="42"/>
        <v>Прочие дебиторы по банковской деятельности</v>
      </c>
      <c r="F238" s="14" t="str">
        <f>"1"</f>
        <v>1</v>
      </c>
      <c r="G238" s="14" t="str">
        <f>"9"</f>
        <v>9</v>
      </c>
      <c r="H238" s="14" t="str">
        <f>"2"</f>
        <v>2</v>
      </c>
      <c r="I238" s="6">
        <v>131128.29999999999</v>
      </c>
    </row>
    <row r="239" spans="1:9" x14ac:dyDescent="0.25">
      <c r="A239" s="10">
        <v>229</v>
      </c>
      <c r="B239" s="1">
        <v>45930</v>
      </c>
      <c r="C239" s="14">
        <v>8</v>
      </c>
      <c r="D239" s="14" t="str">
        <f t="shared" si="41"/>
        <v>1860</v>
      </c>
      <c r="E239" s="14" t="str">
        <f t="shared" si="42"/>
        <v>Прочие дебиторы по банковской деятельности</v>
      </c>
      <c r="F239" s="14" t="str">
        <f>"2"</f>
        <v>2</v>
      </c>
      <c r="G239" s="14" t="str">
        <f>"4"</f>
        <v>4</v>
      </c>
      <c r="H239" s="14" t="str">
        <f>"2"</f>
        <v>2</v>
      </c>
      <c r="I239" s="6">
        <v>136799652.22</v>
      </c>
    </row>
    <row r="240" spans="1:9" x14ac:dyDescent="0.25">
      <c r="A240" s="10">
        <v>230</v>
      </c>
      <c r="B240" s="1">
        <v>45930</v>
      </c>
      <c r="C240" s="14">
        <v>8</v>
      </c>
      <c r="D240" s="14" t="str">
        <f t="shared" si="41"/>
        <v>1860</v>
      </c>
      <c r="E240" s="14" t="str">
        <f t="shared" si="42"/>
        <v>Прочие дебиторы по банковской деятельности</v>
      </c>
      <c r="F240" s="14" t="str">
        <f>"2"</f>
        <v>2</v>
      </c>
      <c r="G240" s="14" t="str">
        <f>"9"</f>
        <v>9</v>
      </c>
      <c r="H240" s="14" t="str">
        <f>"2"</f>
        <v>2</v>
      </c>
      <c r="I240" s="6">
        <v>28820.16</v>
      </c>
    </row>
    <row r="241" spans="1:9" x14ac:dyDescent="0.25">
      <c r="A241" s="10">
        <v>231</v>
      </c>
      <c r="B241" s="1">
        <v>45930</v>
      </c>
      <c r="C241" s="14">
        <v>8</v>
      </c>
      <c r="D241" s="14" t="str">
        <f t="shared" si="41"/>
        <v>1860</v>
      </c>
      <c r="E241" s="14" t="str">
        <f t="shared" si="42"/>
        <v>Прочие дебиторы по банковской деятельности</v>
      </c>
      <c r="F241" s="14" t="str">
        <f>"1"</f>
        <v>1</v>
      </c>
      <c r="G241" s="14" t="str">
        <f>"3"</f>
        <v>3</v>
      </c>
      <c r="H241" s="14" t="str">
        <f t="shared" ref="H241:H251" si="43">"1"</f>
        <v>1</v>
      </c>
      <c r="I241" s="6">
        <v>12674</v>
      </c>
    </row>
    <row r="242" spans="1:9" x14ac:dyDescent="0.25">
      <c r="A242" s="10">
        <v>232</v>
      </c>
      <c r="B242" s="1">
        <v>45930</v>
      </c>
      <c r="C242" s="14">
        <v>8</v>
      </c>
      <c r="D242" s="14" t="str">
        <f t="shared" si="41"/>
        <v>1860</v>
      </c>
      <c r="E242" s="14" t="str">
        <f t="shared" si="42"/>
        <v>Прочие дебиторы по банковской деятельности</v>
      </c>
      <c r="F242" s="14" t="str">
        <f>"2"</f>
        <v>2</v>
      </c>
      <c r="G242" s="14" t="str">
        <f>"7"</f>
        <v>7</v>
      </c>
      <c r="H242" s="14" t="str">
        <f t="shared" si="43"/>
        <v>1</v>
      </c>
      <c r="I242" s="6">
        <v>1500</v>
      </c>
    </row>
    <row r="243" spans="1:9" x14ac:dyDescent="0.25">
      <c r="A243" s="10">
        <v>233</v>
      </c>
      <c r="B243" s="1">
        <v>45930</v>
      </c>
      <c r="C243" s="14">
        <v>8</v>
      </c>
      <c r="D243" s="14" t="str">
        <f>"1861"</f>
        <v>1861</v>
      </c>
      <c r="E243" s="14" t="str">
        <f>"Дебиторы по гарантиям"</f>
        <v>Дебиторы по гарантиям</v>
      </c>
      <c r="F243" s="14" t="str">
        <f>"1"</f>
        <v>1</v>
      </c>
      <c r="G243" s="14" t="str">
        <f>"7"</f>
        <v>7</v>
      </c>
      <c r="H243" s="14" t="str">
        <f t="shared" si="43"/>
        <v>1</v>
      </c>
      <c r="I243" s="6">
        <v>413354735.99000001</v>
      </c>
    </row>
    <row r="244" spans="1:9" x14ac:dyDescent="0.25">
      <c r="A244" s="10">
        <v>234</v>
      </c>
      <c r="B244" s="1">
        <v>45930</v>
      </c>
      <c r="C244" s="14">
        <v>8</v>
      </c>
      <c r="D244" s="14" t="str">
        <f t="shared" ref="D244:D250" si="44">"1867"</f>
        <v>1867</v>
      </c>
      <c r="E244" s="14" t="str">
        <f t="shared" ref="E244:E250" si="45">"Прочие дебиторы по неосновной деятельности"</f>
        <v>Прочие дебиторы по неосновной деятельности</v>
      </c>
      <c r="F244" s="14" t="str">
        <f>"1"</f>
        <v>1</v>
      </c>
      <c r="G244" s="14" t="str">
        <f>"4"</f>
        <v>4</v>
      </c>
      <c r="H244" s="14" t="str">
        <f t="shared" si="43"/>
        <v>1</v>
      </c>
      <c r="I244" s="6">
        <v>22649700</v>
      </c>
    </row>
    <row r="245" spans="1:9" x14ac:dyDescent="0.25">
      <c r="A245" s="10">
        <v>235</v>
      </c>
      <c r="B245" s="1">
        <v>45930</v>
      </c>
      <c r="C245" s="14">
        <v>8</v>
      </c>
      <c r="D245" s="14" t="str">
        <f t="shared" si="44"/>
        <v>1867</v>
      </c>
      <c r="E245" s="14" t="str">
        <f t="shared" si="45"/>
        <v>Прочие дебиторы по неосновной деятельности</v>
      </c>
      <c r="F245" s="14" t="str">
        <f>"1"</f>
        <v>1</v>
      </c>
      <c r="G245" s="14" t="str">
        <f>"6"</f>
        <v>6</v>
      </c>
      <c r="H245" s="14" t="str">
        <f t="shared" si="43"/>
        <v>1</v>
      </c>
      <c r="I245" s="6">
        <v>4417790.32</v>
      </c>
    </row>
    <row r="246" spans="1:9" x14ac:dyDescent="0.25">
      <c r="A246" s="10">
        <v>236</v>
      </c>
      <c r="B246" s="1">
        <v>45930</v>
      </c>
      <c r="C246" s="14">
        <v>8</v>
      </c>
      <c r="D246" s="14" t="str">
        <f t="shared" si="44"/>
        <v>1867</v>
      </c>
      <c r="E246" s="14" t="str">
        <f t="shared" si="45"/>
        <v>Прочие дебиторы по неосновной деятельности</v>
      </c>
      <c r="F246" s="14" t="str">
        <f>"1"</f>
        <v>1</v>
      </c>
      <c r="G246" s="14" t="str">
        <f>"8"</f>
        <v>8</v>
      </c>
      <c r="H246" s="14" t="str">
        <f t="shared" si="43"/>
        <v>1</v>
      </c>
      <c r="I246" s="6">
        <v>198172.28</v>
      </c>
    </row>
    <row r="247" spans="1:9" x14ac:dyDescent="0.25">
      <c r="A247" s="10">
        <v>237</v>
      </c>
      <c r="B247" s="1">
        <v>45930</v>
      </c>
      <c r="C247" s="14">
        <v>8</v>
      </c>
      <c r="D247" s="14" t="str">
        <f t="shared" si="44"/>
        <v>1867</v>
      </c>
      <c r="E247" s="14" t="str">
        <f t="shared" si="45"/>
        <v>Прочие дебиторы по неосновной деятельности</v>
      </c>
      <c r="F247" s="14" t="str">
        <f>"2"</f>
        <v>2</v>
      </c>
      <c r="G247" s="14" t="str">
        <f>"7"</f>
        <v>7</v>
      </c>
      <c r="H247" s="14" t="str">
        <f t="shared" si="43"/>
        <v>1</v>
      </c>
      <c r="I247" s="6">
        <v>31604414.059999999</v>
      </c>
    </row>
    <row r="248" spans="1:9" x14ac:dyDescent="0.25">
      <c r="A248" s="10">
        <v>238</v>
      </c>
      <c r="B248" s="1">
        <v>45930</v>
      </c>
      <c r="C248" s="14">
        <v>8</v>
      </c>
      <c r="D248" s="14" t="str">
        <f t="shared" si="44"/>
        <v>1867</v>
      </c>
      <c r="E248" s="14" t="str">
        <f t="shared" si="45"/>
        <v>Прочие дебиторы по неосновной деятельности</v>
      </c>
      <c r="F248" s="14" t="str">
        <f t="shared" ref="F248:F255" si="46">"1"</f>
        <v>1</v>
      </c>
      <c r="G248" s="14" t="str">
        <f>"9"</f>
        <v>9</v>
      </c>
      <c r="H248" s="14" t="str">
        <f t="shared" si="43"/>
        <v>1</v>
      </c>
      <c r="I248" s="6">
        <v>68516312.359999999</v>
      </c>
    </row>
    <row r="249" spans="1:9" x14ac:dyDescent="0.25">
      <c r="A249" s="10">
        <v>239</v>
      </c>
      <c r="B249" s="1">
        <v>45930</v>
      </c>
      <c r="C249" s="14">
        <v>8</v>
      </c>
      <c r="D249" s="14" t="str">
        <f t="shared" si="44"/>
        <v>1867</v>
      </c>
      <c r="E249" s="14" t="str">
        <f t="shared" si="45"/>
        <v>Прочие дебиторы по неосновной деятельности</v>
      </c>
      <c r="F249" s="14" t="str">
        <f t="shared" si="46"/>
        <v>1</v>
      </c>
      <c r="G249" s="14" t="str">
        <f>"5"</f>
        <v>5</v>
      </c>
      <c r="H249" s="14" t="str">
        <f t="shared" si="43"/>
        <v>1</v>
      </c>
      <c r="I249" s="6">
        <v>1109301</v>
      </c>
    </row>
    <row r="250" spans="1:9" x14ac:dyDescent="0.25">
      <c r="A250" s="10">
        <v>240</v>
      </c>
      <c r="B250" s="1">
        <v>45930</v>
      </c>
      <c r="C250" s="14">
        <v>8</v>
      </c>
      <c r="D250" s="14" t="str">
        <f t="shared" si="44"/>
        <v>1867</v>
      </c>
      <c r="E250" s="14" t="str">
        <f t="shared" si="45"/>
        <v>Прочие дебиторы по неосновной деятельности</v>
      </c>
      <c r="F250" s="14" t="str">
        <f t="shared" si="46"/>
        <v>1</v>
      </c>
      <c r="G250" s="14" t="str">
        <f>"7"</f>
        <v>7</v>
      </c>
      <c r="H250" s="14" t="str">
        <f t="shared" si="43"/>
        <v>1</v>
      </c>
      <c r="I250" s="6">
        <v>342386910.98000002</v>
      </c>
    </row>
    <row r="251" spans="1:9" x14ac:dyDescent="0.25">
      <c r="A251" s="10">
        <v>241</v>
      </c>
      <c r="B251" s="1">
        <v>45930</v>
      </c>
      <c r="C251" s="14">
        <v>8</v>
      </c>
      <c r="D251" s="14" t="str">
        <f t="shared" ref="D251:D258" si="47">"1870"</f>
        <v>1870</v>
      </c>
      <c r="E251" s="14" t="str">
        <f t="shared" ref="E251:E258" si="48">"Прочие транзитные счета"</f>
        <v>Прочие транзитные счета</v>
      </c>
      <c r="F251" s="14" t="str">
        <f t="shared" si="46"/>
        <v>1</v>
      </c>
      <c r="G251" s="14" t="str">
        <f>"4"</f>
        <v>4</v>
      </c>
      <c r="H251" s="14" t="str">
        <f t="shared" si="43"/>
        <v>1</v>
      </c>
      <c r="I251" s="6">
        <v>360899011.72000003</v>
      </c>
    </row>
    <row r="252" spans="1:9" x14ac:dyDescent="0.25">
      <c r="A252" s="10">
        <v>242</v>
      </c>
      <c r="B252" s="1">
        <v>45930</v>
      </c>
      <c r="C252" s="14">
        <v>8</v>
      </c>
      <c r="D252" s="14" t="str">
        <f t="shared" si="47"/>
        <v>1870</v>
      </c>
      <c r="E252" s="14" t="str">
        <f t="shared" si="48"/>
        <v>Прочие транзитные счета</v>
      </c>
      <c r="F252" s="14" t="str">
        <f t="shared" si="46"/>
        <v>1</v>
      </c>
      <c r="G252" s="14" t="str">
        <f>"4"</f>
        <v>4</v>
      </c>
      <c r="H252" s="14" t="str">
        <f>"2"</f>
        <v>2</v>
      </c>
      <c r="I252" s="6">
        <v>104380431.52</v>
      </c>
    </row>
    <row r="253" spans="1:9" x14ac:dyDescent="0.25">
      <c r="A253" s="10">
        <v>243</v>
      </c>
      <c r="B253" s="1">
        <v>45930</v>
      </c>
      <c r="C253" s="14">
        <v>8</v>
      </c>
      <c r="D253" s="14" t="str">
        <f t="shared" si="47"/>
        <v>1870</v>
      </c>
      <c r="E253" s="14" t="str">
        <f t="shared" si="48"/>
        <v>Прочие транзитные счета</v>
      </c>
      <c r="F253" s="14" t="str">
        <f t="shared" si="46"/>
        <v>1</v>
      </c>
      <c r="G253" s="14" t="str">
        <f>"5"</f>
        <v>5</v>
      </c>
      <c r="H253" s="14" t="str">
        <f>"1"</f>
        <v>1</v>
      </c>
      <c r="I253" s="6">
        <v>961427171.29999995</v>
      </c>
    </row>
    <row r="254" spans="1:9" x14ac:dyDescent="0.25">
      <c r="A254" s="10">
        <v>244</v>
      </c>
      <c r="B254" s="1">
        <v>45930</v>
      </c>
      <c r="C254" s="14">
        <v>8</v>
      </c>
      <c r="D254" s="14" t="str">
        <f t="shared" si="47"/>
        <v>1870</v>
      </c>
      <c r="E254" s="14" t="str">
        <f t="shared" si="48"/>
        <v>Прочие транзитные счета</v>
      </c>
      <c r="F254" s="14" t="str">
        <f t="shared" si="46"/>
        <v>1</v>
      </c>
      <c r="G254" s="14" t="str">
        <f>"5"</f>
        <v>5</v>
      </c>
      <c r="H254" s="14" t="str">
        <f>"2"</f>
        <v>2</v>
      </c>
      <c r="I254" s="6">
        <v>64693260.020000003</v>
      </c>
    </row>
    <row r="255" spans="1:9" x14ac:dyDescent="0.25">
      <c r="A255" s="10">
        <v>245</v>
      </c>
      <c r="B255" s="1">
        <v>45930</v>
      </c>
      <c r="C255" s="14">
        <v>8</v>
      </c>
      <c r="D255" s="14" t="str">
        <f t="shared" si="47"/>
        <v>1870</v>
      </c>
      <c r="E255" s="14" t="str">
        <f t="shared" si="48"/>
        <v>Прочие транзитные счета</v>
      </c>
      <c r="F255" s="14" t="str">
        <f t="shared" si="46"/>
        <v>1</v>
      </c>
      <c r="G255" s="14" t="str">
        <f>"4"</f>
        <v>4</v>
      </c>
      <c r="H255" s="14" t="str">
        <f>"3"</f>
        <v>3</v>
      </c>
      <c r="I255" s="6">
        <v>13320000</v>
      </c>
    </row>
    <row r="256" spans="1:9" x14ac:dyDescent="0.25">
      <c r="A256" s="10">
        <v>246</v>
      </c>
      <c r="B256" s="1">
        <v>45930</v>
      </c>
      <c r="C256" s="14">
        <v>8</v>
      </c>
      <c r="D256" s="14" t="str">
        <f t="shared" si="47"/>
        <v>1870</v>
      </c>
      <c r="E256" s="14" t="str">
        <f t="shared" si="48"/>
        <v>Прочие транзитные счета</v>
      </c>
      <c r="F256" s="14" t="str">
        <f>"2"</f>
        <v>2</v>
      </c>
      <c r="G256" s="14" t="str">
        <f>"5"</f>
        <v>5</v>
      </c>
      <c r="H256" s="14" t="str">
        <f>"1"</f>
        <v>1</v>
      </c>
      <c r="I256" s="6">
        <v>356775776.81999999</v>
      </c>
    </row>
    <row r="257" spans="1:9" x14ac:dyDescent="0.25">
      <c r="A257" s="10">
        <v>247</v>
      </c>
      <c r="B257" s="1">
        <v>45930</v>
      </c>
      <c r="C257" s="14">
        <v>8</v>
      </c>
      <c r="D257" s="14" t="str">
        <f t="shared" si="47"/>
        <v>1870</v>
      </c>
      <c r="E257" s="14" t="str">
        <f t="shared" si="48"/>
        <v>Прочие транзитные счета</v>
      </c>
      <c r="F257" s="14" t="str">
        <f>"2"</f>
        <v>2</v>
      </c>
      <c r="G257" s="14" t="str">
        <f>"4"</f>
        <v>4</v>
      </c>
      <c r="H257" s="14" t="str">
        <f>"2"</f>
        <v>2</v>
      </c>
      <c r="I257" s="6">
        <v>8886799.6500000004</v>
      </c>
    </row>
    <row r="258" spans="1:9" x14ac:dyDescent="0.25">
      <c r="A258" s="10">
        <v>248</v>
      </c>
      <c r="B258" s="1">
        <v>45930</v>
      </c>
      <c r="C258" s="14">
        <v>8</v>
      </c>
      <c r="D258" s="14" t="str">
        <f t="shared" si="47"/>
        <v>1870</v>
      </c>
      <c r="E258" s="14" t="str">
        <f t="shared" si="48"/>
        <v>Прочие транзитные счета</v>
      </c>
      <c r="F258" s="14" t="str">
        <f>"2"</f>
        <v>2</v>
      </c>
      <c r="G258" s="14" t="str">
        <f>"5"</f>
        <v>5</v>
      </c>
      <c r="H258" s="14" t="str">
        <f>"2"</f>
        <v>2</v>
      </c>
      <c r="I258" s="6">
        <v>500934242.75</v>
      </c>
    </row>
    <row r="259" spans="1:9" x14ac:dyDescent="0.25">
      <c r="A259" s="10">
        <v>249</v>
      </c>
      <c r="B259" s="1">
        <v>45930</v>
      </c>
      <c r="C259" s="14">
        <v>8</v>
      </c>
      <c r="D259" s="14" t="str">
        <f t="shared" ref="D259:D268" si="49">"1877"</f>
        <v>1877</v>
      </c>
      <c r="E259" s="14" t="str">
        <f t="shared" ref="E259:E268" si="50">"Резервы (провизии) по дебиторской задолженности, связанной с банковской деятельностью"</f>
        <v>Резервы (провизии) по дебиторской задолженности, связанной с банковской деятельностью</v>
      </c>
      <c r="F259" s="14" t="str">
        <f t="shared" ref="F259:F264" si="51">"1"</f>
        <v>1</v>
      </c>
      <c r="G259" s="14" t="str">
        <f>"4"</f>
        <v>4</v>
      </c>
      <c r="H259" s="14" t="str">
        <f>"1"</f>
        <v>1</v>
      </c>
      <c r="I259" s="6">
        <v>-222511628.22</v>
      </c>
    </row>
    <row r="260" spans="1:9" x14ac:dyDescent="0.25">
      <c r="A260" s="10">
        <v>250</v>
      </c>
      <c r="B260" s="1">
        <v>45930</v>
      </c>
      <c r="C260" s="14">
        <v>8</v>
      </c>
      <c r="D260" s="14" t="str">
        <f t="shared" si="49"/>
        <v>1877</v>
      </c>
      <c r="E260" s="14" t="str">
        <f t="shared" si="50"/>
        <v>Резервы (провизии) по дебиторской задолженности, связанной с банковской деятельностью</v>
      </c>
      <c r="F260" s="14" t="str">
        <f t="shared" si="51"/>
        <v>1</v>
      </c>
      <c r="G260" s="14" t="str">
        <f>"4"</f>
        <v>4</v>
      </c>
      <c r="H260" s="14" t="str">
        <f>"2"</f>
        <v>2</v>
      </c>
      <c r="I260" s="6">
        <v>-77174912.230000004</v>
      </c>
    </row>
    <row r="261" spans="1:9" x14ac:dyDescent="0.25">
      <c r="A261" s="10">
        <v>251</v>
      </c>
      <c r="B261" s="1">
        <v>45930</v>
      </c>
      <c r="C261" s="14">
        <v>8</v>
      </c>
      <c r="D261" s="14" t="str">
        <f t="shared" si="49"/>
        <v>1877</v>
      </c>
      <c r="E261" s="14" t="str">
        <f t="shared" si="50"/>
        <v>Резервы (провизии) по дебиторской задолженности, связанной с банковской деятельностью</v>
      </c>
      <c r="F261" s="14" t="str">
        <f t="shared" si="51"/>
        <v>1</v>
      </c>
      <c r="G261" s="14" t="str">
        <f>"7"</f>
        <v>7</v>
      </c>
      <c r="H261" s="14" t="str">
        <f>"1"</f>
        <v>1</v>
      </c>
      <c r="I261" s="6">
        <v>-302689558.32999998</v>
      </c>
    </row>
    <row r="262" spans="1:9" x14ac:dyDescent="0.25">
      <c r="A262" s="10">
        <v>252</v>
      </c>
      <c r="B262" s="1">
        <v>45930</v>
      </c>
      <c r="C262" s="14">
        <v>8</v>
      </c>
      <c r="D262" s="14" t="str">
        <f t="shared" si="49"/>
        <v>1877</v>
      </c>
      <c r="E262" s="14" t="str">
        <f t="shared" si="50"/>
        <v>Резервы (провизии) по дебиторской задолженности, связанной с банковской деятельностью</v>
      </c>
      <c r="F262" s="14" t="str">
        <f t="shared" si="51"/>
        <v>1</v>
      </c>
      <c r="G262" s="14" t="str">
        <f>"9"</f>
        <v>9</v>
      </c>
      <c r="H262" s="14" t="str">
        <f>"3"</f>
        <v>3</v>
      </c>
      <c r="I262" s="6">
        <v>-171.09</v>
      </c>
    </row>
    <row r="263" spans="1:9" x14ac:dyDescent="0.25">
      <c r="A263" s="10">
        <v>253</v>
      </c>
      <c r="B263" s="1">
        <v>45930</v>
      </c>
      <c r="C263" s="14">
        <v>8</v>
      </c>
      <c r="D263" s="14" t="str">
        <f t="shared" si="49"/>
        <v>1877</v>
      </c>
      <c r="E263" s="14" t="str">
        <f t="shared" si="50"/>
        <v>Резервы (провизии) по дебиторской задолженности, связанной с банковской деятельностью</v>
      </c>
      <c r="F263" s="14" t="str">
        <f t="shared" si="51"/>
        <v>1</v>
      </c>
      <c r="G263" s="14" t="str">
        <f>"9"</f>
        <v>9</v>
      </c>
      <c r="H263" s="14" t="str">
        <f>"2"</f>
        <v>2</v>
      </c>
      <c r="I263" s="6">
        <v>-5617.33</v>
      </c>
    </row>
    <row r="264" spans="1:9" x14ac:dyDescent="0.25">
      <c r="A264" s="10">
        <v>254</v>
      </c>
      <c r="B264" s="1">
        <v>45930</v>
      </c>
      <c r="C264" s="14">
        <v>8</v>
      </c>
      <c r="D264" s="14" t="str">
        <f t="shared" si="49"/>
        <v>1877</v>
      </c>
      <c r="E264" s="14" t="str">
        <f t="shared" si="50"/>
        <v>Резервы (провизии) по дебиторской задолженности, связанной с банковской деятельностью</v>
      </c>
      <c r="F264" s="14" t="str">
        <f t="shared" si="51"/>
        <v>1</v>
      </c>
      <c r="G264" s="14" t="str">
        <f>"7"</f>
        <v>7</v>
      </c>
      <c r="H264" s="14" t="str">
        <f>"2"</f>
        <v>2</v>
      </c>
      <c r="I264" s="6">
        <v>-2739.81</v>
      </c>
    </row>
    <row r="265" spans="1:9" x14ac:dyDescent="0.25">
      <c r="A265" s="10">
        <v>255</v>
      </c>
      <c r="B265" s="1">
        <v>45930</v>
      </c>
      <c r="C265" s="14">
        <v>8</v>
      </c>
      <c r="D265" s="14" t="str">
        <f t="shared" si="49"/>
        <v>1877</v>
      </c>
      <c r="E265" s="14" t="str">
        <f t="shared" si="50"/>
        <v>Резервы (провизии) по дебиторской задолженности, связанной с банковской деятельностью</v>
      </c>
      <c r="F265" s="14" t="str">
        <f>"2"</f>
        <v>2</v>
      </c>
      <c r="G265" s="14" t="str">
        <f>"9"</f>
        <v>9</v>
      </c>
      <c r="H265" s="14" t="str">
        <f>"1"</f>
        <v>1</v>
      </c>
      <c r="I265" s="6">
        <v>-133632.4</v>
      </c>
    </row>
    <row r="266" spans="1:9" x14ac:dyDescent="0.25">
      <c r="A266" s="10">
        <v>256</v>
      </c>
      <c r="B266" s="1">
        <v>45930</v>
      </c>
      <c r="C266" s="14">
        <v>8</v>
      </c>
      <c r="D266" s="14" t="str">
        <f t="shared" si="49"/>
        <v>1877</v>
      </c>
      <c r="E266" s="14" t="str">
        <f t="shared" si="50"/>
        <v>Резервы (провизии) по дебиторской задолженности, связанной с банковской деятельностью</v>
      </c>
      <c r="F266" s="14" t="str">
        <f>"1"</f>
        <v>1</v>
      </c>
      <c r="G266" s="14" t="str">
        <f>"9"</f>
        <v>9</v>
      </c>
      <c r="H266" s="14" t="str">
        <f>"1"</f>
        <v>1</v>
      </c>
      <c r="I266" s="6">
        <v>-782796252.92999995</v>
      </c>
    </row>
    <row r="267" spans="1:9" x14ac:dyDescent="0.25">
      <c r="A267" s="10">
        <v>257</v>
      </c>
      <c r="B267" s="1">
        <v>45930</v>
      </c>
      <c r="C267" s="14">
        <v>8</v>
      </c>
      <c r="D267" s="14" t="str">
        <f t="shared" si="49"/>
        <v>1877</v>
      </c>
      <c r="E267" s="14" t="str">
        <f t="shared" si="50"/>
        <v>Резервы (провизии) по дебиторской задолженности, связанной с банковской деятельностью</v>
      </c>
      <c r="F267" s="14" t="str">
        <f>"2"</f>
        <v>2</v>
      </c>
      <c r="G267" s="14" t="str">
        <f>"7"</f>
        <v>7</v>
      </c>
      <c r="H267" s="14" t="str">
        <f>"1"</f>
        <v>1</v>
      </c>
      <c r="I267" s="6">
        <v>-64.349999999999994</v>
      </c>
    </row>
    <row r="268" spans="1:9" x14ac:dyDescent="0.25">
      <c r="A268" s="10">
        <v>258</v>
      </c>
      <c r="B268" s="1">
        <v>45930</v>
      </c>
      <c r="C268" s="14">
        <v>8</v>
      </c>
      <c r="D268" s="14" t="str">
        <f t="shared" si="49"/>
        <v>1877</v>
      </c>
      <c r="E268" s="14" t="str">
        <f t="shared" si="50"/>
        <v>Резервы (провизии) по дебиторской задолженности, связанной с банковской деятельностью</v>
      </c>
      <c r="F268" s="14" t="str">
        <f>"2"</f>
        <v>2</v>
      </c>
      <c r="G268" s="14" t="str">
        <f>"9"</f>
        <v>9</v>
      </c>
      <c r="H268" s="14" t="str">
        <f>"2"</f>
        <v>2</v>
      </c>
      <c r="I268" s="6">
        <v>-1235.3900000000001</v>
      </c>
    </row>
    <row r="269" spans="1:9" x14ac:dyDescent="0.25">
      <c r="A269" s="10">
        <v>259</v>
      </c>
      <c r="B269" s="1">
        <v>45930</v>
      </c>
      <c r="C269" s="14">
        <v>8</v>
      </c>
      <c r="D269" s="14" t="str">
        <f>"1878"</f>
        <v>1878</v>
      </c>
      <c r="E269" s="14" t="str">
        <f>"Резервы (провизии) по дебиторской задолженности, связанной с неосновной деятельностью"</f>
        <v>Резервы (провизии) по дебиторской задолженности, связанной с неосновной деятельностью</v>
      </c>
      <c r="F269" s="14" t="str">
        <f>"1"</f>
        <v>1</v>
      </c>
      <c r="G269" s="14" t="str">
        <f>"7"</f>
        <v>7</v>
      </c>
      <c r="H269" s="14" t="str">
        <f t="shared" ref="H269:H276" si="52">"1"</f>
        <v>1</v>
      </c>
      <c r="I269" s="6">
        <v>-46093796.799999997</v>
      </c>
    </row>
    <row r="270" spans="1:9" x14ac:dyDescent="0.25">
      <c r="A270" s="10">
        <v>260</v>
      </c>
      <c r="B270" s="1">
        <v>45930</v>
      </c>
      <c r="C270" s="14">
        <v>8</v>
      </c>
      <c r="D270" s="14" t="str">
        <f>"1878"</f>
        <v>1878</v>
      </c>
      <c r="E270" s="14" t="str">
        <f>"Резервы (провизии) по дебиторской задолженности, связанной с неосновной деятельностью"</f>
        <v>Резервы (провизии) по дебиторской задолженности, связанной с неосновной деятельностью</v>
      </c>
      <c r="F270" s="14" t="str">
        <f>"1"</f>
        <v>1</v>
      </c>
      <c r="G270" s="14" t="str">
        <f>"9"</f>
        <v>9</v>
      </c>
      <c r="H270" s="14" t="str">
        <f t="shared" si="52"/>
        <v>1</v>
      </c>
      <c r="I270" s="6">
        <v>-7727241.4800000004</v>
      </c>
    </row>
    <row r="271" spans="1:9" x14ac:dyDescent="0.25">
      <c r="A271" s="10">
        <v>261</v>
      </c>
      <c r="B271" s="1">
        <v>45930</v>
      </c>
      <c r="C271" s="14">
        <v>8</v>
      </c>
      <c r="D271" s="14" t="str">
        <f>"1879"</f>
        <v>1879</v>
      </c>
      <c r="E271" s="14" t="str">
        <f>"Начисленная неустойка (штраф, пеня)"</f>
        <v>Начисленная неустойка (штраф, пеня)</v>
      </c>
      <c r="F271" s="14" t="str">
        <f>"1"</f>
        <v>1</v>
      </c>
      <c r="G271" s="14" t="str">
        <f>"7"</f>
        <v>7</v>
      </c>
      <c r="H271" s="14" t="str">
        <f t="shared" si="52"/>
        <v>1</v>
      </c>
      <c r="I271" s="6">
        <v>1341.95</v>
      </c>
    </row>
    <row r="272" spans="1:9" x14ac:dyDescent="0.25">
      <c r="A272" s="10">
        <v>262</v>
      </c>
      <c r="B272" s="1">
        <v>45930</v>
      </c>
      <c r="C272" s="14">
        <v>8</v>
      </c>
      <c r="D272" s="14" t="str">
        <f>"1894"</f>
        <v>1894</v>
      </c>
      <c r="E272" s="14" t="str">
        <f>"Требования по операциям спот"</f>
        <v>Требования по операциям спот</v>
      </c>
      <c r="F272" s="14" t="str">
        <f>"1"</f>
        <v>1</v>
      </c>
      <c r="G272" s="14" t="str">
        <f>"5"</f>
        <v>5</v>
      </c>
      <c r="H272" s="14" t="str">
        <f t="shared" si="52"/>
        <v>1</v>
      </c>
      <c r="I272" s="6">
        <v>1812835.56</v>
      </c>
    </row>
    <row r="273" spans="1:9" x14ac:dyDescent="0.25">
      <c r="A273" s="10">
        <v>263</v>
      </c>
      <c r="B273" s="1">
        <v>45930</v>
      </c>
      <c r="C273" s="14">
        <v>8</v>
      </c>
      <c r="D273" s="14" t="str">
        <f>"1894"</f>
        <v>1894</v>
      </c>
      <c r="E273" s="14" t="str">
        <f>"Требования по операциям спот"</f>
        <v>Требования по операциям спот</v>
      </c>
      <c r="F273" s="14" t="str">
        <f>"2"</f>
        <v>2</v>
      </c>
      <c r="G273" s="14" t="str">
        <f>"4"</f>
        <v>4</v>
      </c>
      <c r="H273" s="14" t="str">
        <f t="shared" si="52"/>
        <v>1</v>
      </c>
      <c r="I273" s="6">
        <v>507323.43</v>
      </c>
    </row>
    <row r="274" spans="1:9" x14ac:dyDescent="0.25">
      <c r="A274" s="10">
        <v>264</v>
      </c>
      <c r="B274" s="1">
        <v>45930</v>
      </c>
      <c r="C274" s="14">
        <v>8</v>
      </c>
      <c r="D274" s="14" t="str">
        <f>"1895"</f>
        <v>1895</v>
      </c>
      <c r="E274" s="14" t="str">
        <f>"Требования по операциям своп"</f>
        <v>Требования по операциям своп</v>
      </c>
      <c r="F274" s="14" t="str">
        <f>"1"</f>
        <v>1</v>
      </c>
      <c r="G274" s="14" t="str">
        <f>"5"</f>
        <v>5</v>
      </c>
      <c r="H274" s="14" t="str">
        <f t="shared" si="52"/>
        <v>1</v>
      </c>
      <c r="I274" s="6">
        <v>9170000</v>
      </c>
    </row>
    <row r="275" spans="1:9" x14ac:dyDescent="0.25">
      <c r="A275" s="10">
        <v>265</v>
      </c>
      <c r="B275" s="1">
        <v>45930</v>
      </c>
      <c r="C275" s="14">
        <v>8</v>
      </c>
      <c r="D275" s="14" t="str">
        <f>"1895"</f>
        <v>1895</v>
      </c>
      <c r="E275" s="14" t="str">
        <f>"Требования по операциям своп"</f>
        <v>Требования по операциям своп</v>
      </c>
      <c r="F275" s="14" t="str">
        <f>"2"</f>
        <v>2</v>
      </c>
      <c r="G275" s="14" t="str">
        <f t="shared" ref="G275:G281" si="53">"4"</f>
        <v>4</v>
      </c>
      <c r="H275" s="14" t="str">
        <f t="shared" si="52"/>
        <v>1</v>
      </c>
      <c r="I275" s="6">
        <v>89157769.120000005</v>
      </c>
    </row>
    <row r="276" spans="1:9" x14ac:dyDescent="0.25">
      <c r="A276" s="10">
        <v>266</v>
      </c>
      <c r="B276" s="1">
        <v>45930</v>
      </c>
      <c r="C276" s="14">
        <v>8</v>
      </c>
      <c r="D276" s="14" t="str">
        <f t="shared" ref="D276:D281" si="54">"2013"</f>
        <v>2013</v>
      </c>
      <c r="E276" s="14" t="str">
        <f t="shared" ref="E276:E281" si="55">"Корреспондентские счета других банков"</f>
        <v>Корреспондентские счета других банков</v>
      </c>
      <c r="F276" s="14" t="str">
        <f>"1"</f>
        <v>1</v>
      </c>
      <c r="G276" s="14" t="str">
        <f t="shared" si="53"/>
        <v>4</v>
      </c>
      <c r="H276" s="14" t="str">
        <f t="shared" si="52"/>
        <v>1</v>
      </c>
      <c r="I276" s="6">
        <v>16778000.390000001</v>
      </c>
    </row>
    <row r="277" spans="1:9" x14ac:dyDescent="0.25">
      <c r="A277" s="10">
        <v>267</v>
      </c>
      <c r="B277" s="1">
        <v>45930</v>
      </c>
      <c r="C277" s="14">
        <v>8</v>
      </c>
      <c r="D277" s="14" t="str">
        <f t="shared" si="54"/>
        <v>2013</v>
      </c>
      <c r="E277" s="14" t="str">
        <f t="shared" si="55"/>
        <v>Корреспондентские счета других банков</v>
      </c>
      <c r="F277" s="14" t="str">
        <f>"1"</f>
        <v>1</v>
      </c>
      <c r="G277" s="14" t="str">
        <f t="shared" si="53"/>
        <v>4</v>
      </c>
      <c r="H277" s="14" t="str">
        <f>"3"</f>
        <v>3</v>
      </c>
      <c r="I277" s="6">
        <v>24709.67</v>
      </c>
    </row>
    <row r="278" spans="1:9" x14ac:dyDescent="0.25">
      <c r="A278" s="10">
        <v>268</v>
      </c>
      <c r="B278" s="1">
        <v>45930</v>
      </c>
      <c r="C278" s="14">
        <v>8</v>
      </c>
      <c r="D278" s="14" t="str">
        <f t="shared" si="54"/>
        <v>2013</v>
      </c>
      <c r="E278" s="14" t="str">
        <f t="shared" si="55"/>
        <v>Корреспондентские счета других банков</v>
      </c>
      <c r="F278" s="14" t="str">
        <f>"1"</f>
        <v>1</v>
      </c>
      <c r="G278" s="14" t="str">
        <f t="shared" si="53"/>
        <v>4</v>
      </c>
      <c r="H278" s="14" t="str">
        <f>"2"</f>
        <v>2</v>
      </c>
      <c r="I278" s="6">
        <v>1414773.88</v>
      </c>
    </row>
    <row r="279" spans="1:9" x14ac:dyDescent="0.25">
      <c r="A279" s="10">
        <v>269</v>
      </c>
      <c r="B279" s="1">
        <v>45930</v>
      </c>
      <c r="C279" s="14">
        <v>8</v>
      </c>
      <c r="D279" s="14" t="str">
        <f t="shared" si="54"/>
        <v>2013</v>
      </c>
      <c r="E279" s="14" t="str">
        <f t="shared" si="55"/>
        <v>Корреспондентские счета других банков</v>
      </c>
      <c r="F279" s="14" t="str">
        <f>"2"</f>
        <v>2</v>
      </c>
      <c r="G279" s="14" t="str">
        <f t="shared" si="53"/>
        <v>4</v>
      </c>
      <c r="H279" s="14" t="str">
        <f>"3"</f>
        <v>3</v>
      </c>
      <c r="I279" s="6">
        <v>4610576.21</v>
      </c>
    </row>
    <row r="280" spans="1:9" x14ac:dyDescent="0.25">
      <c r="A280" s="10">
        <v>270</v>
      </c>
      <c r="B280" s="1">
        <v>45930</v>
      </c>
      <c r="C280" s="14">
        <v>8</v>
      </c>
      <c r="D280" s="14" t="str">
        <f t="shared" si="54"/>
        <v>2013</v>
      </c>
      <c r="E280" s="14" t="str">
        <f t="shared" si="55"/>
        <v>Корреспондентские счета других банков</v>
      </c>
      <c r="F280" s="14" t="str">
        <f>"2"</f>
        <v>2</v>
      </c>
      <c r="G280" s="14" t="str">
        <f t="shared" si="53"/>
        <v>4</v>
      </c>
      <c r="H280" s="14" t="str">
        <f>"2"</f>
        <v>2</v>
      </c>
      <c r="I280" s="6">
        <v>5007287053.1400003</v>
      </c>
    </row>
    <row r="281" spans="1:9" x14ac:dyDescent="0.25">
      <c r="A281" s="10">
        <v>271</v>
      </c>
      <c r="B281" s="1">
        <v>45930</v>
      </c>
      <c r="C281" s="14">
        <v>8</v>
      </c>
      <c r="D281" s="14" t="str">
        <f t="shared" si="54"/>
        <v>2013</v>
      </c>
      <c r="E281" s="14" t="str">
        <f t="shared" si="55"/>
        <v>Корреспондентские счета других банков</v>
      </c>
      <c r="F281" s="14" t="str">
        <f>"2"</f>
        <v>2</v>
      </c>
      <c r="G281" s="14" t="str">
        <f t="shared" si="53"/>
        <v>4</v>
      </c>
      <c r="H281" s="14" t="str">
        <f t="shared" ref="H281:H286" si="56">"1"</f>
        <v>1</v>
      </c>
      <c r="I281" s="6">
        <v>668059098.75</v>
      </c>
    </row>
    <row r="282" spans="1:9" x14ac:dyDescent="0.25">
      <c r="A282" s="10">
        <v>272</v>
      </c>
      <c r="B282" s="1">
        <v>45930</v>
      </c>
      <c r="C282" s="14">
        <v>8</v>
      </c>
      <c r="D282" s="14" t="str">
        <f>"2036"</f>
        <v>2036</v>
      </c>
      <c r="E282" s="14" t="str">
        <f>"Долгосрочные займы, полученные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предпринимательства"</f>
        <v>Долгосрочные займы, полученные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</v>
      </c>
      <c r="F282" s="14" t="str">
        <f t="shared" ref="F282:F290" si="57">"1"</f>
        <v>1</v>
      </c>
      <c r="G282" s="14" t="str">
        <f>"5"</f>
        <v>5</v>
      </c>
      <c r="H282" s="14" t="str">
        <f t="shared" si="56"/>
        <v>1</v>
      </c>
      <c r="I282" s="6">
        <v>39496718976.949997</v>
      </c>
    </row>
    <row r="283" spans="1:9" x14ac:dyDescent="0.25">
      <c r="A283" s="10">
        <v>273</v>
      </c>
      <c r="B283" s="1">
        <v>45930</v>
      </c>
      <c r="C283" s="14">
        <v>8</v>
      </c>
      <c r="D283" s="14" t="str">
        <f>"2056"</f>
        <v>2056</v>
      </c>
      <c r="E283" s="14" t="str">
        <f>"Долгосрочные займы, полученные от других банков"</f>
        <v>Долгосрочные займы, полученные от других банков</v>
      </c>
      <c r="F283" s="14" t="str">
        <f t="shared" si="57"/>
        <v>1</v>
      </c>
      <c r="G283" s="14" t="str">
        <f>"4"</f>
        <v>4</v>
      </c>
      <c r="H283" s="14" t="str">
        <f t="shared" si="56"/>
        <v>1</v>
      </c>
      <c r="I283" s="6">
        <v>4381124423.9700003</v>
      </c>
    </row>
    <row r="284" spans="1:9" x14ac:dyDescent="0.25">
      <c r="A284" s="10">
        <v>274</v>
      </c>
      <c r="B284" s="1">
        <v>45930</v>
      </c>
      <c r="C284" s="14">
        <v>8</v>
      </c>
      <c r="D284" s="14" t="str">
        <f>"2064"</f>
        <v>2064</v>
      </c>
      <c r="E284" s="14" t="str">
        <f>"Краткосрочные займы, полученные от организаций, осуществляющих отдельные виды банковских операций"</f>
        <v>Краткосрочные займы, полученные от организаций, осуществляющих отдельные виды банковских операций</v>
      </c>
      <c r="F284" s="14" t="str">
        <f t="shared" si="57"/>
        <v>1</v>
      </c>
      <c r="G284" s="14" t="str">
        <f>"5"</f>
        <v>5</v>
      </c>
      <c r="H284" s="14" t="str">
        <f t="shared" si="56"/>
        <v>1</v>
      </c>
      <c r="I284" s="6">
        <v>1780000000</v>
      </c>
    </row>
    <row r="285" spans="1:9" x14ac:dyDescent="0.25">
      <c r="A285" s="10">
        <v>275</v>
      </c>
      <c r="B285" s="1">
        <v>45930</v>
      </c>
      <c r="C285" s="14">
        <v>8</v>
      </c>
      <c r="D285" s="14" t="str">
        <f>"2202"</f>
        <v>2202</v>
      </c>
      <c r="E285" s="14" t="str">
        <f>"Неинвестированные остатки на банковских счетах, предназначенных для учета денег клиентов, управляющих инвестиционным портфелем"</f>
        <v>Неинвестированные остатки на банковских счетах, предназначенных для учета денег клиентов, управляющих инвестиционным портфелем</v>
      </c>
      <c r="F285" s="14" t="str">
        <f t="shared" si="57"/>
        <v>1</v>
      </c>
      <c r="G285" s="14" t="str">
        <f>"7"</f>
        <v>7</v>
      </c>
      <c r="H285" s="14" t="str">
        <f t="shared" si="56"/>
        <v>1</v>
      </c>
      <c r="I285" s="6">
        <v>188505.68</v>
      </c>
    </row>
    <row r="286" spans="1:9" x14ac:dyDescent="0.25">
      <c r="A286" s="10">
        <v>276</v>
      </c>
      <c r="B286" s="1">
        <v>45930</v>
      </c>
      <c r="C286" s="14">
        <v>8</v>
      </c>
      <c r="D286" s="14" t="str">
        <f>"2202"</f>
        <v>2202</v>
      </c>
      <c r="E286" s="14" t="str">
        <f>"Неинвестированные остатки на банковских счетах, предназначенных для учета денег клиентов, управляющих инвестиционным портфелем"</f>
        <v>Неинвестированные остатки на банковских счетах, предназначенных для учета денег клиентов, управляющих инвестиционным портфелем</v>
      </c>
      <c r="F286" s="14" t="str">
        <f t="shared" si="57"/>
        <v>1</v>
      </c>
      <c r="G286" s="14" t="str">
        <f>"5"</f>
        <v>5</v>
      </c>
      <c r="H286" s="14" t="str">
        <f t="shared" si="56"/>
        <v>1</v>
      </c>
      <c r="I286" s="6">
        <v>200795589.41999999</v>
      </c>
    </row>
    <row r="287" spans="1:9" x14ac:dyDescent="0.25">
      <c r="A287" s="10">
        <v>277</v>
      </c>
      <c r="B287" s="1">
        <v>45930</v>
      </c>
      <c r="C287" s="14">
        <v>8</v>
      </c>
      <c r="D287" s="14" t="str">
        <f>"2202"</f>
        <v>2202</v>
      </c>
      <c r="E287" s="14" t="str">
        <f>"Неинвестированные остатки на банковских счетах, предназначенных для учета денег клиентов, управляющих инвестиционным портфелем"</f>
        <v>Неинвестированные остатки на банковских счетах, предназначенных для учета денег клиентов, управляющих инвестиционным портфелем</v>
      </c>
      <c r="F287" s="14" t="str">
        <f t="shared" si="57"/>
        <v>1</v>
      </c>
      <c r="G287" s="14" t="str">
        <f>"5"</f>
        <v>5</v>
      </c>
      <c r="H287" s="14" t="str">
        <f>"2"</f>
        <v>2</v>
      </c>
      <c r="I287" s="6">
        <v>67850753.870000005</v>
      </c>
    </row>
    <row r="288" spans="1:9" x14ac:dyDescent="0.25">
      <c r="A288" s="10">
        <v>278</v>
      </c>
      <c r="B288" s="1">
        <v>45930</v>
      </c>
      <c r="C288" s="14">
        <v>8</v>
      </c>
      <c r="D288" s="14" t="str">
        <f t="shared" ref="D288:D309" si="58">"2203"</f>
        <v>2203</v>
      </c>
      <c r="E288" s="14" t="str">
        <f t="shared" ref="E288:E309" si="59">"Текущие счета юридических лиц"</f>
        <v>Текущие счета юридических лиц</v>
      </c>
      <c r="F288" s="14" t="str">
        <f t="shared" si="57"/>
        <v>1</v>
      </c>
      <c r="G288" s="14" t="str">
        <f>"5"</f>
        <v>5</v>
      </c>
      <c r="H288" s="14" t="str">
        <f>"3"</f>
        <v>3</v>
      </c>
      <c r="I288" s="6">
        <v>8713242.0399999991</v>
      </c>
    </row>
    <row r="289" spans="1:9" x14ac:dyDescent="0.25">
      <c r="A289" s="10">
        <v>279</v>
      </c>
      <c r="B289" s="1">
        <v>45930</v>
      </c>
      <c r="C289" s="14">
        <v>8</v>
      </c>
      <c r="D289" s="14" t="str">
        <f t="shared" si="58"/>
        <v>2203</v>
      </c>
      <c r="E289" s="14" t="str">
        <f t="shared" si="59"/>
        <v>Текущие счета юридических лиц</v>
      </c>
      <c r="F289" s="14" t="str">
        <f t="shared" si="57"/>
        <v>1</v>
      </c>
      <c r="G289" s="14" t="str">
        <f>"8"</f>
        <v>8</v>
      </c>
      <c r="H289" s="14" t="str">
        <f>"2"</f>
        <v>2</v>
      </c>
      <c r="I289" s="6">
        <v>329441187.62</v>
      </c>
    </row>
    <row r="290" spans="1:9" x14ac:dyDescent="0.25">
      <c r="A290" s="10">
        <v>280</v>
      </c>
      <c r="B290" s="1">
        <v>45930</v>
      </c>
      <c r="C290" s="14">
        <v>8</v>
      </c>
      <c r="D290" s="14" t="str">
        <f t="shared" si="58"/>
        <v>2203</v>
      </c>
      <c r="E290" s="14" t="str">
        <f t="shared" si="59"/>
        <v>Текущие счета юридических лиц</v>
      </c>
      <c r="F290" s="14" t="str">
        <f t="shared" si="57"/>
        <v>1</v>
      </c>
      <c r="G290" s="14" t="str">
        <f>"8"</f>
        <v>8</v>
      </c>
      <c r="H290" s="14" t="str">
        <f>"1"</f>
        <v>1</v>
      </c>
      <c r="I290" s="6">
        <v>3242768542.0799999</v>
      </c>
    </row>
    <row r="291" spans="1:9" x14ac:dyDescent="0.25">
      <c r="A291" s="10">
        <v>281</v>
      </c>
      <c r="B291" s="1">
        <v>45930</v>
      </c>
      <c r="C291" s="14">
        <v>8</v>
      </c>
      <c r="D291" s="14" t="str">
        <f t="shared" si="58"/>
        <v>2203</v>
      </c>
      <c r="E291" s="14" t="str">
        <f t="shared" si="59"/>
        <v>Текущие счета юридических лиц</v>
      </c>
      <c r="F291" s="14" t="str">
        <f>"2"</f>
        <v>2</v>
      </c>
      <c r="G291" s="14" t="str">
        <f>"1"</f>
        <v>1</v>
      </c>
      <c r="H291" s="14" t="str">
        <f>"1"</f>
        <v>1</v>
      </c>
      <c r="I291" s="6">
        <v>12759.59</v>
      </c>
    </row>
    <row r="292" spans="1:9" x14ac:dyDescent="0.25">
      <c r="A292" s="10">
        <v>282</v>
      </c>
      <c r="B292" s="1">
        <v>45930</v>
      </c>
      <c r="C292" s="14">
        <v>8</v>
      </c>
      <c r="D292" s="14" t="str">
        <f t="shared" si="58"/>
        <v>2203</v>
      </c>
      <c r="E292" s="14" t="str">
        <f t="shared" si="59"/>
        <v>Текущие счета юридических лиц</v>
      </c>
      <c r="F292" s="14" t="str">
        <f>"2"</f>
        <v>2</v>
      </c>
      <c r="G292" s="14" t="str">
        <f>"5"</f>
        <v>5</v>
      </c>
      <c r="H292" s="14" t="str">
        <f>"1"</f>
        <v>1</v>
      </c>
      <c r="I292" s="6">
        <v>12324578.74</v>
      </c>
    </row>
    <row r="293" spans="1:9" x14ac:dyDescent="0.25">
      <c r="A293" s="10">
        <v>283</v>
      </c>
      <c r="B293" s="1">
        <v>45930</v>
      </c>
      <c r="C293" s="14">
        <v>8</v>
      </c>
      <c r="D293" s="14" t="str">
        <f t="shared" si="58"/>
        <v>2203</v>
      </c>
      <c r="E293" s="14" t="str">
        <f t="shared" si="59"/>
        <v>Текущие счета юридических лиц</v>
      </c>
      <c r="F293" s="14" t="str">
        <f>"2"</f>
        <v>2</v>
      </c>
      <c r="G293" s="14" t="str">
        <f>"5"</f>
        <v>5</v>
      </c>
      <c r="H293" s="14" t="str">
        <f>"2"</f>
        <v>2</v>
      </c>
      <c r="I293" s="6">
        <v>6014347933.4300003</v>
      </c>
    </row>
    <row r="294" spans="1:9" x14ac:dyDescent="0.25">
      <c r="A294" s="10">
        <v>284</v>
      </c>
      <c r="B294" s="1">
        <v>45930</v>
      </c>
      <c r="C294" s="14">
        <v>8</v>
      </c>
      <c r="D294" s="14" t="str">
        <f t="shared" si="58"/>
        <v>2203</v>
      </c>
      <c r="E294" s="14" t="str">
        <f t="shared" si="59"/>
        <v>Текущие счета юридических лиц</v>
      </c>
      <c r="F294" s="14" t="str">
        <f>"2"</f>
        <v>2</v>
      </c>
      <c r="G294" s="14" t="str">
        <f>"7"</f>
        <v>7</v>
      </c>
      <c r="H294" s="14" t="str">
        <f>"2"</f>
        <v>2</v>
      </c>
      <c r="I294" s="6">
        <v>48877751344.849998</v>
      </c>
    </row>
    <row r="295" spans="1:9" x14ac:dyDescent="0.25">
      <c r="A295" s="10">
        <v>285</v>
      </c>
      <c r="B295" s="1">
        <v>45930</v>
      </c>
      <c r="C295" s="14">
        <v>8</v>
      </c>
      <c r="D295" s="14" t="str">
        <f t="shared" si="58"/>
        <v>2203</v>
      </c>
      <c r="E295" s="14" t="str">
        <f t="shared" si="59"/>
        <v>Текущие счета юридических лиц</v>
      </c>
      <c r="F295" s="14" t="str">
        <f t="shared" ref="F295:F302" si="60">"1"</f>
        <v>1</v>
      </c>
      <c r="G295" s="14" t="str">
        <f>"5"</f>
        <v>5</v>
      </c>
      <c r="H295" s="14" t="str">
        <f>"2"</f>
        <v>2</v>
      </c>
      <c r="I295" s="6">
        <v>768749465.92999995</v>
      </c>
    </row>
    <row r="296" spans="1:9" x14ac:dyDescent="0.25">
      <c r="A296" s="10">
        <v>286</v>
      </c>
      <c r="B296" s="1">
        <v>45930</v>
      </c>
      <c r="C296" s="14">
        <v>8</v>
      </c>
      <c r="D296" s="14" t="str">
        <f t="shared" si="58"/>
        <v>2203</v>
      </c>
      <c r="E296" s="14" t="str">
        <f t="shared" si="59"/>
        <v>Текущие счета юридических лиц</v>
      </c>
      <c r="F296" s="14" t="str">
        <f t="shared" si="60"/>
        <v>1</v>
      </c>
      <c r="G296" s="14" t="str">
        <f>"7"</f>
        <v>7</v>
      </c>
      <c r="H296" s="14" t="str">
        <f>"1"</f>
        <v>1</v>
      </c>
      <c r="I296" s="6">
        <v>48728730018.220001</v>
      </c>
    </row>
    <row r="297" spans="1:9" x14ac:dyDescent="0.25">
      <c r="A297" s="10">
        <v>287</v>
      </c>
      <c r="B297" s="1">
        <v>45930</v>
      </c>
      <c r="C297" s="14">
        <v>8</v>
      </c>
      <c r="D297" s="14" t="str">
        <f t="shared" si="58"/>
        <v>2203</v>
      </c>
      <c r="E297" s="14" t="str">
        <f t="shared" si="59"/>
        <v>Текущие счета юридических лиц</v>
      </c>
      <c r="F297" s="14" t="str">
        <f t="shared" si="60"/>
        <v>1</v>
      </c>
      <c r="G297" s="14" t="str">
        <f>"7"</f>
        <v>7</v>
      </c>
      <c r="H297" s="14" t="str">
        <f>"3"</f>
        <v>3</v>
      </c>
      <c r="I297" s="6">
        <v>6182325061.71</v>
      </c>
    </row>
    <row r="298" spans="1:9" x14ac:dyDescent="0.25">
      <c r="A298" s="10">
        <v>288</v>
      </c>
      <c r="B298" s="1">
        <v>45930</v>
      </c>
      <c r="C298" s="14">
        <v>8</v>
      </c>
      <c r="D298" s="14" t="str">
        <f t="shared" si="58"/>
        <v>2203</v>
      </c>
      <c r="E298" s="14" t="str">
        <f t="shared" si="59"/>
        <v>Текущие счета юридических лиц</v>
      </c>
      <c r="F298" s="14" t="str">
        <f t="shared" si="60"/>
        <v>1</v>
      </c>
      <c r="G298" s="14" t="str">
        <f>"6"</f>
        <v>6</v>
      </c>
      <c r="H298" s="14" t="str">
        <f>"1"</f>
        <v>1</v>
      </c>
      <c r="I298" s="6">
        <v>117090050.67</v>
      </c>
    </row>
    <row r="299" spans="1:9" x14ac:dyDescent="0.25">
      <c r="A299" s="10">
        <v>289</v>
      </c>
      <c r="B299" s="1">
        <v>45930</v>
      </c>
      <c r="C299" s="14">
        <v>8</v>
      </c>
      <c r="D299" s="14" t="str">
        <f t="shared" si="58"/>
        <v>2203</v>
      </c>
      <c r="E299" s="14" t="str">
        <f t="shared" si="59"/>
        <v>Текущие счета юридических лиц</v>
      </c>
      <c r="F299" s="14" t="str">
        <f t="shared" si="60"/>
        <v>1</v>
      </c>
      <c r="G299" s="14" t="str">
        <f>"8"</f>
        <v>8</v>
      </c>
      <c r="H299" s="14" t="str">
        <f>"3"</f>
        <v>3</v>
      </c>
      <c r="I299" s="6">
        <v>2243067.2799999998</v>
      </c>
    </row>
    <row r="300" spans="1:9" x14ac:dyDescent="0.25">
      <c r="A300" s="10">
        <v>290</v>
      </c>
      <c r="B300" s="1">
        <v>45930</v>
      </c>
      <c r="C300" s="14">
        <v>8</v>
      </c>
      <c r="D300" s="14" t="str">
        <f t="shared" si="58"/>
        <v>2203</v>
      </c>
      <c r="E300" s="14" t="str">
        <f t="shared" si="59"/>
        <v>Текущие счета юридических лиц</v>
      </c>
      <c r="F300" s="14" t="str">
        <f t="shared" si="60"/>
        <v>1</v>
      </c>
      <c r="G300" s="14" t="str">
        <f>"6"</f>
        <v>6</v>
      </c>
      <c r="H300" s="14" t="str">
        <f>"2"</f>
        <v>2</v>
      </c>
      <c r="I300" s="6">
        <v>27831589.050000001</v>
      </c>
    </row>
    <row r="301" spans="1:9" x14ac:dyDescent="0.25">
      <c r="A301" s="10">
        <v>291</v>
      </c>
      <c r="B301" s="1">
        <v>45930</v>
      </c>
      <c r="C301" s="14">
        <v>8</v>
      </c>
      <c r="D301" s="14" t="str">
        <f t="shared" si="58"/>
        <v>2203</v>
      </c>
      <c r="E301" s="14" t="str">
        <f t="shared" si="59"/>
        <v>Текущие счета юридических лиц</v>
      </c>
      <c r="F301" s="14" t="str">
        <f t="shared" si="60"/>
        <v>1</v>
      </c>
      <c r="G301" s="14" t="str">
        <f>"7"</f>
        <v>7</v>
      </c>
      <c r="H301" s="14" t="str">
        <f>"2"</f>
        <v>2</v>
      </c>
      <c r="I301" s="6">
        <v>77484086068.850006</v>
      </c>
    </row>
    <row r="302" spans="1:9" x14ac:dyDescent="0.25">
      <c r="A302" s="10">
        <v>292</v>
      </c>
      <c r="B302" s="1">
        <v>45930</v>
      </c>
      <c r="C302" s="14">
        <v>8</v>
      </c>
      <c r="D302" s="14" t="str">
        <f t="shared" si="58"/>
        <v>2203</v>
      </c>
      <c r="E302" s="14" t="str">
        <f t="shared" si="59"/>
        <v>Текущие счета юридических лиц</v>
      </c>
      <c r="F302" s="14" t="str">
        <f t="shared" si="60"/>
        <v>1</v>
      </c>
      <c r="G302" s="14" t="str">
        <f>"5"</f>
        <v>5</v>
      </c>
      <c r="H302" s="14" t="str">
        <f>"1"</f>
        <v>1</v>
      </c>
      <c r="I302" s="6">
        <v>1248817098.6400001</v>
      </c>
    </row>
    <row r="303" spans="1:9" x14ac:dyDescent="0.25">
      <c r="A303" s="10">
        <v>293</v>
      </c>
      <c r="B303" s="1">
        <v>45930</v>
      </c>
      <c r="C303" s="14">
        <v>8</v>
      </c>
      <c r="D303" s="14" t="str">
        <f t="shared" si="58"/>
        <v>2203</v>
      </c>
      <c r="E303" s="14" t="str">
        <f t="shared" si="59"/>
        <v>Текущие счета юридических лиц</v>
      </c>
      <c r="F303" s="14" t="str">
        <f>"2"</f>
        <v>2</v>
      </c>
      <c r="G303" s="14" t="str">
        <f>"8"</f>
        <v>8</v>
      </c>
      <c r="H303" s="14" t="str">
        <f>"1"</f>
        <v>1</v>
      </c>
      <c r="I303" s="6">
        <v>1281162.3700000001</v>
      </c>
    </row>
    <row r="304" spans="1:9" x14ac:dyDescent="0.25">
      <c r="A304" s="10">
        <v>294</v>
      </c>
      <c r="B304" s="1">
        <v>45930</v>
      </c>
      <c r="C304" s="14">
        <v>8</v>
      </c>
      <c r="D304" s="14" t="str">
        <f t="shared" si="58"/>
        <v>2203</v>
      </c>
      <c r="E304" s="14" t="str">
        <f t="shared" si="59"/>
        <v>Текущие счета юридических лиц</v>
      </c>
      <c r="F304" s="14" t="str">
        <f>"2"</f>
        <v>2</v>
      </c>
      <c r="G304" s="14" t="str">
        <f>"5"</f>
        <v>5</v>
      </c>
      <c r="H304" s="14" t="str">
        <f>"3"</f>
        <v>3</v>
      </c>
      <c r="I304" s="6">
        <v>852797878.02999997</v>
      </c>
    </row>
    <row r="305" spans="1:9" x14ac:dyDescent="0.25">
      <c r="A305" s="10">
        <v>295</v>
      </c>
      <c r="B305" s="1">
        <v>45930</v>
      </c>
      <c r="C305" s="14">
        <v>8</v>
      </c>
      <c r="D305" s="14" t="str">
        <f t="shared" si="58"/>
        <v>2203</v>
      </c>
      <c r="E305" s="14" t="str">
        <f t="shared" si="59"/>
        <v>Текущие счета юридических лиц</v>
      </c>
      <c r="F305" s="14" t="str">
        <f>"2"</f>
        <v>2</v>
      </c>
      <c r="G305" s="14" t="str">
        <f>"8"</f>
        <v>8</v>
      </c>
      <c r="H305" s="14" t="str">
        <f>"3"</f>
        <v>3</v>
      </c>
      <c r="I305" s="6">
        <v>302211438.70999998</v>
      </c>
    </row>
    <row r="306" spans="1:9" x14ac:dyDescent="0.25">
      <c r="A306" s="10">
        <v>296</v>
      </c>
      <c r="B306" s="1">
        <v>45930</v>
      </c>
      <c r="C306" s="14">
        <v>8</v>
      </c>
      <c r="D306" s="14" t="str">
        <f t="shared" si="58"/>
        <v>2203</v>
      </c>
      <c r="E306" s="14" t="str">
        <f t="shared" si="59"/>
        <v>Текущие счета юридических лиц</v>
      </c>
      <c r="F306" s="14" t="str">
        <f>"2"</f>
        <v>2</v>
      </c>
      <c r="G306" s="14" t="str">
        <f>"7"</f>
        <v>7</v>
      </c>
      <c r="H306" s="14" t="str">
        <f>"1"</f>
        <v>1</v>
      </c>
      <c r="I306" s="6">
        <v>363633433.89999998</v>
      </c>
    </row>
    <row r="307" spans="1:9" x14ac:dyDescent="0.25">
      <c r="A307" s="10">
        <v>297</v>
      </c>
      <c r="B307" s="1">
        <v>45930</v>
      </c>
      <c r="C307" s="14">
        <v>8</v>
      </c>
      <c r="D307" s="14" t="str">
        <f t="shared" si="58"/>
        <v>2203</v>
      </c>
      <c r="E307" s="14" t="str">
        <f t="shared" si="59"/>
        <v>Текущие счета юридических лиц</v>
      </c>
      <c r="F307" s="14" t="str">
        <f>"2"</f>
        <v>2</v>
      </c>
      <c r="G307" s="14" t="str">
        <f>"7"</f>
        <v>7</v>
      </c>
      <c r="H307" s="14" t="str">
        <f>"3"</f>
        <v>3</v>
      </c>
      <c r="I307" s="6">
        <v>1237400710.78</v>
      </c>
    </row>
    <row r="308" spans="1:9" x14ac:dyDescent="0.25">
      <c r="A308" s="10">
        <v>298</v>
      </c>
      <c r="B308" s="1">
        <v>45930</v>
      </c>
      <c r="C308" s="14">
        <v>8</v>
      </c>
      <c r="D308" s="14" t="str">
        <f t="shared" si="58"/>
        <v>2203</v>
      </c>
      <c r="E308" s="14" t="str">
        <f t="shared" si="59"/>
        <v>Текущие счета юридических лиц</v>
      </c>
      <c r="F308" s="14" t="str">
        <f>"1"</f>
        <v>1</v>
      </c>
      <c r="G308" s="14" t="str">
        <f>"4"</f>
        <v>4</v>
      </c>
      <c r="H308" s="14" t="str">
        <f>"1"</f>
        <v>1</v>
      </c>
      <c r="I308" s="6">
        <v>1055782.83</v>
      </c>
    </row>
    <row r="309" spans="1:9" x14ac:dyDescent="0.25">
      <c r="A309" s="10">
        <v>299</v>
      </c>
      <c r="B309" s="1">
        <v>45930</v>
      </c>
      <c r="C309" s="14">
        <v>8</v>
      </c>
      <c r="D309" s="14" t="str">
        <f t="shared" si="58"/>
        <v>2203</v>
      </c>
      <c r="E309" s="14" t="str">
        <f t="shared" si="59"/>
        <v>Текущие счета юридических лиц</v>
      </c>
      <c r="F309" s="14" t="str">
        <f>"2"</f>
        <v>2</v>
      </c>
      <c r="G309" s="14" t="str">
        <f>"8"</f>
        <v>8</v>
      </c>
      <c r="H309" s="14" t="str">
        <f>"2"</f>
        <v>2</v>
      </c>
      <c r="I309" s="6">
        <v>644873015.29999995</v>
      </c>
    </row>
    <row r="310" spans="1:9" x14ac:dyDescent="0.25">
      <c r="A310" s="10">
        <v>300</v>
      </c>
      <c r="B310" s="1">
        <v>45930</v>
      </c>
      <c r="C310" s="14">
        <v>8</v>
      </c>
      <c r="D310" s="14" t="str">
        <f t="shared" ref="D310:D315" si="61">"2204"</f>
        <v>2204</v>
      </c>
      <c r="E310" s="14" t="str">
        <f t="shared" ref="E310:E315" si="62">"Текущие счета физических лиц"</f>
        <v>Текущие счета физических лиц</v>
      </c>
      <c r="F310" s="14" t="str">
        <f>"1"</f>
        <v>1</v>
      </c>
      <c r="G310" s="14" t="str">
        <f t="shared" ref="G310:G328" si="63">"9"</f>
        <v>9</v>
      </c>
      <c r="H310" s="14" t="str">
        <f>"1"</f>
        <v>1</v>
      </c>
      <c r="I310" s="6">
        <v>19476023427.09</v>
      </c>
    </row>
    <row r="311" spans="1:9" x14ac:dyDescent="0.25">
      <c r="A311" s="10">
        <v>301</v>
      </c>
      <c r="B311" s="1">
        <v>45930</v>
      </c>
      <c r="C311" s="14">
        <v>8</v>
      </c>
      <c r="D311" s="14" t="str">
        <f t="shared" si="61"/>
        <v>2204</v>
      </c>
      <c r="E311" s="14" t="str">
        <f t="shared" si="62"/>
        <v>Текущие счета физических лиц</v>
      </c>
      <c r="F311" s="14" t="str">
        <f>"1"</f>
        <v>1</v>
      </c>
      <c r="G311" s="14" t="str">
        <f t="shared" si="63"/>
        <v>9</v>
      </c>
      <c r="H311" s="14" t="str">
        <f>"3"</f>
        <v>3</v>
      </c>
      <c r="I311" s="6">
        <v>285223243.75999999</v>
      </c>
    </row>
    <row r="312" spans="1:9" x14ac:dyDescent="0.25">
      <c r="A312" s="10">
        <v>302</v>
      </c>
      <c r="B312" s="1">
        <v>45930</v>
      </c>
      <c r="C312" s="14">
        <v>8</v>
      </c>
      <c r="D312" s="14" t="str">
        <f t="shared" si="61"/>
        <v>2204</v>
      </c>
      <c r="E312" s="14" t="str">
        <f t="shared" si="62"/>
        <v>Текущие счета физических лиц</v>
      </c>
      <c r="F312" s="14" t="str">
        <f>"2"</f>
        <v>2</v>
      </c>
      <c r="G312" s="14" t="str">
        <f t="shared" si="63"/>
        <v>9</v>
      </c>
      <c r="H312" s="14" t="str">
        <f>"2"</f>
        <v>2</v>
      </c>
      <c r="I312" s="6">
        <v>37105030943.900002</v>
      </c>
    </row>
    <row r="313" spans="1:9" x14ac:dyDescent="0.25">
      <c r="A313" s="10">
        <v>303</v>
      </c>
      <c r="B313" s="1">
        <v>45930</v>
      </c>
      <c r="C313" s="14">
        <v>8</v>
      </c>
      <c r="D313" s="14" t="str">
        <f t="shared" si="61"/>
        <v>2204</v>
      </c>
      <c r="E313" s="14" t="str">
        <f t="shared" si="62"/>
        <v>Текущие счета физических лиц</v>
      </c>
      <c r="F313" s="14" t="str">
        <f>"2"</f>
        <v>2</v>
      </c>
      <c r="G313" s="14" t="str">
        <f t="shared" si="63"/>
        <v>9</v>
      </c>
      <c r="H313" s="14" t="str">
        <f>"1"</f>
        <v>1</v>
      </c>
      <c r="I313" s="6">
        <v>1805075237.1700001</v>
      </c>
    </row>
    <row r="314" spans="1:9" x14ac:dyDescent="0.25">
      <c r="A314" s="10">
        <v>304</v>
      </c>
      <c r="B314" s="1">
        <v>45930</v>
      </c>
      <c r="C314" s="14">
        <v>8</v>
      </c>
      <c r="D314" s="14" t="str">
        <f t="shared" si="61"/>
        <v>2204</v>
      </c>
      <c r="E314" s="14" t="str">
        <f t="shared" si="62"/>
        <v>Текущие счета физических лиц</v>
      </c>
      <c r="F314" s="14" t="str">
        <f>"2"</f>
        <v>2</v>
      </c>
      <c r="G314" s="14" t="str">
        <f t="shared" si="63"/>
        <v>9</v>
      </c>
      <c r="H314" s="14" t="str">
        <f>"3"</f>
        <v>3</v>
      </c>
      <c r="I314" s="6">
        <v>3352320025.04</v>
      </c>
    </row>
    <row r="315" spans="1:9" x14ac:dyDescent="0.25">
      <c r="A315" s="10">
        <v>305</v>
      </c>
      <c r="B315" s="1">
        <v>45930</v>
      </c>
      <c r="C315" s="14">
        <v>8</v>
      </c>
      <c r="D315" s="14" t="str">
        <f t="shared" si="61"/>
        <v>2204</v>
      </c>
      <c r="E315" s="14" t="str">
        <f t="shared" si="62"/>
        <v>Текущие счета физических лиц</v>
      </c>
      <c r="F315" s="14" t="str">
        <f>"1"</f>
        <v>1</v>
      </c>
      <c r="G315" s="14" t="str">
        <f t="shared" si="63"/>
        <v>9</v>
      </c>
      <c r="H315" s="14" t="str">
        <f>"2"</f>
        <v>2</v>
      </c>
      <c r="I315" s="6">
        <v>21560562690.900002</v>
      </c>
    </row>
    <row r="316" spans="1:9" x14ac:dyDescent="0.25">
      <c r="A316" s="10">
        <v>306</v>
      </c>
      <c r="B316" s="1">
        <v>45930</v>
      </c>
      <c r="C316" s="14">
        <v>8</v>
      </c>
      <c r="D316" s="14" t="str">
        <f t="shared" ref="D316:D321" si="64">"2206"</f>
        <v>2206</v>
      </c>
      <c r="E316" s="14" t="str">
        <f t="shared" ref="E316:E321" si="65">"Краткосрочные вклады физических лиц"</f>
        <v>Краткосрочные вклады физических лиц</v>
      </c>
      <c r="F316" s="14" t="str">
        <f>"1"</f>
        <v>1</v>
      </c>
      <c r="G316" s="14" t="str">
        <f t="shared" si="63"/>
        <v>9</v>
      </c>
      <c r="H316" s="14" t="str">
        <f>"3"</f>
        <v>3</v>
      </c>
      <c r="I316" s="6">
        <v>35602107.490000002</v>
      </c>
    </row>
    <row r="317" spans="1:9" x14ac:dyDescent="0.25">
      <c r="A317" s="10">
        <v>307</v>
      </c>
      <c r="B317" s="1">
        <v>45930</v>
      </c>
      <c r="C317" s="14">
        <v>8</v>
      </c>
      <c r="D317" s="14" t="str">
        <f t="shared" si="64"/>
        <v>2206</v>
      </c>
      <c r="E317" s="14" t="str">
        <f t="shared" si="65"/>
        <v>Краткосрочные вклады физических лиц</v>
      </c>
      <c r="F317" s="14" t="str">
        <f>"2"</f>
        <v>2</v>
      </c>
      <c r="G317" s="14" t="str">
        <f t="shared" si="63"/>
        <v>9</v>
      </c>
      <c r="H317" s="14" t="str">
        <f>"3"</f>
        <v>3</v>
      </c>
      <c r="I317" s="6">
        <v>367398865.29000002</v>
      </c>
    </row>
    <row r="318" spans="1:9" x14ac:dyDescent="0.25">
      <c r="A318" s="10">
        <v>308</v>
      </c>
      <c r="B318" s="1">
        <v>45930</v>
      </c>
      <c r="C318" s="14">
        <v>8</v>
      </c>
      <c r="D318" s="14" t="str">
        <f t="shared" si="64"/>
        <v>2206</v>
      </c>
      <c r="E318" s="14" t="str">
        <f t="shared" si="65"/>
        <v>Краткосрочные вклады физических лиц</v>
      </c>
      <c r="F318" s="14" t="str">
        <f>"1"</f>
        <v>1</v>
      </c>
      <c r="G318" s="14" t="str">
        <f t="shared" si="63"/>
        <v>9</v>
      </c>
      <c r="H318" s="14" t="str">
        <f>"1"</f>
        <v>1</v>
      </c>
      <c r="I318" s="6">
        <v>67363455818.059998</v>
      </c>
    </row>
    <row r="319" spans="1:9" x14ac:dyDescent="0.25">
      <c r="A319" s="10">
        <v>309</v>
      </c>
      <c r="B319" s="1">
        <v>45930</v>
      </c>
      <c r="C319" s="14">
        <v>8</v>
      </c>
      <c r="D319" s="14" t="str">
        <f t="shared" si="64"/>
        <v>2206</v>
      </c>
      <c r="E319" s="14" t="str">
        <f t="shared" si="65"/>
        <v>Краткосрочные вклады физических лиц</v>
      </c>
      <c r="F319" s="14" t="str">
        <f>"2"</f>
        <v>2</v>
      </c>
      <c r="G319" s="14" t="str">
        <f t="shared" si="63"/>
        <v>9</v>
      </c>
      <c r="H319" s="14" t="str">
        <f>"1"</f>
        <v>1</v>
      </c>
      <c r="I319" s="6">
        <v>5235728459.4899998</v>
      </c>
    </row>
    <row r="320" spans="1:9" x14ac:dyDescent="0.25">
      <c r="A320" s="10">
        <v>310</v>
      </c>
      <c r="B320" s="1">
        <v>45930</v>
      </c>
      <c r="C320" s="14">
        <v>8</v>
      </c>
      <c r="D320" s="14" t="str">
        <f t="shared" si="64"/>
        <v>2206</v>
      </c>
      <c r="E320" s="14" t="str">
        <f t="shared" si="65"/>
        <v>Краткосрочные вклады физических лиц</v>
      </c>
      <c r="F320" s="14" t="str">
        <f>"1"</f>
        <v>1</v>
      </c>
      <c r="G320" s="14" t="str">
        <f t="shared" si="63"/>
        <v>9</v>
      </c>
      <c r="H320" s="14" t="str">
        <f>"2"</f>
        <v>2</v>
      </c>
      <c r="I320" s="6">
        <v>75184690376.300003</v>
      </c>
    </row>
    <row r="321" spans="1:9" x14ac:dyDescent="0.25">
      <c r="A321" s="10">
        <v>311</v>
      </c>
      <c r="B321" s="1">
        <v>45930</v>
      </c>
      <c r="C321" s="14">
        <v>8</v>
      </c>
      <c r="D321" s="14" t="str">
        <f t="shared" si="64"/>
        <v>2206</v>
      </c>
      <c r="E321" s="14" t="str">
        <f t="shared" si="65"/>
        <v>Краткосрочные вклады физических лиц</v>
      </c>
      <c r="F321" s="14" t="str">
        <f>"2"</f>
        <v>2</v>
      </c>
      <c r="G321" s="14" t="str">
        <f t="shared" si="63"/>
        <v>9</v>
      </c>
      <c r="H321" s="14" t="str">
        <f>"2"</f>
        <v>2</v>
      </c>
      <c r="I321" s="6">
        <v>32816008199.75</v>
      </c>
    </row>
    <row r="322" spans="1:9" x14ac:dyDescent="0.25">
      <c r="A322" s="10">
        <v>312</v>
      </c>
      <c r="B322" s="1">
        <v>45930</v>
      </c>
      <c r="C322" s="14">
        <v>8</v>
      </c>
      <c r="D322" s="14" t="str">
        <f t="shared" ref="D322:D327" si="66">"2207"</f>
        <v>2207</v>
      </c>
      <c r="E322" s="14" t="str">
        <f t="shared" ref="E322:E327" si="67">"Долгосрочные вклады физических лиц"</f>
        <v>Долгосрочные вклады физических лиц</v>
      </c>
      <c r="F322" s="14" t="str">
        <f>"1"</f>
        <v>1</v>
      </c>
      <c r="G322" s="14" t="str">
        <f t="shared" si="63"/>
        <v>9</v>
      </c>
      <c r="H322" s="14" t="str">
        <f>"2"</f>
        <v>2</v>
      </c>
      <c r="I322" s="6">
        <v>44757792560</v>
      </c>
    </row>
    <row r="323" spans="1:9" x14ac:dyDescent="0.25">
      <c r="A323" s="10">
        <v>313</v>
      </c>
      <c r="B323" s="1">
        <v>45930</v>
      </c>
      <c r="C323" s="14">
        <v>8</v>
      </c>
      <c r="D323" s="14" t="str">
        <f t="shared" si="66"/>
        <v>2207</v>
      </c>
      <c r="E323" s="14" t="str">
        <f t="shared" si="67"/>
        <v>Долгосрочные вклады физических лиц</v>
      </c>
      <c r="F323" s="14" t="str">
        <f>"1"</f>
        <v>1</v>
      </c>
      <c r="G323" s="14" t="str">
        <f t="shared" si="63"/>
        <v>9</v>
      </c>
      <c r="H323" s="14" t="str">
        <f>"1"</f>
        <v>1</v>
      </c>
      <c r="I323" s="6">
        <v>73223425905.449997</v>
      </c>
    </row>
    <row r="324" spans="1:9" x14ac:dyDescent="0.25">
      <c r="A324" s="10">
        <v>314</v>
      </c>
      <c r="B324" s="1">
        <v>45930</v>
      </c>
      <c r="C324" s="14">
        <v>8</v>
      </c>
      <c r="D324" s="14" t="str">
        <f t="shared" si="66"/>
        <v>2207</v>
      </c>
      <c r="E324" s="14" t="str">
        <f t="shared" si="67"/>
        <v>Долгосрочные вклады физических лиц</v>
      </c>
      <c r="F324" s="14" t="str">
        <f>"1"</f>
        <v>1</v>
      </c>
      <c r="G324" s="14" t="str">
        <f t="shared" si="63"/>
        <v>9</v>
      </c>
      <c r="H324" s="14" t="str">
        <f>"3"</f>
        <v>3</v>
      </c>
      <c r="I324" s="6">
        <v>18677342.460000001</v>
      </c>
    </row>
    <row r="325" spans="1:9" x14ac:dyDescent="0.25">
      <c r="A325" s="10">
        <v>315</v>
      </c>
      <c r="B325" s="1">
        <v>45930</v>
      </c>
      <c r="C325" s="14">
        <v>8</v>
      </c>
      <c r="D325" s="14" t="str">
        <f t="shared" si="66"/>
        <v>2207</v>
      </c>
      <c r="E325" s="14" t="str">
        <f t="shared" si="67"/>
        <v>Долгосрочные вклады физических лиц</v>
      </c>
      <c r="F325" s="14" t="str">
        <f>"2"</f>
        <v>2</v>
      </c>
      <c r="G325" s="14" t="str">
        <f t="shared" si="63"/>
        <v>9</v>
      </c>
      <c r="H325" s="14" t="str">
        <f>"1"</f>
        <v>1</v>
      </c>
      <c r="I325" s="6">
        <v>5689503965.7399998</v>
      </c>
    </row>
    <row r="326" spans="1:9" x14ac:dyDescent="0.25">
      <c r="A326" s="10">
        <v>316</v>
      </c>
      <c r="B326" s="1">
        <v>45930</v>
      </c>
      <c r="C326" s="14">
        <v>8</v>
      </c>
      <c r="D326" s="14" t="str">
        <f t="shared" si="66"/>
        <v>2207</v>
      </c>
      <c r="E326" s="14" t="str">
        <f t="shared" si="67"/>
        <v>Долгосрочные вклады физических лиц</v>
      </c>
      <c r="F326" s="14" t="str">
        <f>"2"</f>
        <v>2</v>
      </c>
      <c r="G326" s="14" t="str">
        <f t="shared" si="63"/>
        <v>9</v>
      </c>
      <c r="H326" s="14" t="str">
        <f>"2"</f>
        <v>2</v>
      </c>
      <c r="I326" s="6">
        <v>10091381502.26</v>
      </c>
    </row>
    <row r="327" spans="1:9" x14ac:dyDescent="0.25">
      <c r="A327" s="10">
        <v>317</v>
      </c>
      <c r="B327" s="1">
        <v>45930</v>
      </c>
      <c r="C327" s="14">
        <v>8</v>
      </c>
      <c r="D327" s="14" t="str">
        <f t="shared" si="66"/>
        <v>2207</v>
      </c>
      <c r="E327" s="14" t="str">
        <f t="shared" si="67"/>
        <v>Долгосрочные вклады физических лиц</v>
      </c>
      <c r="F327" s="14" t="str">
        <f>"2"</f>
        <v>2</v>
      </c>
      <c r="G327" s="14" t="str">
        <f t="shared" si="63"/>
        <v>9</v>
      </c>
      <c r="H327" s="14" t="str">
        <f>"3"</f>
        <v>3</v>
      </c>
      <c r="I327" s="6">
        <v>341573.81</v>
      </c>
    </row>
    <row r="328" spans="1:9" x14ac:dyDescent="0.25">
      <c r="A328" s="10">
        <v>318</v>
      </c>
      <c r="B328" s="1">
        <v>45930</v>
      </c>
      <c r="C328" s="14">
        <v>8</v>
      </c>
      <c r="D328" s="14" t="str">
        <f>"2208"</f>
        <v>2208</v>
      </c>
      <c r="E328" s="14" t="str">
        <f>"Условные вклады физических лиц"</f>
        <v>Условные вклады физических лиц</v>
      </c>
      <c r="F328" s="14" t="str">
        <f t="shared" ref="F328:F334" si="68">"1"</f>
        <v>1</v>
      </c>
      <c r="G328" s="14" t="str">
        <f t="shared" si="63"/>
        <v>9</v>
      </c>
      <c r="H328" s="14" t="str">
        <f>"1"</f>
        <v>1</v>
      </c>
      <c r="I328" s="6">
        <v>5000</v>
      </c>
    </row>
    <row r="329" spans="1:9" x14ac:dyDescent="0.25">
      <c r="A329" s="10">
        <v>319</v>
      </c>
      <c r="B329" s="1">
        <v>45930</v>
      </c>
      <c r="C329" s="14">
        <v>8</v>
      </c>
      <c r="D329" s="14" t="str">
        <f>"2211"</f>
        <v>2211</v>
      </c>
      <c r="E329" s="14" t="str">
        <f>"Вклады до востребования юридических лиц"</f>
        <v>Вклады до востребования юридических лиц</v>
      </c>
      <c r="F329" s="14" t="str">
        <f t="shared" si="68"/>
        <v>1</v>
      </c>
      <c r="G329" s="14" t="str">
        <f>"7"</f>
        <v>7</v>
      </c>
      <c r="H329" s="14" t="str">
        <f>"2"</f>
        <v>2</v>
      </c>
      <c r="I329" s="6">
        <v>172953900</v>
      </c>
    </row>
    <row r="330" spans="1:9" x14ac:dyDescent="0.25">
      <c r="A330" s="10">
        <v>320</v>
      </c>
      <c r="B330" s="1">
        <v>45930</v>
      </c>
      <c r="C330" s="14">
        <v>8</v>
      </c>
      <c r="D330" s="14" t="str">
        <f>"2211"</f>
        <v>2211</v>
      </c>
      <c r="E330" s="14" t="str">
        <f>"Вклады до востребования юридических лиц"</f>
        <v>Вклады до востребования юридических лиц</v>
      </c>
      <c r="F330" s="14" t="str">
        <f t="shared" si="68"/>
        <v>1</v>
      </c>
      <c r="G330" s="14" t="str">
        <f>"5"</f>
        <v>5</v>
      </c>
      <c r="H330" s="14" t="str">
        <f>"2"</f>
        <v>2</v>
      </c>
      <c r="I330" s="6">
        <v>1199322.74</v>
      </c>
    </row>
    <row r="331" spans="1:9" x14ac:dyDescent="0.25">
      <c r="A331" s="10">
        <v>321</v>
      </c>
      <c r="B331" s="1">
        <v>45930</v>
      </c>
      <c r="C331" s="14">
        <v>8</v>
      </c>
      <c r="D331" s="14" t="str">
        <f>"2212"</f>
        <v>2212</v>
      </c>
      <c r="E331" s="14" t="str">
        <f>"Металлические счета клиентов в аффинированных драгоценных металлах"</f>
        <v>Металлические счета клиентов в аффинированных драгоценных металлах</v>
      </c>
      <c r="F331" s="14" t="str">
        <f t="shared" si="68"/>
        <v>1</v>
      </c>
      <c r="G331" s="14" t="str">
        <f t="shared" ref="G331:G337" si="69">"9"</f>
        <v>9</v>
      </c>
      <c r="H331" s="14" t="str">
        <f>""</f>
        <v/>
      </c>
      <c r="I331" s="6">
        <v>985448851.95000005</v>
      </c>
    </row>
    <row r="332" spans="1:9" x14ac:dyDescent="0.25">
      <c r="A332" s="10">
        <v>322</v>
      </c>
      <c r="B332" s="1">
        <v>45930</v>
      </c>
      <c r="C332" s="14">
        <v>8</v>
      </c>
      <c r="D332" s="14" t="str">
        <f>"2213"</f>
        <v>2213</v>
      </c>
      <c r="E332" s="14" t="str">
        <f>"Краткосрочный вклад физических лиц, являющийся обеспечением обязательств клиентов"</f>
        <v>Краткосрочный вклад физических лиц, являющийся обеспечением обязательств клиентов</v>
      </c>
      <c r="F332" s="14" t="str">
        <f t="shared" si="68"/>
        <v>1</v>
      </c>
      <c r="G332" s="14" t="str">
        <f t="shared" si="69"/>
        <v>9</v>
      </c>
      <c r="H332" s="14" t="str">
        <f>"2"</f>
        <v>2</v>
      </c>
      <c r="I332" s="6">
        <v>10713385003.799999</v>
      </c>
    </row>
    <row r="333" spans="1:9" x14ac:dyDescent="0.25">
      <c r="A333" s="10">
        <v>323</v>
      </c>
      <c r="B333" s="1">
        <v>45930</v>
      </c>
      <c r="C333" s="14">
        <v>8</v>
      </c>
      <c r="D333" s="14" t="str">
        <f>"2213"</f>
        <v>2213</v>
      </c>
      <c r="E333" s="14" t="str">
        <f>"Краткосрочный вклад физических лиц, являющийся обеспечением обязательств клиентов"</f>
        <v>Краткосрочный вклад физических лиц, являющийся обеспечением обязательств клиентов</v>
      </c>
      <c r="F333" s="14" t="str">
        <f t="shared" si="68"/>
        <v>1</v>
      </c>
      <c r="G333" s="14" t="str">
        <f t="shared" si="69"/>
        <v>9</v>
      </c>
      <c r="H333" s="14" t="str">
        <f>"1"</f>
        <v>1</v>
      </c>
      <c r="I333" s="6">
        <v>19591266179.560001</v>
      </c>
    </row>
    <row r="334" spans="1:9" x14ac:dyDescent="0.25">
      <c r="A334" s="10">
        <v>324</v>
      </c>
      <c r="B334" s="1">
        <v>45930</v>
      </c>
      <c r="C334" s="14">
        <v>8</v>
      </c>
      <c r="D334" s="14" t="str">
        <f>"2214"</f>
        <v>2214</v>
      </c>
      <c r="E334" s="14" t="str">
        <f>"Сберегательные вклады физических лиц (не более одного года)"</f>
        <v>Сберегательные вклады физических лиц (не более одного года)</v>
      </c>
      <c r="F334" s="14" t="str">
        <f t="shared" si="68"/>
        <v>1</v>
      </c>
      <c r="G334" s="14" t="str">
        <f t="shared" si="69"/>
        <v>9</v>
      </c>
      <c r="H334" s="14" t="str">
        <f>"1"</f>
        <v>1</v>
      </c>
      <c r="I334" s="6">
        <v>147704845142.76001</v>
      </c>
    </row>
    <row r="335" spans="1:9" x14ac:dyDescent="0.25">
      <c r="A335" s="10">
        <v>325</v>
      </c>
      <c r="B335" s="1">
        <v>45930</v>
      </c>
      <c r="C335" s="14">
        <v>8</v>
      </c>
      <c r="D335" s="14" t="str">
        <f>"2214"</f>
        <v>2214</v>
      </c>
      <c r="E335" s="14" t="str">
        <f>"Сберегательные вклады физических лиц (не более одного года)"</f>
        <v>Сберегательные вклады физических лиц (не более одного года)</v>
      </c>
      <c r="F335" s="14" t="str">
        <f>"2"</f>
        <v>2</v>
      </c>
      <c r="G335" s="14" t="str">
        <f t="shared" si="69"/>
        <v>9</v>
      </c>
      <c r="H335" s="14" t="str">
        <f>"2"</f>
        <v>2</v>
      </c>
      <c r="I335" s="6">
        <v>421187019</v>
      </c>
    </row>
    <row r="336" spans="1:9" x14ac:dyDescent="0.25">
      <c r="A336" s="10">
        <v>326</v>
      </c>
      <c r="B336" s="1">
        <v>45930</v>
      </c>
      <c r="C336" s="14">
        <v>8</v>
      </c>
      <c r="D336" s="14" t="str">
        <f>"2214"</f>
        <v>2214</v>
      </c>
      <c r="E336" s="14" t="str">
        <f>"Сберегательные вклады физических лиц (не более одного года)"</f>
        <v>Сберегательные вклады физических лиц (не более одного года)</v>
      </c>
      <c r="F336" s="14" t="str">
        <f>"2"</f>
        <v>2</v>
      </c>
      <c r="G336" s="14" t="str">
        <f t="shared" si="69"/>
        <v>9</v>
      </c>
      <c r="H336" s="14" t="str">
        <f>"1"</f>
        <v>1</v>
      </c>
      <c r="I336" s="6">
        <v>7470209254.1899996</v>
      </c>
    </row>
    <row r="337" spans="1:9" x14ac:dyDescent="0.25">
      <c r="A337" s="10">
        <v>327</v>
      </c>
      <c r="B337" s="1">
        <v>45930</v>
      </c>
      <c r="C337" s="14">
        <v>8</v>
      </c>
      <c r="D337" s="14" t="str">
        <f>"2214"</f>
        <v>2214</v>
      </c>
      <c r="E337" s="14" t="str">
        <f>"Сберегательные вклады физических лиц (не более одного года)"</f>
        <v>Сберегательные вклады физических лиц (не более одного года)</v>
      </c>
      <c r="F337" s="14" t="str">
        <f>"1"</f>
        <v>1</v>
      </c>
      <c r="G337" s="14" t="str">
        <f t="shared" si="69"/>
        <v>9</v>
      </c>
      <c r="H337" s="14" t="str">
        <f>"2"</f>
        <v>2</v>
      </c>
      <c r="I337" s="6">
        <v>2487829511.1300001</v>
      </c>
    </row>
    <row r="338" spans="1:9" x14ac:dyDescent="0.25">
      <c r="A338" s="10">
        <v>328</v>
      </c>
      <c r="B338" s="1">
        <v>45930</v>
      </c>
      <c r="C338" s="14">
        <v>8</v>
      </c>
      <c r="D338" s="14" t="str">
        <f t="shared" ref="D338:D349" si="70">"2215"</f>
        <v>2215</v>
      </c>
      <c r="E338" s="14" t="str">
        <f t="shared" ref="E338:E349" si="71">"Краткосрочные вклады юридических лиц"</f>
        <v>Краткосрочные вклады юридических лиц</v>
      </c>
      <c r="F338" s="14" t="str">
        <f>"2"</f>
        <v>2</v>
      </c>
      <c r="G338" s="14" t="str">
        <f>"5"</f>
        <v>5</v>
      </c>
      <c r="H338" s="14" t="str">
        <f>"1"</f>
        <v>1</v>
      </c>
      <c r="I338" s="6">
        <v>119115277.22</v>
      </c>
    </row>
    <row r="339" spans="1:9" x14ac:dyDescent="0.25">
      <c r="A339" s="10">
        <v>329</v>
      </c>
      <c r="B339" s="1">
        <v>45930</v>
      </c>
      <c r="C339" s="14">
        <v>8</v>
      </c>
      <c r="D339" s="14" t="str">
        <f t="shared" si="70"/>
        <v>2215</v>
      </c>
      <c r="E339" s="14" t="str">
        <f t="shared" si="71"/>
        <v>Краткосрочные вклады юридических лиц</v>
      </c>
      <c r="F339" s="14" t="str">
        <f>"2"</f>
        <v>2</v>
      </c>
      <c r="G339" s="14" t="str">
        <f>"5"</f>
        <v>5</v>
      </c>
      <c r="H339" s="14" t="str">
        <f>"2"</f>
        <v>2</v>
      </c>
      <c r="I339" s="6">
        <v>112831830</v>
      </c>
    </row>
    <row r="340" spans="1:9" x14ac:dyDescent="0.25">
      <c r="A340" s="10">
        <v>330</v>
      </c>
      <c r="B340" s="1">
        <v>45930</v>
      </c>
      <c r="C340" s="14">
        <v>8</v>
      </c>
      <c r="D340" s="14" t="str">
        <f t="shared" si="70"/>
        <v>2215</v>
      </c>
      <c r="E340" s="14" t="str">
        <f t="shared" si="71"/>
        <v>Краткосрочные вклады юридических лиц</v>
      </c>
      <c r="F340" s="14" t="str">
        <f t="shared" ref="F340:F347" si="72">"1"</f>
        <v>1</v>
      </c>
      <c r="G340" s="14" t="str">
        <f>"5"</f>
        <v>5</v>
      </c>
      <c r="H340" s="14" t="str">
        <f>"2"</f>
        <v>2</v>
      </c>
      <c r="I340" s="6">
        <v>1459023896.9200001</v>
      </c>
    </row>
    <row r="341" spans="1:9" x14ac:dyDescent="0.25">
      <c r="A341" s="10">
        <v>331</v>
      </c>
      <c r="B341" s="1">
        <v>45930</v>
      </c>
      <c r="C341" s="14">
        <v>8</v>
      </c>
      <c r="D341" s="14" t="str">
        <f t="shared" si="70"/>
        <v>2215</v>
      </c>
      <c r="E341" s="14" t="str">
        <f t="shared" si="71"/>
        <v>Краткосрочные вклады юридических лиц</v>
      </c>
      <c r="F341" s="14" t="str">
        <f t="shared" si="72"/>
        <v>1</v>
      </c>
      <c r="G341" s="14" t="str">
        <f>"8"</f>
        <v>8</v>
      </c>
      <c r="H341" s="14" t="str">
        <f>"1"</f>
        <v>1</v>
      </c>
      <c r="I341" s="6">
        <v>19323677756.580002</v>
      </c>
    </row>
    <row r="342" spans="1:9" x14ac:dyDescent="0.25">
      <c r="A342" s="10">
        <v>332</v>
      </c>
      <c r="B342" s="1">
        <v>45930</v>
      </c>
      <c r="C342" s="14">
        <v>8</v>
      </c>
      <c r="D342" s="14" t="str">
        <f t="shared" si="70"/>
        <v>2215</v>
      </c>
      <c r="E342" s="14" t="str">
        <f t="shared" si="71"/>
        <v>Краткосрочные вклады юридических лиц</v>
      </c>
      <c r="F342" s="14" t="str">
        <f t="shared" si="72"/>
        <v>1</v>
      </c>
      <c r="G342" s="14" t="str">
        <f>"6"</f>
        <v>6</v>
      </c>
      <c r="H342" s="14" t="str">
        <f>"1"</f>
        <v>1</v>
      </c>
      <c r="I342" s="6">
        <v>56307981615.720001</v>
      </c>
    </row>
    <row r="343" spans="1:9" x14ac:dyDescent="0.25">
      <c r="A343" s="10">
        <v>333</v>
      </c>
      <c r="B343" s="1">
        <v>45930</v>
      </c>
      <c r="C343" s="14">
        <v>8</v>
      </c>
      <c r="D343" s="14" t="str">
        <f t="shared" si="70"/>
        <v>2215</v>
      </c>
      <c r="E343" s="14" t="str">
        <f t="shared" si="71"/>
        <v>Краткосрочные вклады юридических лиц</v>
      </c>
      <c r="F343" s="14" t="str">
        <f t="shared" si="72"/>
        <v>1</v>
      </c>
      <c r="G343" s="14" t="str">
        <f>"8"</f>
        <v>8</v>
      </c>
      <c r="H343" s="14" t="str">
        <f>"2"</f>
        <v>2</v>
      </c>
      <c r="I343" s="6">
        <v>2332381787.9699998</v>
      </c>
    </row>
    <row r="344" spans="1:9" x14ac:dyDescent="0.25">
      <c r="A344" s="10">
        <v>334</v>
      </c>
      <c r="B344" s="1">
        <v>45930</v>
      </c>
      <c r="C344" s="14">
        <v>8</v>
      </c>
      <c r="D344" s="14" t="str">
        <f t="shared" si="70"/>
        <v>2215</v>
      </c>
      <c r="E344" s="14" t="str">
        <f t="shared" si="71"/>
        <v>Краткосрочные вклады юридических лиц</v>
      </c>
      <c r="F344" s="14" t="str">
        <f t="shared" si="72"/>
        <v>1</v>
      </c>
      <c r="G344" s="14" t="str">
        <f>"7"</f>
        <v>7</v>
      </c>
      <c r="H344" s="14" t="str">
        <f>"1"</f>
        <v>1</v>
      </c>
      <c r="I344" s="6">
        <v>220614251805.53</v>
      </c>
    </row>
    <row r="345" spans="1:9" x14ac:dyDescent="0.25">
      <c r="A345" s="10">
        <v>335</v>
      </c>
      <c r="B345" s="1">
        <v>45930</v>
      </c>
      <c r="C345" s="14">
        <v>8</v>
      </c>
      <c r="D345" s="14" t="str">
        <f t="shared" si="70"/>
        <v>2215</v>
      </c>
      <c r="E345" s="14" t="str">
        <f t="shared" si="71"/>
        <v>Краткосрочные вклады юридических лиц</v>
      </c>
      <c r="F345" s="14" t="str">
        <f t="shared" si="72"/>
        <v>1</v>
      </c>
      <c r="G345" s="14" t="str">
        <f>"7"</f>
        <v>7</v>
      </c>
      <c r="H345" s="14" t="str">
        <f>"2"</f>
        <v>2</v>
      </c>
      <c r="I345" s="6">
        <v>56546322872.660004</v>
      </c>
    </row>
    <row r="346" spans="1:9" x14ac:dyDescent="0.25">
      <c r="A346" s="10">
        <v>336</v>
      </c>
      <c r="B346" s="1">
        <v>45930</v>
      </c>
      <c r="C346" s="14">
        <v>8</v>
      </c>
      <c r="D346" s="14" t="str">
        <f t="shared" si="70"/>
        <v>2215</v>
      </c>
      <c r="E346" s="14" t="str">
        <f t="shared" si="71"/>
        <v>Краткосрочные вклады юридических лиц</v>
      </c>
      <c r="F346" s="14" t="str">
        <f t="shared" si="72"/>
        <v>1</v>
      </c>
      <c r="G346" s="14" t="str">
        <f>"5"</f>
        <v>5</v>
      </c>
      <c r="H346" s="14" t="str">
        <f>"1"</f>
        <v>1</v>
      </c>
      <c r="I346" s="6">
        <v>88173713422.809998</v>
      </c>
    </row>
    <row r="347" spans="1:9" x14ac:dyDescent="0.25">
      <c r="A347" s="10">
        <v>337</v>
      </c>
      <c r="B347" s="1">
        <v>45930</v>
      </c>
      <c r="C347" s="14">
        <v>8</v>
      </c>
      <c r="D347" s="14" t="str">
        <f t="shared" si="70"/>
        <v>2215</v>
      </c>
      <c r="E347" s="14" t="str">
        <f t="shared" si="71"/>
        <v>Краткосрочные вклады юридических лиц</v>
      </c>
      <c r="F347" s="14" t="str">
        <f t="shared" si="72"/>
        <v>1</v>
      </c>
      <c r="G347" s="14" t="str">
        <f>"7"</f>
        <v>7</v>
      </c>
      <c r="H347" s="14" t="str">
        <f>"3"</f>
        <v>3</v>
      </c>
      <c r="I347" s="6">
        <v>2316588444.79</v>
      </c>
    </row>
    <row r="348" spans="1:9" x14ac:dyDescent="0.25">
      <c r="A348" s="10">
        <v>338</v>
      </c>
      <c r="B348" s="1">
        <v>45930</v>
      </c>
      <c r="C348" s="14">
        <v>8</v>
      </c>
      <c r="D348" s="14" t="str">
        <f t="shared" si="70"/>
        <v>2215</v>
      </c>
      <c r="E348" s="14" t="str">
        <f t="shared" si="71"/>
        <v>Краткосрочные вклады юридических лиц</v>
      </c>
      <c r="F348" s="14" t="str">
        <f>"2"</f>
        <v>2</v>
      </c>
      <c r="G348" s="14" t="str">
        <f>"7"</f>
        <v>7</v>
      </c>
      <c r="H348" s="14" t="str">
        <f>"1"</f>
        <v>1</v>
      </c>
      <c r="I348" s="6">
        <v>1238171496.4400001</v>
      </c>
    </row>
    <row r="349" spans="1:9" x14ac:dyDescent="0.25">
      <c r="A349" s="10">
        <v>339</v>
      </c>
      <c r="B349" s="1">
        <v>45930</v>
      </c>
      <c r="C349" s="14">
        <v>8</v>
      </c>
      <c r="D349" s="14" t="str">
        <f t="shared" si="70"/>
        <v>2215</v>
      </c>
      <c r="E349" s="14" t="str">
        <f t="shared" si="71"/>
        <v>Краткосрочные вклады юридических лиц</v>
      </c>
      <c r="F349" s="14" t="str">
        <f>"2"</f>
        <v>2</v>
      </c>
      <c r="G349" s="14" t="str">
        <f>"7"</f>
        <v>7</v>
      </c>
      <c r="H349" s="14" t="str">
        <f>"2"</f>
        <v>2</v>
      </c>
      <c r="I349" s="6">
        <v>123567706489.13</v>
      </c>
    </row>
    <row r="350" spans="1:9" x14ac:dyDescent="0.25">
      <c r="A350" s="10">
        <v>340</v>
      </c>
      <c r="B350" s="1">
        <v>45930</v>
      </c>
      <c r="C350" s="14">
        <v>8</v>
      </c>
      <c r="D350" s="14" t="str">
        <f>"2217"</f>
        <v>2217</v>
      </c>
      <c r="E350" s="14" t="str">
        <f>"Долгосрочные вклады юридических лиц"</f>
        <v>Долгосрочные вклады юридических лиц</v>
      </c>
      <c r="F350" s="14" t="str">
        <f>"1"</f>
        <v>1</v>
      </c>
      <c r="G350" s="14" t="str">
        <f>"8"</f>
        <v>8</v>
      </c>
      <c r="H350" s="14" t="str">
        <f>"1"</f>
        <v>1</v>
      </c>
      <c r="I350" s="6">
        <v>10757000</v>
      </c>
    </row>
    <row r="351" spans="1:9" x14ac:dyDescent="0.25">
      <c r="A351" s="10">
        <v>341</v>
      </c>
      <c r="B351" s="1">
        <v>45930</v>
      </c>
      <c r="C351" s="14">
        <v>8</v>
      </c>
      <c r="D351" s="14" t="str">
        <f>"2217"</f>
        <v>2217</v>
      </c>
      <c r="E351" s="14" t="str">
        <f>"Долгосрочные вклады юридических лиц"</f>
        <v>Долгосрочные вклады юридических лиц</v>
      </c>
      <c r="F351" s="14" t="str">
        <f>"1"</f>
        <v>1</v>
      </c>
      <c r="G351" s="14" t="str">
        <f>"7"</f>
        <v>7</v>
      </c>
      <c r="H351" s="14" t="str">
        <f>"1"</f>
        <v>1</v>
      </c>
      <c r="I351" s="6">
        <v>6315197895.6800003</v>
      </c>
    </row>
    <row r="352" spans="1:9" x14ac:dyDescent="0.25">
      <c r="A352" s="10">
        <v>342</v>
      </c>
      <c r="B352" s="1">
        <v>45930</v>
      </c>
      <c r="C352" s="14">
        <v>8</v>
      </c>
      <c r="D352" s="14" t="str">
        <f>"2217"</f>
        <v>2217</v>
      </c>
      <c r="E352" s="14" t="str">
        <f>"Долгосрочные вклады юридических лиц"</f>
        <v>Долгосрочные вклады юридических лиц</v>
      </c>
      <c r="F352" s="14" t="str">
        <f>"2"</f>
        <v>2</v>
      </c>
      <c r="G352" s="14" t="str">
        <f>"5"</f>
        <v>5</v>
      </c>
      <c r="H352" s="14" t="str">
        <f>"2"</f>
        <v>2</v>
      </c>
      <c r="I352" s="6">
        <v>3013914486.8099999</v>
      </c>
    </row>
    <row r="353" spans="1:9" x14ac:dyDescent="0.25">
      <c r="A353" s="10">
        <v>343</v>
      </c>
      <c r="B353" s="1">
        <v>45930</v>
      </c>
      <c r="C353" s="14">
        <v>8</v>
      </c>
      <c r="D353" s="14" t="str">
        <f>"2217"</f>
        <v>2217</v>
      </c>
      <c r="E353" s="14" t="str">
        <f>"Долгосрочные вклады юридических лиц"</f>
        <v>Долгосрочные вклады юридических лиц</v>
      </c>
      <c r="F353" s="14" t="str">
        <f t="shared" ref="F353:F363" si="73">"1"</f>
        <v>1</v>
      </c>
      <c r="G353" s="14" t="str">
        <f>"5"</f>
        <v>5</v>
      </c>
      <c r="H353" s="14" t="str">
        <f>"1"</f>
        <v>1</v>
      </c>
      <c r="I353" s="6">
        <v>3774870000</v>
      </c>
    </row>
    <row r="354" spans="1:9" x14ac:dyDescent="0.25">
      <c r="A354" s="10">
        <v>344</v>
      </c>
      <c r="B354" s="1">
        <v>45930</v>
      </c>
      <c r="C354" s="14">
        <v>8</v>
      </c>
      <c r="D354" s="14" t="str">
        <f>"2217"</f>
        <v>2217</v>
      </c>
      <c r="E354" s="14" t="str">
        <f>"Долгосрочные вклады юридических лиц"</f>
        <v>Долгосрочные вклады юридических лиц</v>
      </c>
      <c r="F354" s="14" t="str">
        <f t="shared" si="73"/>
        <v>1</v>
      </c>
      <c r="G354" s="14" t="str">
        <f>"7"</f>
        <v>7</v>
      </c>
      <c r="H354" s="14" t="str">
        <f>"2"</f>
        <v>2</v>
      </c>
      <c r="I354" s="6">
        <v>10144896345.49</v>
      </c>
    </row>
    <row r="355" spans="1:9" x14ac:dyDescent="0.25">
      <c r="A355" s="10">
        <v>345</v>
      </c>
      <c r="B355" s="1">
        <v>45930</v>
      </c>
      <c r="C355" s="14">
        <v>8</v>
      </c>
      <c r="D355" s="14" t="str">
        <f>"2218"</f>
        <v>2218</v>
      </c>
      <c r="E355" s="14" t="str">
        <f>"Сберегательные вклады юридических лиц (более одного года)"</f>
        <v>Сберегательные вклады юридических лиц (более одного года)</v>
      </c>
      <c r="F355" s="14" t="str">
        <f t="shared" si="73"/>
        <v>1</v>
      </c>
      <c r="G355" s="14" t="str">
        <f>"5"</f>
        <v>5</v>
      </c>
      <c r="H355" s="14" t="str">
        <f>"3"</f>
        <v>3</v>
      </c>
      <c r="I355" s="6">
        <v>6660000</v>
      </c>
    </row>
    <row r="356" spans="1:9" x14ac:dyDescent="0.25">
      <c r="A356" s="10">
        <v>346</v>
      </c>
      <c r="B356" s="1">
        <v>45930</v>
      </c>
      <c r="C356" s="14">
        <v>8</v>
      </c>
      <c r="D356" s="14" t="str">
        <f>"2218"</f>
        <v>2218</v>
      </c>
      <c r="E356" s="14" t="str">
        <f>"Сберегательные вклады юридических лиц (более одного года)"</f>
        <v>Сберегательные вклады юридических лиц (более одного года)</v>
      </c>
      <c r="F356" s="14" t="str">
        <f t="shared" si="73"/>
        <v>1</v>
      </c>
      <c r="G356" s="14" t="str">
        <f>"5"</f>
        <v>5</v>
      </c>
      <c r="H356" s="14" t="str">
        <f>"1"</f>
        <v>1</v>
      </c>
      <c r="I356" s="6">
        <v>2081089885.74</v>
      </c>
    </row>
    <row r="357" spans="1:9" x14ac:dyDescent="0.25">
      <c r="A357" s="10">
        <v>347</v>
      </c>
      <c r="B357" s="1">
        <v>45930</v>
      </c>
      <c r="C357" s="14">
        <v>8</v>
      </c>
      <c r="D357" s="14" t="str">
        <f>"2219"</f>
        <v>2219</v>
      </c>
      <c r="E357" s="14" t="str">
        <f>"Условные вклады юридических лиц"</f>
        <v>Условные вклады юридических лиц</v>
      </c>
      <c r="F357" s="14" t="str">
        <f t="shared" si="73"/>
        <v>1</v>
      </c>
      <c r="G357" s="14" t="str">
        <f>"6"</f>
        <v>6</v>
      </c>
      <c r="H357" s="14" t="str">
        <f>"1"</f>
        <v>1</v>
      </c>
      <c r="I357" s="6">
        <v>299430389.23000002</v>
      </c>
    </row>
    <row r="358" spans="1:9" x14ac:dyDescent="0.25">
      <c r="A358" s="10">
        <v>348</v>
      </c>
      <c r="B358" s="1">
        <v>45930</v>
      </c>
      <c r="C358" s="14">
        <v>8</v>
      </c>
      <c r="D358" s="14" t="str">
        <f>"2219"</f>
        <v>2219</v>
      </c>
      <c r="E358" s="14" t="str">
        <f>"Условные вклады юридических лиц"</f>
        <v>Условные вклады юридических лиц</v>
      </c>
      <c r="F358" s="14" t="str">
        <f t="shared" si="73"/>
        <v>1</v>
      </c>
      <c r="G358" s="14" t="str">
        <f>"7"</f>
        <v>7</v>
      </c>
      <c r="H358" s="14" t="str">
        <f>"2"</f>
        <v>2</v>
      </c>
      <c r="I358" s="6">
        <v>6882175011.0500002</v>
      </c>
    </row>
    <row r="359" spans="1:9" x14ac:dyDescent="0.25">
      <c r="A359" s="10">
        <v>349</v>
      </c>
      <c r="B359" s="1">
        <v>45930</v>
      </c>
      <c r="C359" s="14">
        <v>8</v>
      </c>
      <c r="D359" s="14" t="str">
        <f>"2219"</f>
        <v>2219</v>
      </c>
      <c r="E359" s="14" t="str">
        <f>"Условные вклады юридических лиц"</f>
        <v>Условные вклады юридических лиц</v>
      </c>
      <c r="F359" s="14" t="str">
        <f t="shared" si="73"/>
        <v>1</v>
      </c>
      <c r="G359" s="14" t="str">
        <f>"7"</f>
        <v>7</v>
      </c>
      <c r="H359" s="14" t="str">
        <f>"1"</f>
        <v>1</v>
      </c>
      <c r="I359" s="6">
        <v>10694269616.09</v>
      </c>
    </row>
    <row r="360" spans="1:9" x14ac:dyDescent="0.25">
      <c r="A360" s="10">
        <v>350</v>
      </c>
      <c r="B360" s="1">
        <v>45930</v>
      </c>
      <c r="C360" s="14">
        <v>8</v>
      </c>
      <c r="D360" s="14" t="str">
        <f t="shared" ref="D360:D370" si="74">"2220"</f>
        <v>2220</v>
      </c>
      <c r="E360" s="14" t="str">
        <f t="shared" ref="E360:E370" si="75">"Сберегательные вклады юридических лиц (не более одного года)"</f>
        <v>Сберегательные вклады юридических лиц (не более одного года)</v>
      </c>
      <c r="F360" s="14" t="str">
        <f t="shared" si="73"/>
        <v>1</v>
      </c>
      <c r="G360" s="14" t="str">
        <f>"5"</f>
        <v>5</v>
      </c>
      <c r="H360" s="14" t="str">
        <f>"1"</f>
        <v>1</v>
      </c>
      <c r="I360" s="6">
        <v>4467961069.3999996</v>
      </c>
    </row>
    <row r="361" spans="1:9" x14ac:dyDescent="0.25">
      <c r="A361" s="10">
        <v>351</v>
      </c>
      <c r="B361" s="1">
        <v>45930</v>
      </c>
      <c r="C361" s="14">
        <v>8</v>
      </c>
      <c r="D361" s="14" t="str">
        <f t="shared" si="74"/>
        <v>2220</v>
      </c>
      <c r="E361" s="14" t="str">
        <f t="shared" si="75"/>
        <v>Сберегательные вклады юридических лиц (не более одного года)</v>
      </c>
      <c r="F361" s="14" t="str">
        <f t="shared" si="73"/>
        <v>1</v>
      </c>
      <c r="G361" s="14" t="str">
        <f>"5"</f>
        <v>5</v>
      </c>
      <c r="H361" s="14" t="str">
        <f>"3"</f>
        <v>3</v>
      </c>
      <c r="I361" s="6">
        <v>233100000</v>
      </c>
    </row>
    <row r="362" spans="1:9" x14ac:dyDescent="0.25">
      <c r="A362" s="10">
        <v>352</v>
      </c>
      <c r="B362" s="1">
        <v>45930</v>
      </c>
      <c r="C362" s="14">
        <v>8</v>
      </c>
      <c r="D362" s="14" t="str">
        <f t="shared" si="74"/>
        <v>2220</v>
      </c>
      <c r="E362" s="14" t="str">
        <f t="shared" si="75"/>
        <v>Сберегательные вклады юридических лиц (не более одного года)</v>
      </c>
      <c r="F362" s="14" t="str">
        <f t="shared" si="73"/>
        <v>1</v>
      </c>
      <c r="G362" s="14" t="str">
        <f>"8"</f>
        <v>8</v>
      </c>
      <c r="H362" s="14" t="str">
        <f>"1"</f>
        <v>1</v>
      </c>
      <c r="I362" s="6">
        <v>2763680000</v>
      </c>
    </row>
    <row r="363" spans="1:9" x14ac:dyDescent="0.25">
      <c r="A363" s="10">
        <v>353</v>
      </c>
      <c r="B363" s="1">
        <v>45930</v>
      </c>
      <c r="C363" s="14">
        <v>8</v>
      </c>
      <c r="D363" s="14" t="str">
        <f t="shared" si="74"/>
        <v>2220</v>
      </c>
      <c r="E363" s="14" t="str">
        <f t="shared" si="75"/>
        <v>Сберегательные вклады юридических лиц (не более одного года)</v>
      </c>
      <c r="F363" s="14" t="str">
        <f t="shared" si="73"/>
        <v>1</v>
      </c>
      <c r="G363" s="14" t="str">
        <f>"7"</f>
        <v>7</v>
      </c>
      <c r="H363" s="14" t="str">
        <f>"1"</f>
        <v>1</v>
      </c>
      <c r="I363" s="6">
        <v>38386762239.68</v>
      </c>
    </row>
    <row r="364" spans="1:9" x14ac:dyDescent="0.25">
      <c r="A364" s="10">
        <v>354</v>
      </c>
      <c r="B364" s="1">
        <v>45930</v>
      </c>
      <c r="C364" s="14">
        <v>8</v>
      </c>
      <c r="D364" s="14" t="str">
        <f t="shared" si="74"/>
        <v>2220</v>
      </c>
      <c r="E364" s="14" t="str">
        <f t="shared" si="75"/>
        <v>Сберегательные вклады юридических лиц (не более одного года)</v>
      </c>
      <c r="F364" s="14" t="str">
        <f>"2"</f>
        <v>2</v>
      </c>
      <c r="G364" s="14" t="str">
        <f>"5"</f>
        <v>5</v>
      </c>
      <c r="H364" s="14" t="str">
        <f>"3"</f>
        <v>3</v>
      </c>
      <c r="I364" s="6">
        <v>350982000</v>
      </c>
    </row>
    <row r="365" spans="1:9" x14ac:dyDescent="0.25">
      <c r="A365" s="10">
        <v>355</v>
      </c>
      <c r="B365" s="1">
        <v>45930</v>
      </c>
      <c r="C365" s="14">
        <v>8</v>
      </c>
      <c r="D365" s="14" t="str">
        <f t="shared" si="74"/>
        <v>2220</v>
      </c>
      <c r="E365" s="14" t="str">
        <f t="shared" si="75"/>
        <v>Сберегательные вклады юридических лиц (не более одного года)</v>
      </c>
      <c r="F365" s="14" t="str">
        <f>"1"</f>
        <v>1</v>
      </c>
      <c r="G365" s="14" t="str">
        <f>"7"</f>
        <v>7</v>
      </c>
      <c r="H365" s="14" t="str">
        <f>"2"</f>
        <v>2</v>
      </c>
      <c r="I365" s="6">
        <v>27165058956.939999</v>
      </c>
    </row>
    <row r="366" spans="1:9" x14ac:dyDescent="0.25">
      <c r="A366" s="10">
        <v>356</v>
      </c>
      <c r="B366" s="1">
        <v>45930</v>
      </c>
      <c r="C366" s="14">
        <v>8</v>
      </c>
      <c r="D366" s="14" t="str">
        <f t="shared" si="74"/>
        <v>2220</v>
      </c>
      <c r="E366" s="14" t="str">
        <f t="shared" si="75"/>
        <v>Сберегательные вклады юридических лиц (не более одного года)</v>
      </c>
      <c r="F366" s="14" t="str">
        <f>"2"</f>
        <v>2</v>
      </c>
      <c r="G366" s="14" t="str">
        <f>"7"</f>
        <v>7</v>
      </c>
      <c r="H366" s="14" t="str">
        <f>"2"</f>
        <v>2</v>
      </c>
      <c r="I366" s="6">
        <v>10549284311.120001</v>
      </c>
    </row>
    <row r="367" spans="1:9" x14ac:dyDescent="0.25">
      <c r="A367" s="10">
        <v>357</v>
      </c>
      <c r="B367" s="1">
        <v>45930</v>
      </c>
      <c r="C367" s="14">
        <v>8</v>
      </c>
      <c r="D367" s="14" t="str">
        <f t="shared" si="74"/>
        <v>2220</v>
      </c>
      <c r="E367" s="14" t="str">
        <f t="shared" si="75"/>
        <v>Сберегательные вклады юридических лиц (не более одного года)</v>
      </c>
      <c r="F367" s="14" t="str">
        <f>"1"</f>
        <v>1</v>
      </c>
      <c r="G367" s="14" t="str">
        <f>"6"</f>
        <v>6</v>
      </c>
      <c r="H367" s="14" t="str">
        <f>"1"</f>
        <v>1</v>
      </c>
      <c r="I367" s="6">
        <v>14484120678.969999</v>
      </c>
    </row>
    <row r="368" spans="1:9" x14ac:dyDescent="0.25">
      <c r="A368" s="10">
        <v>358</v>
      </c>
      <c r="B368" s="1">
        <v>45930</v>
      </c>
      <c r="C368" s="14">
        <v>8</v>
      </c>
      <c r="D368" s="14" t="str">
        <f t="shared" si="74"/>
        <v>2220</v>
      </c>
      <c r="E368" s="14" t="str">
        <f t="shared" si="75"/>
        <v>Сберегательные вклады юридических лиц (не более одного года)</v>
      </c>
      <c r="F368" s="14" t="str">
        <f>"1"</f>
        <v>1</v>
      </c>
      <c r="G368" s="14" t="str">
        <f>"6"</f>
        <v>6</v>
      </c>
      <c r="H368" s="14" t="str">
        <f>"2"</f>
        <v>2</v>
      </c>
      <c r="I368" s="6">
        <v>987209880</v>
      </c>
    </row>
    <row r="369" spans="1:9" x14ac:dyDescent="0.25">
      <c r="A369" s="10">
        <v>359</v>
      </c>
      <c r="B369" s="1">
        <v>45930</v>
      </c>
      <c r="C369" s="14">
        <v>8</v>
      </c>
      <c r="D369" s="14" t="str">
        <f t="shared" si="74"/>
        <v>2220</v>
      </c>
      <c r="E369" s="14" t="str">
        <f t="shared" si="75"/>
        <v>Сберегательные вклады юридических лиц (не более одного года)</v>
      </c>
      <c r="F369" s="14" t="str">
        <f>"2"</f>
        <v>2</v>
      </c>
      <c r="G369" s="14" t="str">
        <f>"7"</f>
        <v>7</v>
      </c>
      <c r="H369" s="14" t="str">
        <f>"1"</f>
        <v>1</v>
      </c>
      <c r="I369" s="6">
        <v>300000000</v>
      </c>
    </row>
    <row r="370" spans="1:9" x14ac:dyDescent="0.25">
      <c r="A370" s="10">
        <v>360</v>
      </c>
      <c r="B370" s="1">
        <v>45930</v>
      </c>
      <c r="C370" s="14">
        <v>8</v>
      </c>
      <c r="D370" s="14" t="str">
        <f t="shared" si="74"/>
        <v>2220</v>
      </c>
      <c r="E370" s="14" t="str">
        <f t="shared" si="75"/>
        <v>Сберегательные вклады юридических лиц (не более одного года)</v>
      </c>
      <c r="F370" s="14" t="str">
        <f>"2"</f>
        <v>2</v>
      </c>
      <c r="G370" s="14" t="str">
        <f>"5"</f>
        <v>5</v>
      </c>
      <c r="H370" s="14" t="str">
        <f>"2"</f>
        <v>2</v>
      </c>
      <c r="I370" s="6">
        <v>1075181350</v>
      </c>
    </row>
    <row r="371" spans="1:9" x14ac:dyDescent="0.25">
      <c r="A371" s="10">
        <v>361</v>
      </c>
      <c r="B371" s="1">
        <v>45930</v>
      </c>
      <c r="C371" s="14">
        <v>8</v>
      </c>
      <c r="D371" s="14" t="str">
        <f>"2223"</f>
        <v>2223</v>
      </c>
      <c r="E371" s="14" t="str">
        <f>"Вклад юридических лиц, являющийся обеспечением обязательств клиентов"</f>
        <v>Вклад юридических лиц, являющийся обеспечением обязательств клиентов</v>
      </c>
      <c r="F371" s="14" t="str">
        <f t="shared" ref="F371:F377" si="76">"1"</f>
        <v>1</v>
      </c>
      <c r="G371" s="14" t="str">
        <f>"7"</f>
        <v>7</v>
      </c>
      <c r="H371" s="14" t="str">
        <f>"1"</f>
        <v>1</v>
      </c>
      <c r="I371" s="6">
        <v>13696779401.379999</v>
      </c>
    </row>
    <row r="372" spans="1:9" x14ac:dyDescent="0.25">
      <c r="A372" s="10">
        <v>362</v>
      </c>
      <c r="B372" s="1">
        <v>45930</v>
      </c>
      <c r="C372" s="14">
        <v>8</v>
      </c>
      <c r="D372" s="14" t="str">
        <f>"2223"</f>
        <v>2223</v>
      </c>
      <c r="E372" s="14" t="str">
        <f>"Вклад юридических лиц, являющийся обеспечением обязательств клиентов"</f>
        <v>Вклад юридических лиц, являющийся обеспечением обязательств клиентов</v>
      </c>
      <c r="F372" s="14" t="str">
        <f t="shared" si="76"/>
        <v>1</v>
      </c>
      <c r="G372" s="14" t="str">
        <f>"5"</f>
        <v>5</v>
      </c>
      <c r="H372" s="14" t="str">
        <f>"1"</f>
        <v>1</v>
      </c>
      <c r="I372" s="6">
        <v>9027480596.8899994</v>
      </c>
    </row>
    <row r="373" spans="1:9" x14ac:dyDescent="0.25">
      <c r="A373" s="10">
        <v>363</v>
      </c>
      <c r="B373" s="1">
        <v>45930</v>
      </c>
      <c r="C373" s="14">
        <v>8</v>
      </c>
      <c r="D373" s="14" t="str">
        <f>"2223"</f>
        <v>2223</v>
      </c>
      <c r="E373" s="14" t="str">
        <f>"Вклад юридических лиц, являющийся обеспечением обязательств клиентов"</f>
        <v>Вклад юридических лиц, являющийся обеспечением обязательств клиентов</v>
      </c>
      <c r="F373" s="14" t="str">
        <f t="shared" si="76"/>
        <v>1</v>
      </c>
      <c r="G373" s="14" t="str">
        <f>"7"</f>
        <v>7</v>
      </c>
      <c r="H373" s="14" t="str">
        <f>"2"</f>
        <v>2</v>
      </c>
      <c r="I373" s="6">
        <v>20527207672.93</v>
      </c>
    </row>
    <row r="374" spans="1:9" x14ac:dyDescent="0.25">
      <c r="A374" s="10">
        <v>364</v>
      </c>
      <c r="B374" s="1">
        <v>45930</v>
      </c>
      <c r="C374" s="14">
        <v>8</v>
      </c>
      <c r="D374" s="14" t="str">
        <f>"2227"</f>
        <v>2227</v>
      </c>
      <c r="E374" s="14" t="str">
        <f>"Обязательства по аренде"</f>
        <v>Обязательства по аренде</v>
      </c>
      <c r="F374" s="14" t="str">
        <f t="shared" si="76"/>
        <v>1</v>
      </c>
      <c r="G374" s="14" t="str">
        <f>"9"</f>
        <v>9</v>
      </c>
      <c r="H374" s="14" t="str">
        <f>"1"</f>
        <v>1</v>
      </c>
      <c r="I374" s="6">
        <v>962179328.66999996</v>
      </c>
    </row>
    <row r="375" spans="1:9" x14ac:dyDescent="0.25">
      <c r="A375" s="10">
        <v>365</v>
      </c>
      <c r="B375" s="1">
        <v>45930</v>
      </c>
      <c r="C375" s="14">
        <v>8</v>
      </c>
      <c r="D375" s="14" t="str">
        <f>"2227"</f>
        <v>2227</v>
      </c>
      <c r="E375" s="14" t="str">
        <f>"Обязательства по аренде"</f>
        <v>Обязательства по аренде</v>
      </c>
      <c r="F375" s="14" t="str">
        <f t="shared" si="76"/>
        <v>1</v>
      </c>
      <c r="G375" s="14" t="str">
        <f>"7"</f>
        <v>7</v>
      </c>
      <c r="H375" s="14" t="str">
        <f>"1"</f>
        <v>1</v>
      </c>
      <c r="I375" s="6">
        <v>529649514.77999997</v>
      </c>
    </row>
    <row r="376" spans="1:9" x14ac:dyDescent="0.25">
      <c r="A376" s="10">
        <v>366</v>
      </c>
      <c r="B376" s="1">
        <v>45930</v>
      </c>
      <c r="C376" s="14">
        <v>8</v>
      </c>
      <c r="D376" s="14" t="str">
        <f>"2229"</f>
        <v>2229</v>
      </c>
      <c r="E376" s="14" t="str">
        <f>"Сберегательные вклады физических лиц (более одного года)"</f>
        <v>Сберегательные вклады физических лиц (более одного года)</v>
      </c>
      <c r="F376" s="14" t="str">
        <f t="shared" si="76"/>
        <v>1</v>
      </c>
      <c r="G376" s="14" t="str">
        <f>"9"</f>
        <v>9</v>
      </c>
      <c r="H376" s="14" t="str">
        <f>"2"</f>
        <v>2</v>
      </c>
      <c r="I376" s="6">
        <v>15635823.199999999</v>
      </c>
    </row>
    <row r="377" spans="1:9" x14ac:dyDescent="0.25">
      <c r="A377" s="10">
        <v>367</v>
      </c>
      <c r="B377" s="1">
        <v>45930</v>
      </c>
      <c r="C377" s="14">
        <v>8</v>
      </c>
      <c r="D377" s="14" t="str">
        <f>"2229"</f>
        <v>2229</v>
      </c>
      <c r="E377" s="14" t="str">
        <f>"Сберегательные вклады физических лиц (более одного года)"</f>
        <v>Сберегательные вклады физических лиц (более одного года)</v>
      </c>
      <c r="F377" s="14" t="str">
        <f t="shared" si="76"/>
        <v>1</v>
      </c>
      <c r="G377" s="14" t="str">
        <f>"9"</f>
        <v>9</v>
      </c>
      <c r="H377" s="14" t="str">
        <f>"1"</f>
        <v>1</v>
      </c>
      <c r="I377" s="6">
        <v>291857682.22000003</v>
      </c>
    </row>
    <row r="378" spans="1:9" x14ac:dyDescent="0.25">
      <c r="A378" s="10">
        <v>368</v>
      </c>
      <c r="B378" s="1">
        <v>45930</v>
      </c>
      <c r="C378" s="14">
        <v>8</v>
      </c>
      <c r="D378" s="14" t="str">
        <f>"2229"</f>
        <v>2229</v>
      </c>
      <c r="E378" s="14" t="str">
        <f>"Сберегательные вклады физических лиц (более одного года)"</f>
        <v>Сберегательные вклады физических лиц (более одного года)</v>
      </c>
      <c r="F378" s="14" t="str">
        <f>"2"</f>
        <v>2</v>
      </c>
      <c r="G378" s="14" t="str">
        <f>"9"</f>
        <v>9</v>
      </c>
      <c r="H378" s="14" t="str">
        <f>"1"</f>
        <v>1</v>
      </c>
      <c r="I378" s="6">
        <v>24661.54</v>
      </c>
    </row>
    <row r="379" spans="1:9" x14ac:dyDescent="0.25">
      <c r="A379" s="10">
        <v>369</v>
      </c>
      <c r="B379" s="1">
        <v>45930</v>
      </c>
      <c r="C379" s="14">
        <v>8</v>
      </c>
      <c r="D379" s="14" t="str">
        <f t="shared" ref="D379:D396" si="77">"2237"</f>
        <v>2237</v>
      </c>
      <c r="E379" s="14" t="str">
        <f t="shared" ref="E379:E396" si="78">"Счет хранения указаний отправителя в соответствии с валютным законодательством Республики Казахстан"</f>
        <v>Счет хранения указаний отправителя в соответствии с валютным законодательством Республики Казахстан</v>
      </c>
      <c r="F379" s="14" t="str">
        <f t="shared" ref="F379:F388" si="79">"1"</f>
        <v>1</v>
      </c>
      <c r="G379" s="14" t="str">
        <f>"5"</f>
        <v>5</v>
      </c>
      <c r="H379" s="14" t="str">
        <f>"3"</f>
        <v>3</v>
      </c>
      <c r="I379" s="6">
        <v>374118.84</v>
      </c>
    </row>
    <row r="380" spans="1:9" x14ac:dyDescent="0.25">
      <c r="A380" s="10">
        <v>370</v>
      </c>
      <c r="B380" s="1">
        <v>45930</v>
      </c>
      <c r="C380" s="14">
        <v>8</v>
      </c>
      <c r="D380" s="14" t="str">
        <f t="shared" si="77"/>
        <v>2237</v>
      </c>
      <c r="E380" s="14" t="str">
        <f t="shared" si="78"/>
        <v>Счет хранения указаний отправителя в соответствии с валютным законодательством Республики Казахстан</v>
      </c>
      <c r="F380" s="14" t="str">
        <f t="shared" si="79"/>
        <v>1</v>
      </c>
      <c r="G380" s="14" t="str">
        <f>"5"</f>
        <v>5</v>
      </c>
      <c r="H380" s="14" t="str">
        <f>"2"</f>
        <v>2</v>
      </c>
      <c r="I380" s="6">
        <v>41780566.960000001</v>
      </c>
    </row>
    <row r="381" spans="1:9" x14ac:dyDescent="0.25">
      <c r="A381" s="10">
        <v>371</v>
      </c>
      <c r="B381" s="1">
        <v>45930</v>
      </c>
      <c r="C381" s="14">
        <v>8</v>
      </c>
      <c r="D381" s="14" t="str">
        <f t="shared" si="77"/>
        <v>2237</v>
      </c>
      <c r="E381" s="14" t="str">
        <f t="shared" si="78"/>
        <v>Счет хранения указаний отправителя в соответствии с валютным законодательством Республики Казахстан</v>
      </c>
      <c r="F381" s="14" t="str">
        <f t="shared" si="79"/>
        <v>1</v>
      </c>
      <c r="G381" s="14" t="str">
        <f>"7"</f>
        <v>7</v>
      </c>
      <c r="H381" s="14" t="str">
        <f>"3"</f>
        <v>3</v>
      </c>
      <c r="I381" s="6">
        <v>124874223.83</v>
      </c>
    </row>
    <row r="382" spans="1:9" x14ac:dyDescent="0.25">
      <c r="A382" s="10">
        <v>372</v>
      </c>
      <c r="B382" s="1">
        <v>45930</v>
      </c>
      <c r="C382" s="14">
        <v>8</v>
      </c>
      <c r="D382" s="14" t="str">
        <f t="shared" si="77"/>
        <v>2237</v>
      </c>
      <c r="E382" s="14" t="str">
        <f t="shared" si="78"/>
        <v>Счет хранения указаний отправителя в соответствии с валютным законодательством Республики Казахстан</v>
      </c>
      <c r="F382" s="14" t="str">
        <f t="shared" si="79"/>
        <v>1</v>
      </c>
      <c r="G382" s="14" t="str">
        <f>"9"</f>
        <v>9</v>
      </c>
      <c r="H382" s="14" t="str">
        <f>"1"</f>
        <v>1</v>
      </c>
      <c r="I382" s="6">
        <v>446000</v>
      </c>
    </row>
    <row r="383" spans="1:9" x14ac:dyDescent="0.25">
      <c r="A383" s="10">
        <v>373</v>
      </c>
      <c r="B383" s="1">
        <v>45930</v>
      </c>
      <c r="C383" s="14">
        <v>8</v>
      </c>
      <c r="D383" s="14" t="str">
        <f t="shared" si="77"/>
        <v>2237</v>
      </c>
      <c r="E383" s="14" t="str">
        <f t="shared" si="78"/>
        <v>Счет хранения указаний отправителя в соответствии с валютным законодательством Республики Казахстан</v>
      </c>
      <c r="F383" s="14" t="str">
        <f t="shared" si="79"/>
        <v>1</v>
      </c>
      <c r="G383" s="14" t="str">
        <f>"7"</f>
        <v>7</v>
      </c>
      <c r="H383" s="14" t="str">
        <f>"2"</f>
        <v>2</v>
      </c>
      <c r="I383" s="6">
        <v>843389173.36000001</v>
      </c>
    </row>
    <row r="384" spans="1:9" x14ac:dyDescent="0.25">
      <c r="A384" s="10">
        <v>374</v>
      </c>
      <c r="B384" s="1">
        <v>45930</v>
      </c>
      <c r="C384" s="14">
        <v>8</v>
      </c>
      <c r="D384" s="14" t="str">
        <f t="shared" si="77"/>
        <v>2237</v>
      </c>
      <c r="E384" s="14" t="str">
        <f t="shared" si="78"/>
        <v>Счет хранения указаний отправителя в соответствии с валютным законодательством Республики Казахстан</v>
      </c>
      <c r="F384" s="14" t="str">
        <f t="shared" si="79"/>
        <v>1</v>
      </c>
      <c r="G384" s="14" t="str">
        <f>"6"</f>
        <v>6</v>
      </c>
      <c r="H384" s="14" t="str">
        <f>"2"</f>
        <v>2</v>
      </c>
      <c r="I384" s="6">
        <v>37515489.109999999</v>
      </c>
    </row>
    <row r="385" spans="1:9" x14ac:dyDescent="0.25">
      <c r="A385" s="10">
        <v>375</v>
      </c>
      <c r="B385" s="1">
        <v>45930</v>
      </c>
      <c r="C385" s="14">
        <v>8</v>
      </c>
      <c r="D385" s="14" t="str">
        <f t="shared" si="77"/>
        <v>2237</v>
      </c>
      <c r="E385" s="14" t="str">
        <f t="shared" si="78"/>
        <v>Счет хранения указаний отправителя в соответствии с валютным законодательством Республики Казахстан</v>
      </c>
      <c r="F385" s="14" t="str">
        <f t="shared" si="79"/>
        <v>1</v>
      </c>
      <c r="G385" s="14" t="str">
        <f>"9"</f>
        <v>9</v>
      </c>
      <c r="H385" s="14" t="str">
        <f>"2"</f>
        <v>2</v>
      </c>
      <c r="I385" s="6">
        <v>74862916.310000002</v>
      </c>
    </row>
    <row r="386" spans="1:9" x14ac:dyDescent="0.25">
      <c r="A386" s="10">
        <v>376</v>
      </c>
      <c r="B386" s="1">
        <v>45930</v>
      </c>
      <c r="C386" s="14">
        <v>8</v>
      </c>
      <c r="D386" s="14" t="str">
        <f t="shared" si="77"/>
        <v>2237</v>
      </c>
      <c r="E386" s="14" t="str">
        <f t="shared" si="78"/>
        <v>Счет хранения указаний отправителя в соответствии с валютным законодательством Республики Казахстан</v>
      </c>
      <c r="F386" s="14" t="str">
        <f t="shared" si="79"/>
        <v>1</v>
      </c>
      <c r="G386" s="14" t="str">
        <f>"7"</f>
        <v>7</v>
      </c>
      <c r="H386" s="14" t="str">
        <f>"1"</f>
        <v>1</v>
      </c>
      <c r="I386" s="6">
        <v>255624762.80000001</v>
      </c>
    </row>
    <row r="387" spans="1:9" x14ac:dyDescent="0.25">
      <c r="A387" s="10">
        <v>377</v>
      </c>
      <c r="B387" s="1">
        <v>45930</v>
      </c>
      <c r="C387" s="14">
        <v>8</v>
      </c>
      <c r="D387" s="14" t="str">
        <f t="shared" si="77"/>
        <v>2237</v>
      </c>
      <c r="E387" s="14" t="str">
        <f t="shared" si="78"/>
        <v>Счет хранения указаний отправителя в соответствии с валютным законодательством Республики Казахстан</v>
      </c>
      <c r="F387" s="14" t="str">
        <f t="shared" si="79"/>
        <v>1</v>
      </c>
      <c r="G387" s="14" t="str">
        <f>"8"</f>
        <v>8</v>
      </c>
      <c r="H387" s="14" t="str">
        <f>"2"</f>
        <v>2</v>
      </c>
      <c r="I387" s="6">
        <v>1098120</v>
      </c>
    </row>
    <row r="388" spans="1:9" x14ac:dyDescent="0.25">
      <c r="A388" s="10">
        <v>378</v>
      </c>
      <c r="B388" s="1">
        <v>45930</v>
      </c>
      <c r="C388" s="14">
        <v>8</v>
      </c>
      <c r="D388" s="14" t="str">
        <f t="shared" si="77"/>
        <v>2237</v>
      </c>
      <c r="E388" s="14" t="str">
        <f t="shared" si="78"/>
        <v>Счет хранения указаний отправителя в соответствии с валютным законодательством Республики Казахстан</v>
      </c>
      <c r="F388" s="14" t="str">
        <f t="shared" si="79"/>
        <v>1</v>
      </c>
      <c r="G388" s="14" t="str">
        <f>"9"</f>
        <v>9</v>
      </c>
      <c r="H388" s="14" t="str">
        <f>"3"</f>
        <v>3</v>
      </c>
      <c r="I388" s="6">
        <v>457142.4</v>
      </c>
    </row>
    <row r="389" spans="1:9" x14ac:dyDescent="0.25">
      <c r="A389" s="10">
        <v>379</v>
      </c>
      <c r="B389" s="1">
        <v>45930</v>
      </c>
      <c r="C389" s="14">
        <v>8</v>
      </c>
      <c r="D389" s="14" t="str">
        <f t="shared" si="77"/>
        <v>2237</v>
      </c>
      <c r="E389" s="14" t="str">
        <f t="shared" si="78"/>
        <v>Счет хранения указаний отправителя в соответствии с валютным законодательством Республики Казахстан</v>
      </c>
      <c r="F389" s="14" t="str">
        <f t="shared" ref="F389:F396" si="80">"2"</f>
        <v>2</v>
      </c>
      <c r="G389" s="14" t="str">
        <f>"7"</f>
        <v>7</v>
      </c>
      <c r="H389" s="14" t="str">
        <f>"1"</f>
        <v>1</v>
      </c>
      <c r="I389" s="6">
        <v>69860809.209999993</v>
      </c>
    </row>
    <row r="390" spans="1:9" x14ac:dyDescent="0.25">
      <c r="A390" s="10">
        <v>380</v>
      </c>
      <c r="B390" s="1">
        <v>45930</v>
      </c>
      <c r="C390" s="14">
        <v>8</v>
      </c>
      <c r="D390" s="14" t="str">
        <f t="shared" si="77"/>
        <v>2237</v>
      </c>
      <c r="E390" s="14" t="str">
        <f t="shared" si="78"/>
        <v>Счет хранения указаний отправителя в соответствии с валютным законодательством Республики Казахстан</v>
      </c>
      <c r="F390" s="14" t="str">
        <f t="shared" si="80"/>
        <v>2</v>
      </c>
      <c r="G390" s="14" t="str">
        <f>"5"</f>
        <v>5</v>
      </c>
      <c r="H390" s="14" t="str">
        <f>"2"</f>
        <v>2</v>
      </c>
      <c r="I390" s="6">
        <v>7019089.7000000002</v>
      </c>
    </row>
    <row r="391" spans="1:9" x14ac:dyDescent="0.25">
      <c r="A391" s="10">
        <v>381</v>
      </c>
      <c r="B391" s="1">
        <v>45930</v>
      </c>
      <c r="C391" s="14">
        <v>8</v>
      </c>
      <c r="D391" s="14" t="str">
        <f t="shared" si="77"/>
        <v>2237</v>
      </c>
      <c r="E391" s="14" t="str">
        <f t="shared" si="78"/>
        <v>Счет хранения указаний отправителя в соответствии с валютным законодательством Республики Казахстан</v>
      </c>
      <c r="F391" s="14" t="str">
        <f t="shared" si="80"/>
        <v>2</v>
      </c>
      <c r="G391" s="14" t="str">
        <f>"7"</f>
        <v>7</v>
      </c>
      <c r="H391" s="14" t="str">
        <f>"3"</f>
        <v>3</v>
      </c>
      <c r="I391" s="6">
        <v>25474500</v>
      </c>
    </row>
    <row r="392" spans="1:9" x14ac:dyDescent="0.25">
      <c r="A392" s="10">
        <v>382</v>
      </c>
      <c r="B392" s="1">
        <v>45930</v>
      </c>
      <c r="C392" s="14">
        <v>8</v>
      </c>
      <c r="D392" s="14" t="str">
        <f t="shared" si="77"/>
        <v>2237</v>
      </c>
      <c r="E392" s="14" t="str">
        <f t="shared" si="78"/>
        <v>Счет хранения указаний отправителя в соответствии с валютным законодательством Республики Казахстан</v>
      </c>
      <c r="F392" s="14" t="str">
        <f t="shared" si="80"/>
        <v>2</v>
      </c>
      <c r="G392" s="14" t="str">
        <f>"7"</f>
        <v>7</v>
      </c>
      <c r="H392" s="14" t="str">
        <f>"2"</f>
        <v>2</v>
      </c>
      <c r="I392" s="6">
        <v>224726601.93000001</v>
      </c>
    </row>
    <row r="393" spans="1:9" x14ac:dyDescent="0.25">
      <c r="A393" s="10">
        <v>383</v>
      </c>
      <c r="B393" s="1">
        <v>45930</v>
      </c>
      <c r="C393" s="14">
        <v>8</v>
      </c>
      <c r="D393" s="14" t="str">
        <f t="shared" si="77"/>
        <v>2237</v>
      </c>
      <c r="E393" s="14" t="str">
        <f t="shared" si="78"/>
        <v>Счет хранения указаний отправителя в соответствии с валютным законодательством Республики Казахстан</v>
      </c>
      <c r="F393" s="14" t="str">
        <f t="shared" si="80"/>
        <v>2</v>
      </c>
      <c r="G393" s="14" t="str">
        <f>"8"</f>
        <v>8</v>
      </c>
      <c r="H393" s="14" t="str">
        <f>"2"</f>
        <v>2</v>
      </c>
      <c r="I393" s="6">
        <v>15253298.859999999</v>
      </c>
    </row>
    <row r="394" spans="1:9" x14ac:dyDescent="0.25">
      <c r="A394" s="10">
        <v>384</v>
      </c>
      <c r="B394" s="1">
        <v>45930</v>
      </c>
      <c r="C394" s="14">
        <v>8</v>
      </c>
      <c r="D394" s="14" t="str">
        <f t="shared" si="77"/>
        <v>2237</v>
      </c>
      <c r="E394" s="14" t="str">
        <f t="shared" si="78"/>
        <v>Счет хранения указаний отправителя в соответствии с валютным законодательством Республики Казахстан</v>
      </c>
      <c r="F394" s="14" t="str">
        <f t="shared" si="80"/>
        <v>2</v>
      </c>
      <c r="G394" s="14" t="str">
        <f>"9"</f>
        <v>9</v>
      </c>
      <c r="H394" s="14" t="str">
        <f>"2"</f>
        <v>2</v>
      </c>
      <c r="I394" s="6">
        <v>16861817.719999999</v>
      </c>
    </row>
    <row r="395" spans="1:9" x14ac:dyDescent="0.25">
      <c r="A395" s="10">
        <v>385</v>
      </c>
      <c r="B395" s="1">
        <v>45930</v>
      </c>
      <c r="C395" s="14">
        <v>8</v>
      </c>
      <c r="D395" s="14" t="str">
        <f t="shared" si="77"/>
        <v>2237</v>
      </c>
      <c r="E395" s="14" t="str">
        <f t="shared" si="78"/>
        <v>Счет хранения указаний отправителя в соответствии с валютным законодательством Республики Казахстан</v>
      </c>
      <c r="F395" s="14" t="str">
        <f t="shared" si="80"/>
        <v>2</v>
      </c>
      <c r="G395" s="14" t="str">
        <f>"9"</f>
        <v>9</v>
      </c>
      <c r="H395" s="14" t="str">
        <f>"1"</f>
        <v>1</v>
      </c>
      <c r="I395" s="6">
        <v>13530.23</v>
      </c>
    </row>
    <row r="396" spans="1:9" x14ac:dyDescent="0.25">
      <c r="A396" s="10">
        <v>386</v>
      </c>
      <c r="B396" s="1">
        <v>45930</v>
      </c>
      <c r="C396" s="14">
        <v>8</v>
      </c>
      <c r="D396" s="14" t="str">
        <f t="shared" si="77"/>
        <v>2237</v>
      </c>
      <c r="E396" s="14" t="str">
        <f t="shared" si="78"/>
        <v>Счет хранения указаний отправителя в соответствии с валютным законодательством Республики Казахстан</v>
      </c>
      <c r="F396" s="14" t="str">
        <f t="shared" si="80"/>
        <v>2</v>
      </c>
      <c r="G396" s="14" t="str">
        <f>"5"</f>
        <v>5</v>
      </c>
      <c r="H396" s="14" t="str">
        <f>"3"</f>
        <v>3</v>
      </c>
      <c r="I396" s="6">
        <v>10656000</v>
      </c>
    </row>
    <row r="397" spans="1:9" x14ac:dyDescent="0.25">
      <c r="A397" s="10">
        <v>387</v>
      </c>
      <c r="B397" s="1">
        <v>45930</v>
      </c>
      <c r="C397" s="14">
        <v>8</v>
      </c>
      <c r="D397" s="14" t="str">
        <f>"2239"</f>
        <v>2239</v>
      </c>
      <c r="E397" s="14" t="str">
        <f>"Дисконт по вкладам, привлеченным от клиентов"</f>
        <v>Дисконт по вкладам, привлеченным от клиентов</v>
      </c>
      <c r="F397" s="14" t="str">
        <f t="shared" ref="F397:F403" si="81">"1"</f>
        <v>1</v>
      </c>
      <c r="G397" s="14" t="str">
        <f>"5"</f>
        <v>5</v>
      </c>
      <c r="H397" s="14" t="str">
        <f>"1"</f>
        <v>1</v>
      </c>
      <c r="I397" s="6">
        <v>-1572545488.01</v>
      </c>
    </row>
    <row r="398" spans="1:9" x14ac:dyDescent="0.25">
      <c r="A398" s="10">
        <v>388</v>
      </c>
      <c r="B398" s="1">
        <v>45930</v>
      </c>
      <c r="C398" s="14">
        <v>8</v>
      </c>
      <c r="D398" s="14" t="str">
        <f>"2239"</f>
        <v>2239</v>
      </c>
      <c r="E398" s="14" t="str">
        <f>"Дисконт по вкладам, привлеченным от клиентов"</f>
        <v>Дисконт по вкладам, привлеченным от клиентов</v>
      </c>
      <c r="F398" s="14" t="str">
        <f t="shared" si="81"/>
        <v>1</v>
      </c>
      <c r="G398" s="14" t="str">
        <f>"9"</f>
        <v>9</v>
      </c>
      <c r="H398" s="14" t="str">
        <f>"2"</f>
        <v>2</v>
      </c>
      <c r="I398" s="6">
        <v>-7465338055.5699997</v>
      </c>
    </row>
    <row r="399" spans="1:9" x14ac:dyDescent="0.25">
      <c r="A399" s="10">
        <v>389</v>
      </c>
      <c r="B399" s="1">
        <v>45930</v>
      </c>
      <c r="C399" s="14">
        <v>8</v>
      </c>
      <c r="D399" s="14" t="str">
        <f>"2240"</f>
        <v>2240</v>
      </c>
      <c r="E399" s="14" t="str">
        <f>"Счет хранения денег, принятых в качестве обеспечения (заклад, задаток) обязательств клиентов"</f>
        <v>Счет хранения денег, принятых в качестве обеспечения (заклад, задаток) обязательств клиентов</v>
      </c>
      <c r="F399" s="14" t="str">
        <f t="shared" si="81"/>
        <v>1</v>
      </c>
      <c r="G399" s="14" t="str">
        <f>"7"</f>
        <v>7</v>
      </c>
      <c r="H399" s="14" t="str">
        <f>"1"</f>
        <v>1</v>
      </c>
      <c r="I399" s="6">
        <v>975478518.88999999</v>
      </c>
    </row>
    <row r="400" spans="1:9" x14ac:dyDescent="0.25">
      <c r="A400" s="10">
        <v>390</v>
      </c>
      <c r="B400" s="1">
        <v>45930</v>
      </c>
      <c r="C400" s="14">
        <v>8</v>
      </c>
      <c r="D400" s="14" t="str">
        <f>"2240"</f>
        <v>2240</v>
      </c>
      <c r="E400" s="14" t="str">
        <f>"Счет хранения денег, принятых в качестве обеспечения (заклад, задаток) обязательств клиентов"</f>
        <v>Счет хранения денег, принятых в качестве обеспечения (заклад, задаток) обязательств клиентов</v>
      </c>
      <c r="F400" s="14" t="str">
        <f t="shared" si="81"/>
        <v>1</v>
      </c>
      <c r="G400" s="14" t="str">
        <f>"5"</f>
        <v>5</v>
      </c>
      <c r="H400" s="14" t="str">
        <f>"1"</f>
        <v>1</v>
      </c>
      <c r="I400" s="6">
        <v>15000000</v>
      </c>
    </row>
    <row r="401" spans="1:9" x14ac:dyDescent="0.25">
      <c r="A401" s="10">
        <v>391</v>
      </c>
      <c r="B401" s="1">
        <v>45930</v>
      </c>
      <c r="C401" s="14">
        <v>8</v>
      </c>
      <c r="D401" s="14" t="str">
        <f>"2240"</f>
        <v>2240</v>
      </c>
      <c r="E401" s="14" t="str">
        <f>"Счет хранения денег, принятых в качестве обеспечения (заклад, задаток) обязательств клиентов"</f>
        <v>Счет хранения денег, принятых в качестве обеспечения (заклад, задаток) обязательств клиентов</v>
      </c>
      <c r="F401" s="14" t="str">
        <f t="shared" si="81"/>
        <v>1</v>
      </c>
      <c r="G401" s="14" t="str">
        <f>"9"</f>
        <v>9</v>
      </c>
      <c r="H401" s="14" t="str">
        <f>"1"</f>
        <v>1</v>
      </c>
      <c r="I401" s="6">
        <v>48415192.5</v>
      </c>
    </row>
    <row r="402" spans="1:9" x14ac:dyDescent="0.25">
      <c r="A402" s="10">
        <v>392</v>
      </c>
      <c r="B402" s="1">
        <v>45930</v>
      </c>
      <c r="C402" s="14">
        <v>8</v>
      </c>
      <c r="D402" s="14" t="str">
        <f>"2241"</f>
        <v>2241</v>
      </c>
      <c r="E402" s="14" t="str">
        <f>"Долгосрочный вклад физических лиц, являющийся обеспечением обязательств клиентов"</f>
        <v>Долгосрочный вклад физических лиц, являющийся обеспечением обязательств клиентов</v>
      </c>
      <c r="F402" s="14" t="str">
        <f t="shared" si="81"/>
        <v>1</v>
      </c>
      <c r="G402" s="14" t="str">
        <f>"9"</f>
        <v>9</v>
      </c>
      <c r="H402" s="14" t="str">
        <f>"1"</f>
        <v>1</v>
      </c>
      <c r="I402" s="6">
        <v>2259568170.3899999</v>
      </c>
    </row>
    <row r="403" spans="1:9" x14ac:dyDescent="0.25">
      <c r="A403" s="10">
        <v>393</v>
      </c>
      <c r="B403" s="1">
        <v>45930</v>
      </c>
      <c r="C403" s="14">
        <v>8</v>
      </c>
      <c r="D403" s="14" t="str">
        <f>"2241"</f>
        <v>2241</v>
      </c>
      <c r="E403" s="14" t="str">
        <f>"Долгосрочный вклад физических лиц, являющийся обеспечением обязательств клиентов"</f>
        <v>Долгосрочный вклад физических лиц, являющийся обеспечением обязательств клиентов</v>
      </c>
      <c r="F403" s="14" t="str">
        <f t="shared" si="81"/>
        <v>1</v>
      </c>
      <c r="G403" s="14" t="str">
        <f>"9"</f>
        <v>9</v>
      </c>
      <c r="H403" s="14" t="str">
        <f>"2"</f>
        <v>2</v>
      </c>
      <c r="I403" s="6">
        <v>17731637498.740002</v>
      </c>
    </row>
    <row r="404" spans="1:9" x14ac:dyDescent="0.25">
      <c r="A404" s="10">
        <v>394</v>
      </c>
      <c r="B404" s="1">
        <v>45930</v>
      </c>
      <c r="C404" s="14">
        <v>8</v>
      </c>
      <c r="D404" s="14" t="str">
        <f>"2241"</f>
        <v>2241</v>
      </c>
      <c r="E404" s="14" t="str">
        <f>"Долгосрочный вклад физических лиц, являющийся обеспечением обязательств клиентов"</f>
        <v>Долгосрочный вклад физических лиц, являющийся обеспечением обязательств клиентов</v>
      </c>
      <c r="F404" s="14" t="str">
        <f>"2"</f>
        <v>2</v>
      </c>
      <c r="G404" s="14" t="str">
        <f>"9"</f>
        <v>9</v>
      </c>
      <c r="H404" s="14" t="str">
        <f>"2"</f>
        <v>2</v>
      </c>
      <c r="I404" s="6">
        <v>6835622</v>
      </c>
    </row>
    <row r="405" spans="1:9" x14ac:dyDescent="0.25">
      <c r="A405" s="10">
        <v>395</v>
      </c>
      <c r="B405" s="1">
        <v>45930</v>
      </c>
      <c r="C405" s="14">
        <v>8</v>
      </c>
      <c r="D405" s="14" t="str">
        <f>"2242"</f>
        <v>2242</v>
      </c>
      <c r="E405" s="14" t="s">
        <v>9</v>
      </c>
      <c r="F405" s="14" t="str">
        <f>"1"</f>
        <v>1</v>
      </c>
      <c r="G405" s="14" t="str">
        <f>"5"</f>
        <v>5</v>
      </c>
      <c r="H405" s="14" t="str">
        <f>"2"</f>
        <v>2</v>
      </c>
      <c r="I405" s="6">
        <v>59896.959999999999</v>
      </c>
    </row>
    <row r="406" spans="1:9" x14ac:dyDescent="0.25">
      <c r="A406" s="10">
        <v>396</v>
      </c>
      <c r="B406" s="1">
        <v>45930</v>
      </c>
      <c r="C406" s="14">
        <v>8</v>
      </c>
      <c r="D406" s="14" t="str">
        <f>"2242"</f>
        <v>2242</v>
      </c>
      <c r="E406" s="14" t="s">
        <v>9</v>
      </c>
      <c r="F406" s="14" t="str">
        <f>"1"</f>
        <v>1</v>
      </c>
      <c r="G406" s="14" t="str">
        <f>"5"</f>
        <v>5</v>
      </c>
      <c r="H406" s="14" t="str">
        <f>"3"</f>
        <v>3</v>
      </c>
      <c r="I406" s="6">
        <v>12205.72</v>
      </c>
    </row>
    <row r="407" spans="1:9" x14ac:dyDescent="0.25">
      <c r="A407" s="10">
        <v>397</v>
      </c>
      <c r="B407" s="1">
        <v>45930</v>
      </c>
      <c r="C407" s="14">
        <v>8</v>
      </c>
      <c r="D407" s="14" t="str">
        <f>"2242"</f>
        <v>2242</v>
      </c>
      <c r="E407" s="14" t="s">
        <v>9</v>
      </c>
      <c r="F407" s="14" t="str">
        <f>"1"</f>
        <v>1</v>
      </c>
      <c r="G407" s="14" t="str">
        <f>"5"</f>
        <v>5</v>
      </c>
      <c r="H407" s="14" t="str">
        <f>"1"</f>
        <v>1</v>
      </c>
      <c r="I407" s="6">
        <v>544096.18000000005</v>
      </c>
    </row>
    <row r="408" spans="1:9" x14ac:dyDescent="0.25">
      <c r="A408" s="10">
        <v>398</v>
      </c>
      <c r="B408" s="1">
        <v>45930</v>
      </c>
      <c r="C408" s="14">
        <v>8</v>
      </c>
      <c r="D408" s="14" t="str">
        <f>"2255"</f>
        <v>2255</v>
      </c>
      <c r="E408" s="14" t="str">
        <f>"Операции «РЕПО» с ценными бумагами"</f>
        <v>Операции «РЕПО» с ценными бумагами</v>
      </c>
      <c r="F408" s="14" t="str">
        <f>"2"</f>
        <v>2</v>
      </c>
      <c r="G408" s="14" t="str">
        <f>"4"</f>
        <v>4</v>
      </c>
      <c r="H408" s="14" t="str">
        <f>"1"</f>
        <v>1</v>
      </c>
      <c r="I408" s="6">
        <v>46100009801.830002</v>
      </c>
    </row>
    <row r="409" spans="1:9" x14ac:dyDescent="0.25">
      <c r="A409" s="10">
        <v>399</v>
      </c>
      <c r="B409" s="1">
        <v>45930</v>
      </c>
      <c r="C409" s="14">
        <v>8</v>
      </c>
      <c r="D409" s="14" t="str">
        <f>"2255"</f>
        <v>2255</v>
      </c>
      <c r="E409" s="14" t="str">
        <f>"Операции «РЕПО» с ценными бумагами"</f>
        <v>Операции «РЕПО» с ценными бумагами</v>
      </c>
      <c r="F409" s="14" t="str">
        <f t="shared" ref="F409:F427" si="82">"1"</f>
        <v>1</v>
      </c>
      <c r="G409" s="14" t="str">
        <f t="shared" ref="G409:G420" si="83">"5"</f>
        <v>5</v>
      </c>
      <c r="H409" s="14" t="str">
        <f>"1"</f>
        <v>1</v>
      </c>
      <c r="I409" s="6">
        <v>160038252350.13</v>
      </c>
    </row>
    <row r="410" spans="1:9" x14ac:dyDescent="0.25">
      <c r="A410" s="10">
        <v>400</v>
      </c>
      <c r="B410" s="1">
        <v>45930</v>
      </c>
      <c r="C410" s="14">
        <v>8</v>
      </c>
      <c r="D410" s="14" t="str">
        <f>"2301"</f>
        <v>2301</v>
      </c>
      <c r="E410" s="14" t="str">
        <f>"Выпущенные в обращение облигации"</f>
        <v>Выпущенные в обращение облигации</v>
      </c>
      <c r="F410" s="14" t="str">
        <f t="shared" si="82"/>
        <v>1</v>
      </c>
      <c r="G410" s="14" t="str">
        <f t="shared" si="83"/>
        <v>5</v>
      </c>
      <c r="H410" s="14" t="str">
        <f>"1"</f>
        <v>1</v>
      </c>
      <c r="I410" s="6">
        <v>243424997000</v>
      </c>
    </row>
    <row r="411" spans="1:9" x14ac:dyDescent="0.25">
      <c r="A411" s="10">
        <v>401</v>
      </c>
      <c r="B411" s="1">
        <v>45930</v>
      </c>
      <c r="C411" s="14">
        <v>8</v>
      </c>
      <c r="D411" s="14" t="str">
        <f>"2301"</f>
        <v>2301</v>
      </c>
      <c r="E411" s="14" t="str">
        <f>"Выпущенные в обращение облигации"</f>
        <v>Выпущенные в обращение облигации</v>
      </c>
      <c r="F411" s="14" t="str">
        <f t="shared" si="82"/>
        <v>1</v>
      </c>
      <c r="G411" s="14" t="str">
        <f t="shared" si="83"/>
        <v>5</v>
      </c>
      <c r="H411" s="14" t="str">
        <f>"2"</f>
        <v>2</v>
      </c>
      <c r="I411" s="6">
        <v>22840896000</v>
      </c>
    </row>
    <row r="412" spans="1:9" x14ac:dyDescent="0.25">
      <c r="A412" s="10">
        <v>402</v>
      </c>
      <c r="B412" s="1">
        <v>45930</v>
      </c>
      <c r="C412" s="14">
        <v>8</v>
      </c>
      <c r="D412" s="14" t="str">
        <f>"2304"</f>
        <v>2304</v>
      </c>
      <c r="E412" s="14" t="str">
        <f>"Премия по выпущенным в обращение ценным бумагам"</f>
        <v>Премия по выпущенным в обращение ценным бумагам</v>
      </c>
      <c r="F412" s="14" t="str">
        <f t="shared" si="82"/>
        <v>1</v>
      </c>
      <c r="G412" s="14" t="str">
        <f t="shared" si="83"/>
        <v>5</v>
      </c>
      <c r="H412" s="14" t="str">
        <f>"1"</f>
        <v>1</v>
      </c>
      <c r="I412" s="6">
        <v>3040909702.4400001</v>
      </c>
    </row>
    <row r="413" spans="1:9" x14ac:dyDescent="0.25">
      <c r="A413" s="10">
        <v>403</v>
      </c>
      <c r="B413" s="1">
        <v>45930</v>
      </c>
      <c r="C413" s="14">
        <v>8</v>
      </c>
      <c r="D413" s="14" t="str">
        <f>"2305"</f>
        <v>2305</v>
      </c>
      <c r="E413" s="14" t="str">
        <f>"Дисконт по выпущенным в обращение ценным бумагам"</f>
        <v>Дисконт по выпущенным в обращение ценным бумагам</v>
      </c>
      <c r="F413" s="14" t="str">
        <f t="shared" si="82"/>
        <v>1</v>
      </c>
      <c r="G413" s="14" t="str">
        <f t="shared" si="83"/>
        <v>5</v>
      </c>
      <c r="H413" s="14" t="str">
        <f>"1"</f>
        <v>1</v>
      </c>
      <c r="I413" s="6">
        <v>-3492931873.7199998</v>
      </c>
    </row>
    <row r="414" spans="1:9" x14ac:dyDescent="0.25">
      <c r="A414" s="10">
        <v>404</v>
      </c>
      <c r="B414" s="1">
        <v>45930</v>
      </c>
      <c r="C414" s="14">
        <v>8</v>
      </c>
      <c r="D414" s="14" t="str">
        <f>"2305"</f>
        <v>2305</v>
      </c>
      <c r="E414" s="14" t="str">
        <f>"Дисконт по выпущенным в обращение ценным бумагам"</f>
        <v>Дисконт по выпущенным в обращение ценным бумагам</v>
      </c>
      <c r="F414" s="14" t="str">
        <f t="shared" si="82"/>
        <v>1</v>
      </c>
      <c r="G414" s="14" t="str">
        <f t="shared" si="83"/>
        <v>5</v>
      </c>
      <c r="H414" s="14" t="str">
        <f>"2"</f>
        <v>2</v>
      </c>
      <c r="I414" s="6">
        <v>-227825150</v>
      </c>
    </row>
    <row r="415" spans="1:9" x14ac:dyDescent="0.25">
      <c r="A415" s="10">
        <v>405</v>
      </c>
      <c r="B415" s="1">
        <v>45930</v>
      </c>
      <c r="C415" s="14">
        <v>8</v>
      </c>
      <c r="D415" s="14" t="str">
        <f>"2306"</f>
        <v>2306</v>
      </c>
      <c r="E415" s="14" t="str">
        <f>"Выкупленные облигации"</f>
        <v>Выкупленные облигации</v>
      </c>
      <c r="F415" s="14" t="str">
        <f t="shared" si="82"/>
        <v>1</v>
      </c>
      <c r="G415" s="14" t="str">
        <f t="shared" si="83"/>
        <v>5</v>
      </c>
      <c r="H415" s="14" t="str">
        <f>"2"</f>
        <v>2</v>
      </c>
      <c r="I415" s="6">
        <v>-109812000</v>
      </c>
    </row>
    <row r="416" spans="1:9" x14ac:dyDescent="0.25">
      <c r="A416" s="10">
        <v>406</v>
      </c>
      <c r="B416" s="1">
        <v>45930</v>
      </c>
      <c r="C416" s="14">
        <v>8</v>
      </c>
      <c r="D416" s="14" t="str">
        <f>"2306"</f>
        <v>2306</v>
      </c>
      <c r="E416" s="14" t="str">
        <f>"Выкупленные облигации"</f>
        <v>Выкупленные облигации</v>
      </c>
      <c r="F416" s="14" t="str">
        <f t="shared" si="82"/>
        <v>1</v>
      </c>
      <c r="G416" s="14" t="str">
        <f t="shared" si="83"/>
        <v>5</v>
      </c>
      <c r="H416" s="14" t="str">
        <f t="shared" ref="H416:H424" si="84">"1"</f>
        <v>1</v>
      </c>
      <c r="I416" s="6">
        <v>-24472704400</v>
      </c>
    </row>
    <row r="417" spans="1:9" x14ac:dyDescent="0.25">
      <c r="A417" s="10">
        <v>407</v>
      </c>
      <c r="B417" s="1">
        <v>45930</v>
      </c>
      <c r="C417" s="14">
        <v>8</v>
      </c>
      <c r="D417" s="14" t="str">
        <f>"2404"</f>
        <v>2404</v>
      </c>
      <c r="E417" s="14" t="str">
        <f>"Дисконт по выпущенным в обращение субординированным облигациям"</f>
        <v>Дисконт по выпущенным в обращение субординированным облигациям</v>
      </c>
      <c r="F417" s="14" t="str">
        <f t="shared" si="82"/>
        <v>1</v>
      </c>
      <c r="G417" s="14" t="str">
        <f t="shared" si="83"/>
        <v>5</v>
      </c>
      <c r="H417" s="14" t="str">
        <f t="shared" si="84"/>
        <v>1</v>
      </c>
      <c r="I417" s="6">
        <v>-101053654675.28</v>
      </c>
    </row>
    <row r="418" spans="1:9" x14ac:dyDescent="0.25">
      <c r="A418" s="10">
        <v>408</v>
      </c>
      <c r="B418" s="1">
        <v>45930</v>
      </c>
      <c r="C418" s="14">
        <v>8</v>
      </c>
      <c r="D418" s="14" t="str">
        <f>"2405"</f>
        <v>2405</v>
      </c>
      <c r="E418" s="14" t="str">
        <f>"Выкупленные субординированные облигации"</f>
        <v>Выкупленные субординированные облигации</v>
      </c>
      <c r="F418" s="14" t="str">
        <f t="shared" si="82"/>
        <v>1</v>
      </c>
      <c r="G418" s="14" t="str">
        <f t="shared" si="83"/>
        <v>5</v>
      </c>
      <c r="H418" s="14" t="str">
        <f t="shared" si="84"/>
        <v>1</v>
      </c>
      <c r="I418" s="6">
        <v>-66903667000</v>
      </c>
    </row>
    <row r="419" spans="1:9" x14ac:dyDescent="0.25">
      <c r="A419" s="10">
        <v>409</v>
      </c>
      <c r="B419" s="1">
        <v>45930</v>
      </c>
      <c r="C419" s="14">
        <v>8</v>
      </c>
      <c r="D419" s="14" t="str">
        <f>"2406"</f>
        <v>2406</v>
      </c>
      <c r="E419" s="14" t="str">
        <f>"Субординированные облигации"</f>
        <v>Субординированные облигации</v>
      </c>
      <c r="F419" s="14" t="str">
        <f t="shared" si="82"/>
        <v>1</v>
      </c>
      <c r="G419" s="14" t="str">
        <f t="shared" si="83"/>
        <v>5</v>
      </c>
      <c r="H419" s="14" t="str">
        <f t="shared" si="84"/>
        <v>1</v>
      </c>
      <c r="I419" s="6">
        <v>273301667000</v>
      </c>
    </row>
    <row r="420" spans="1:9" x14ac:dyDescent="0.25">
      <c r="A420" s="10">
        <v>410</v>
      </c>
      <c r="B420" s="1">
        <v>45930</v>
      </c>
      <c r="C420" s="14">
        <v>8</v>
      </c>
      <c r="D420" s="14" t="str">
        <f>"2703"</f>
        <v>2703</v>
      </c>
      <c r="E420" s="14" t="str">
        <f>"Начисленные расходы по займам, полученным от Правительства Республики Казахстан, местных исполнительных органов Республики Казахстан и национального управляющего холдинга"</f>
        <v>Начисленные расходы по займам, полученным от Правительства Республики Казахстан, местных исполнительных органов Республики Казахстан и национального управляющего холдинга</v>
      </c>
      <c r="F420" s="14" t="str">
        <f t="shared" si="82"/>
        <v>1</v>
      </c>
      <c r="G420" s="14" t="str">
        <f t="shared" si="83"/>
        <v>5</v>
      </c>
      <c r="H420" s="14" t="str">
        <f t="shared" si="84"/>
        <v>1</v>
      </c>
      <c r="I420" s="6">
        <v>460512825.00999999</v>
      </c>
    </row>
    <row r="421" spans="1:9" x14ac:dyDescent="0.25">
      <c r="A421" s="10">
        <v>411</v>
      </c>
      <c r="B421" s="1">
        <v>45930</v>
      </c>
      <c r="C421" s="14">
        <v>8</v>
      </c>
      <c r="D421" s="14" t="str">
        <f>"2705"</f>
        <v>2705</v>
      </c>
      <c r="E421" s="14" t="str">
        <f>"Начисленные расходы по займам и финансовому лизингу, полученным от других банков"</f>
        <v>Начисленные расходы по займам и финансовому лизингу, полученным от других банков</v>
      </c>
      <c r="F421" s="14" t="str">
        <f t="shared" si="82"/>
        <v>1</v>
      </c>
      <c r="G421" s="14" t="str">
        <f>"4"</f>
        <v>4</v>
      </c>
      <c r="H421" s="14" t="str">
        <f t="shared" si="84"/>
        <v>1</v>
      </c>
      <c r="I421" s="6">
        <v>25462110.149999999</v>
      </c>
    </row>
    <row r="422" spans="1:9" x14ac:dyDescent="0.25">
      <c r="A422" s="10">
        <v>412</v>
      </c>
      <c r="B422" s="1">
        <v>45930</v>
      </c>
      <c r="C422" s="14">
        <v>8</v>
      </c>
      <c r="D422" s="14" t="str">
        <f>"2706"</f>
        <v>2706</v>
      </c>
      <c r="E422" s="14" t="str">
        <f>"Начисленные расходы по займам и финансовому лизингу"</f>
        <v>Начисленные расходы по займам и финансовому лизингу</v>
      </c>
      <c r="F422" s="14" t="str">
        <f t="shared" si="82"/>
        <v>1</v>
      </c>
      <c r="G422" s="14" t="str">
        <f>"5"</f>
        <v>5</v>
      </c>
      <c r="H422" s="14" t="str">
        <f t="shared" si="84"/>
        <v>1</v>
      </c>
      <c r="I422" s="6">
        <v>2595833.39</v>
      </c>
    </row>
    <row r="423" spans="1:9" x14ac:dyDescent="0.25">
      <c r="A423" s="10">
        <v>413</v>
      </c>
      <c r="B423" s="1">
        <v>45930</v>
      </c>
      <c r="C423" s="14">
        <v>8</v>
      </c>
      <c r="D423" s="14" t="str">
        <f>"2719"</f>
        <v>2719</v>
      </c>
      <c r="E423" s="14" t="str">
        <f>"Начисленные расходы по условным вкладам клиентов"</f>
        <v>Начисленные расходы по условным вкладам клиентов</v>
      </c>
      <c r="F423" s="14" t="str">
        <f t="shared" si="82"/>
        <v>1</v>
      </c>
      <c r="G423" s="14" t="str">
        <f>"7"</f>
        <v>7</v>
      </c>
      <c r="H423" s="14" t="str">
        <f t="shared" si="84"/>
        <v>1</v>
      </c>
      <c r="I423" s="6">
        <v>431540087.44</v>
      </c>
    </row>
    <row r="424" spans="1:9" x14ac:dyDescent="0.25">
      <c r="A424" s="10">
        <v>414</v>
      </c>
      <c r="B424" s="1">
        <v>45930</v>
      </c>
      <c r="C424" s="14">
        <v>8</v>
      </c>
      <c r="D424" s="14" t="str">
        <f>"2719"</f>
        <v>2719</v>
      </c>
      <c r="E424" s="14" t="str">
        <f>"Начисленные расходы по условным вкладам клиентов"</f>
        <v>Начисленные расходы по условным вкладам клиентов</v>
      </c>
      <c r="F424" s="14" t="str">
        <f t="shared" si="82"/>
        <v>1</v>
      </c>
      <c r="G424" s="14" t="str">
        <f>"6"</f>
        <v>6</v>
      </c>
      <c r="H424" s="14" t="str">
        <f t="shared" si="84"/>
        <v>1</v>
      </c>
      <c r="I424" s="6">
        <v>3841457.99</v>
      </c>
    </row>
    <row r="425" spans="1:9" x14ac:dyDescent="0.25">
      <c r="A425" s="10">
        <v>415</v>
      </c>
      <c r="B425" s="1">
        <v>45930</v>
      </c>
      <c r="C425" s="14">
        <v>8</v>
      </c>
      <c r="D425" s="14" t="str">
        <f>"2719"</f>
        <v>2719</v>
      </c>
      <c r="E425" s="14" t="str">
        <f>"Начисленные расходы по условным вкладам клиентов"</f>
        <v>Начисленные расходы по условным вкладам клиентов</v>
      </c>
      <c r="F425" s="14" t="str">
        <f t="shared" si="82"/>
        <v>1</v>
      </c>
      <c r="G425" s="14" t="str">
        <f>"7"</f>
        <v>7</v>
      </c>
      <c r="H425" s="14" t="str">
        <f>"2"</f>
        <v>2</v>
      </c>
      <c r="I425" s="6">
        <v>462817070.31999999</v>
      </c>
    </row>
    <row r="426" spans="1:9" x14ac:dyDescent="0.25">
      <c r="A426" s="10">
        <v>416</v>
      </c>
      <c r="B426" s="1">
        <v>45930</v>
      </c>
      <c r="C426" s="14">
        <v>8</v>
      </c>
      <c r="D426" s="14" t="str">
        <f>"2720"</f>
        <v>2720</v>
      </c>
      <c r="E426" s="14" t="str">
        <f>"Начисленные расходы по вкладам до востребования клиентов"</f>
        <v>Начисленные расходы по вкладам до востребования клиентов</v>
      </c>
      <c r="F426" s="14" t="str">
        <f t="shared" si="82"/>
        <v>1</v>
      </c>
      <c r="G426" s="14" t="str">
        <f>"7"</f>
        <v>7</v>
      </c>
      <c r="H426" s="14" t="str">
        <f>"2"</f>
        <v>2</v>
      </c>
      <c r="I426" s="6">
        <v>97112.24</v>
      </c>
    </row>
    <row r="427" spans="1:9" x14ac:dyDescent="0.25">
      <c r="A427" s="10">
        <v>417</v>
      </c>
      <c r="B427" s="1">
        <v>45930</v>
      </c>
      <c r="C427" s="14">
        <v>8</v>
      </c>
      <c r="D427" s="14" t="str">
        <f>"2720"</f>
        <v>2720</v>
      </c>
      <c r="E427" s="14" t="str">
        <f>"Начисленные расходы по вкладам до востребования клиентов"</f>
        <v>Начисленные расходы по вкладам до востребования клиентов</v>
      </c>
      <c r="F427" s="14" t="str">
        <f t="shared" si="82"/>
        <v>1</v>
      </c>
      <c r="G427" s="14" t="str">
        <f>"5"</f>
        <v>5</v>
      </c>
      <c r="H427" s="14" t="str">
        <f>"2"</f>
        <v>2</v>
      </c>
      <c r="I427" s="6">
        <v>444.74</v>
      </c>
    </row>
    <row r="428" spans="1:9" x14ac:dyDescent="0.25">
      <c r="A428" s="10">
        <v>418</v>
      </c>
      <c r="B428" s="1">
        <v>45930</v>
      </c>
      <c r="C428" s="14">
        <v>8</v>
      </c>
      <c r="D428" s="14" t="str">
        <f t="shared" ref="D428:D445" si="85">"2721"</f>
        <v>2721</v>
      </c>
      <c r="E428" s="14" t="str">
        <f t="shared" ref="E428:E445" si="86">"Начисленные расходы по срочным вкладам клиентов"</f>
        <v>Начисленные расходы по срочным вкладам клиентов</v>
      </c>
      <c r="F428" s="14" t="str">
        <f>"2"</f>
        <v>2</v>
      </c>
      <c r="G428" s="14" t="str">
        <f>"5"</f>
        <v>5</v>
      </c>
      <c r="H428" s="14" t="str">
        <f>"1"</f>
        <v>1</v>
      </c>
      <c r="I428" s="6">
        <v>357494.23</v>
      </c>
    </row>
    <row r="429" spans="1:9" x14ac:dyDescent="0.25">
      <c r="A429" s="10">
        <v>419</v>
      </c>
      <c r="B429" s="1">
        <v>45930</v>
      </c>
      <c r="C429" s="14">
        <v>8</v>
      </c>
      <c r="D429" s="14" t="str">
        <f t="shared" si="85"/>
        <v>2721</v>
      </c>
      <c r="E429" s="14" t="str">
        <f t="shared" si="86"/>
        <v>Начисленные расходы по срочным вкладам клиентов</v>
      </c>
      <c r="F429" s="14" t="str">
        <f>"2"</f>
        <v>2</v>
      </c>
      <c r="G429" s="14" t="str">
        <f>"5"</f>
        <v>5</v>
      </c>
      <c r="H429" s="14" t="str">
        <f>"2"</f>
        <v>2</v>
      </c>
      <c r="I429" s="6">
        <v>5012254.68</v>
      </c>
    </row>
    <row r="430" spans="1:9" x14ac:dyDescent="0.25">
      <c r="A430" s="10">
        <v>420</v>
      </c>
      <c r="B430" s="1">
        <v>45930</v>
      </c>
      <c r="C430" s="14">
        <v>8</v>
      </c>
      <c r="D430" s="14" t="str">
        <f t="shared" si="85"/>
        <v>2721</v>
      </c>
      <c r="E430" s="14" t="str">
        <f t="shared" si="86"/>
        <v>Начисленные расходы по срочным вкладам клиентов</v>
      </c>
      <c r="F430" s="14" t="str">
        <f>"2"</f>
        <v>2</v>
      </c>
      <c r="G430" s="14" t="str">
        <f>"9"</f>
        <v>9</v>
      </c>
      <c r="H430" s="14" t="str">
        <f>"3"</f>
        <v>3</v>
      </c>
      <c r="I430" s="6">
        <v>32311.93</v>
      </c>
    </row>
    <row r="431" spans="1:9" x14ac:dyDescent="0.25">
      <c r="A431" s="10">
        <v>421</v>
      </c>
      <c r="B431" s="1">
        <v>45930</v>
      </c>
      <c r="C431" s="14">
        <v>8</v>
      </c>
      <c r="D431" s="14" t="str">
        <f t="shared" si="85"/>
        <v>2721</v>
      </c>
      <c r="E431" s="14" t="str">
        <f t="shared" si="86"/>
        <v>Начисленные расходы по срочным вкладам клиентов</v>
      </c>
      <c r="F431" s="14" t="str">
        <f>"2"</f>
        <v>2</v>
      </c>
      <c r="G431" s="14" t="str">
        <f>"9"</f>
        <v>9</v>
      </c>
      <c r="H431" s="14" t="str">
        <f>"2"</f>
        <v>2</v>
      </c>
      <c r="I431" s="6">
        <v>27259119.550000001</v>
      </c>
    </row>
    <row r="432" spans="1:9" x14ac:dyDescent="0.25">
      <c r="A432" s="10">
        <v>422</v>
      </c>
      <c r="B432" s="1">
        <v>45930</v>
      </c>
      <c r="C432" s="14">
        <v>8</v>
      </c>
      <c r="D432" s="14" t="str">
        <f t="shared" si="85"/>
        <v>2721</v>
      </c>
      <c r="E432" s="14" t="str">
        <f t="shared" si="86"/>
        <v>Начисленные расходы по срочным вкладам клиентов</v>
      </c>
      <c r="F432" s="14" t="str">
        <f>"2"</f>
        <v>2</v>
      </c>
      <c r="G432" s="14" t="str">
        <f>"7"</f>
        <v>7</v>
      </c>
      <c r="H432" s="14" t="str">
        <f>"1"</f>
        <v>1</v>
      </c>
      <c r="I432" s="6">
        <v>21826951.809999999</v>
      </c>
    </row>
    <row r="433" spans="1:9" x14ac:dyDescent="0.25">
      <c r="A433" s="10">
        <v>423</v>
      </c>
      <c r="B433" s="1">
        <v>45930</v>
      </c>
      <c r="C433" s="14">
        <v>8</v>
      </c>
      <c r="D433" s="14" t="str">
        <f t="shared" si="85"/>
        <v>2721</v>
      </c>
      <c r="E433" s="14" t="str">
        <f t="shared" si="86"/>
        <v>Начисленные расходы по срочным вкладам клиентов</v>
      </c>
      <c r="F433" s="14" t="str">
        <f>"1"</f>
        <v>1</v>
      </c>
      <c r="G433" s="14" t="str">
        <f>"9"</f>
        <v>9</v>
      </c>
      <c r="H433" s="14" t="str">
        <f>"3"</f>
        <v>3</v>
      </c>
      <c r="I433" s="6">
        <v>3884.62</v>
      </c>
    </row>
    <row r="434" spans="1:9" x14ac:dyDescent="0.25">
      <c r="A434" s="10">
        <v>424</v>
      </c>
      <c r="B434" s="1">
        <v>45930</v>
      </c>
      <c r="C434" s="14">
        <v>8</v>
      </c>
      <c r="D434" s="14" t="str">
        <f t="shared" si="85"/>
        <v>2721</v>
      </c>
      <c r="E434" s="14" t="str">
        <f t="shared" si="86"/>
        <v>Начисленные расходы по срочным вкладам клиентов</v>
      </c>
      <c r="F434" s="14" t="str">
        <f>"2"</f>
        <v>2</v>
      </c>
      <c r="G434" s="14" t="str">
        <f>"9"</f>
        <v>9</v>
      </c>
      <c r="H434" s="14" t="str">
        <f>"1"</f>
        <v>1</v>
      </c>
      <c r="I434" s="6">
        <v>121430997.28</v>
      </c>
    </row>
    <row r="435" spans="1:9" x14ac:dyDescent="0.25">
      <c r="A435" s="10">
        <v>425</v>
      </c>
      <c r="B435" s="1">
        <v>45930</v>
      </c>
      <c r="C435" s="14">
        <v>8</v>
      </c>
      <c r="D435" s="14" t="str">
        <f t="shared" si="85"/>
        <v>2721</v>
      </c>
      <c r="E435" s="14" t="str">
        <f t="shared" si="86"/>
        <v>Начисленные расходы по срочным вкладам клиентов</v>
      </c>
      <c r="F435" s="14" t="str">
        <f>"1"</f>
        <v>1</v>
      </c>
      <c r="G435" s="14" t="str">
        <f>"6"</f>
        <v>6</v>
      </c>
      <c r="H435" s="14" t="str">
        <f>"1"</f>
        <v>1</v>
      </c>
      <c r="I435" s="6">
        <v>21221984.140000001</v>
      </c>
    </row>
    <row r="436" spans="1:9" x14ac:dyDescent="0.25">
      <c r="A436" s="10">
        <v>426</v>
      </c>
      <c r="B436" s="1">
        <v>45930</v>
      </c>
      <c r="C436" s="14">
        <v>8</v>
      </c>
      <c r="D436" s="14" t="str">
        <f t="shared" si="85"/>
        <v>2721</v>
      </c>
      <c r="E436" s="14" t="str">
        <f t="shared" si="86"/>
        <v>Начисленные расходы по срочным вкладам клиентов</v>
      </c>
      <c r="F436" s="14" t="str">
        <f>"1"</f>
        <v>1</v>
      </c>
      <c r="G436" s="14" t="str">
        <f>"7"</f>
        <v>7</v>
      </c>
      <c r="H436" s="14" t="str">
        <f>"3"</f>
        <v>3</v>
      </c>
      <c r="I436" s="6">
        <v>7707351.2699999996</v>
      </c>
    </row>
    <row r="437" spans="1:9" x14ac:dyDescent="0.25">
      <c r="A437" s="10">
        <v>427</v>
      </c>
      <c r="B437" s="1">
        <v>45930</v>
      </c>
      <c r="C437" s="14">
        <v>8</v>
      </c>
      <c r="D437" s="14" t="str">
        <f t="shared" si="85"/>
        <v>2721</v>
      </c>
      <c r="E437" s="14" t="str">
        <f t="shared" si="86"/>
        <v>Начисленные расходы по срочным вкладам клиентов</v>
      </c>
      <c r="F437" s="14" t="str">
        <f>"1"</f>
        <v>1</v>
      </c>
      <c r="G437" s="14" t="str">
        <f>"9"</f>
        <v>9</v>
      </c>
      <c r="H437" s="14" t="str">
        <f>"1"</f>
        <v>1</v>
      </c>
      <c r="I437" s="6">
        <v>1642037105.3199999</v>
      </c>
    </row>
    <row r="438" spans="1:9" x14ac:dyDescent="0.25">
      <c r="A438" s="10">
        <v>428</v>
      </c>
      <c r="B438" s="1">
        <v>45930</v>
      </c>
      <c r="C438" s="14">
        <v>8</v>
      </c>
      <c r="D438" s="14" t="str">
        <f t="shared" si="85"/>
        <v>2721</v>
      </c>
      <c r="E438" s="14" t="str">
        <f t="shared" si="86"/>
        <v>Начисленные расходы по срочным вкладам клиентов</v>
      </c>
      <c r="F438" s="14" t="str">
        <f>"1"</f>
        <v>1</v>
      </c>
      <c r="G438" s="14" t="str">
        <f>"8"</f>
        <v>8</v>
      </c>
      <c r="H438" s="14" t="str">
        <f>"2"</f>
        <v>2</v>
      </c>
      <c r="I438" s="6">
        <v>670731.69999999995</v>
      </c>
    </row>
    <row r="439" spans="1:9" x14ac:dyDescent="0.25">
      <c r="A439" s="10">
        <v>429</v>
      </c>
      <c r="B439" s="1">
        <v>45930</v>
      </c>
      <c r="C439" s="14">
        <v>8</v>
      </c>
      <c r="D439" s="14" t="str">
        <f t="shared" si="85"/>
        <v>2721</v>
      </c>
      <c r="E439" s="14" t="str">
        <f t="shared" si="86"/>
        <v>Начисленные расходы по срочным вкладам клиентов</v>
      </c>
      <c r="F439" s="14" t="str">
        <f>"2"</f>
        <v>2</v>
      </c>
      <c r="G439" s="14" t="str">
        <f>"7"</f>
        <v>7</v>
      </c>
      <c r="H439" s="14" t="str">
        <f>"2"</f>
        <v>2</v>
      </c>
      <c r="I439" s="6">
        <v>181172629.38</v>
      </c>
    </row>
    <row r="440" spans="1:9" x14ac:dyDescent="0.25">
      <c r="A440" s="10">
        <v>430</v>
      </c>
      <c r="B440" s="1">
        <v>45930</v>
      </c>
      <c r="C440" s="14">
        <v>8</v>
      </c>
      <c r="D440" s="14" t="str">
        <f t="shared" si="85"/>
        <v>2721</v>
      </c>
      <c r="E440" s="14" t="str">
        <f t="shared" si="86"/>
        <v>Начисленные расходы по срочным вкладам клиентов</v>
      </c>
      <c r="F440" s="14" t="str">
        <f t="shared" ref="F440:F448" si="87">"1"</f>
        <v>1</v>
      </c>
      <c r="G440" s="14" t="str">
        <f>"5"</f>
        <v>5</v>
      </c>
      <c r="H440" s="14" t="str">
        <f>"2"</f>
        <v>2</v>
      </c>
      <c r="I440" s="6">
        <v>1348837.27</v>
      </c>
    </row>
    <row r="441" spans="1:9" x14ac:dyDescent="0.25">
      <c r="A441" s="10">
        <v>431</v>
      </c>
      <c r="B441" s="1">
        <v>45930</v>
      </c>
      <c r="C441" s="14">
        <v>8</v>
      </c>
      <c r="D441" s="14" t="str">
        <f t="shared" si="85"/>
        <v>2721</v>
      </c>
      <c r="E441" s="14" t="str">
        <f t="shared" si="86"/>
        <v>Начисленные расходы по срочным вкладам клиентов</v>
      </c>
      <c r="F441" s="14" t="str">
        <f t="shared" si="87"/>
        <v>1</v>
      </c>
      <c r="G441" s="14" t="str">
        <f>"7"</f>
        <v>7</v>
      </c>
      <c r="H441" s="14" t="str">
        <f>"1"</f>
        <v>1</v>
      </c>
      <c r="I441" s="6">
        <v>2334555967.4099998</v>
      </c>
    </row>
    <row r="442" spans="1:9" x14ac:dyDescent="0.25">
      <c r="A442" s="10">
        <v>432</v>
      </c>
      <c r="B442" s="1">
        <v>45930</v>
      </c>
      <c r="C442" s="14">
        <v>8</v>
      </c>
      <c r="D442" s="14" t="str">
        <f t="shared" si="85"/>
        <v>2721</v>
      </c>
      <c r="E442" s="14" t="str">
        <f t="shared" si="86"/>
        <v>Начисленные расходы по срочным вкладам клиентов</v>
      </c>
      <c r="F442" s="14" t="str">
        <f t="shared" si="87"/>
        <v>1</v>
      </c>
      <c r="G442" s="14" t="str">
        <f>"5"</f>
        <v>5</v>
      </c>
      <c r="H442" s="14" t="str">
        <f>"1"</f>
        <v>1</v>
      </c>
      <c r="I442" s="6">
        <v>1235340318.8299999</v>
      </c>
    </row>
    <row r="443" spans="1:9" x14ac:dyDescent="0.25">
      <c r="A443" s="10">
        <v>433</v>
      </c>
      <c r="B443" s="1">
        <v>45930</v>
      </c>
      <c r="C443" s="14">
        <v>8</v>
      </c>
      <c r="D443" s="14" t="str">
        <f t="shared" si="85"/>
        <v>2721</v>
      </c>
      <c r="E443" s="14" t="str">
        <f t="shared" si="86"/>
        <v>Начисленные расходы по срочным вкладам клиентов</v>
      </c>
      <c r="F443" s="14" t="str">
        <f t="shared" si="87"/>
        <v>1</v>
      </c>
      <c r="G443" s="14" t="str">
        <f>"8"</f>
        <v>8</v>
      </c>
      <c r="H443" s="14" t="str">
        <f>"1"</f>
        <v>1</v>
      </c>
      <c r="I443" s="6">
        <v>198295979.80000001</v>
      </c>
    </row>
    <row r="444" spans="1:9" x14ac:dyDescent="0.25">
      <c r="A444" s="10">
        <v>434</v>
      </c>
      <c r="B444" s="1">
        <v>45930</v>
      </c>
      <c r="C444" s="14">
        <v>8</v>
      </c>
      <c r="D444" s="14" t="str">
        <f t="shared" si="85"/>
        <v>2721</v>
      </c>
      <c r="E444" s="14" t="str">
        <f t="shared" si="86"/>
        <v>Начисленные расходы по срочным вкладам клиентов</v>
      </c>
      <c r="F444" s="14" t="str">
        <f t="shared" si="87"/>
        <v>1</v>
      </c>
      <c r="G444" s="14" t="str">
        <f>"7"</f>
        <v>7</v>
      </c>
      <c r="H444" s="14" t="str">
        <f>"2"</f>
        <v>2</v>
      </c>
      <c r="I444" s="6">
        <v>93845411.590000004</v>
      </c>
    </row>
    <row r="445" spans="1:9" x14ac:dyDescent="0.25">
      <c r="A445" s="10">
        <v>435</v>
      </c>
      <c r="B445" s="1">
        <v>45930</v>
      </c>
      <c r="C445" s="14">
        <v>8</v>
      </c>
      <c r="D445" s="14" t="str">
        <f t="shared" si="85"/>
        <v>2721</v>
      </c>
      <c r="E445" s="14" t="str">
        <f t="shared" si="86"/>
        <v>Начисленные расходы по срочным вкладам клиентов</v>
      </c>
      <c r="F445" s="14" t="str">
        <f t="shared" si="87"/>
        <v>1</v>
      </c>
      <c r="G445" s="14" t="str">
        <f>"9"</f>
        <v>9</v>
      </c>
      <c r="H445" s="14" t="str">
        <f>"2"</f>
        <v>2</v>
      </c>
      <c r="I445" s="6">
        <v>95049951.200000003</v>
      </c>
    </row>
    <row r="446" spans="1:9" x14ac:dyDescent="0.25">
      <c r="A446" s="10">
        <v>436</v>
      </c>
      <c r="B446" s="1">
        <v>45930</v>
      </c>
      <c r="C446" s="14">
        <v>8</v>
      </c>
      <c r="D446" s="14" t="str">
        <f t="shared" ref="D446:D451" si="88">"2723"</f>
        <v>2723</v>
      </c>
      <c r="E446" s="14" t="str">
        <f t="shared" ref="E446:E451" si="89">"Начисленные расходы по вкладу, являющемуся обеспечением обязательств клиентов"</f>
        <v>Начисленные расходы по вкладу, являющемуся обеспечением обязательств клиентов</v>
      </c>
      <c r="F446" s="14" t="str">
        <f t="shared" si="87"/>
        <v>1</v>
      </c>
      <c r="G446" s="14" t="str">
        <f>"5"</f>
        <v>5</v>
      </c>
      <c r="H446" s="14" t="str">
        <f>"1"</f>
        <v>1</v>
      </c>
      <c r="I446" s="6">
        <v>103810098.54000001</v>
      </c>
    </row>
    <row r="447" spans="1:9" x14ac:dyDescent="0.25">
      <c r="A447" s="10">
        <v>437</v>
      </c>
      <c r="B447" s="1">
        <v>45930</v>
      </c>
      <c r="C447" s="14">
        <v>8</v>
      </c>
      <c r="D447" s="14" t="str">
        <f t="shared" si="88"/>
        <v>2723</v>
      </c>
      <c r="E447" s="14" t="str">
        <f t="shared" si="89"/>
        <v>Начисленные расходы по вкладу, являющемуся обеспечением обязательств клиентов</v>
      </c>
      <c r="F447" s="14" t="str">
        <f t="shared" si="87"/>
        <v>1</v>
      </c>
      <c r="G447" s="14" t="str">
        <f>"9"</f>
        <v>9</v>
      </c>
      <c r="H447" s="14" t="str">
        <f>"1"</f>
        <v>1</v>
      </c>
      <c r="I447" s="6">
        <v>308335195.94</v>
      </c>
    </row>
    <row r="448" spans="1:9" x14ac:dyDescent="0.25">
      <c r="A448" s="10">
        <v>438</v>
      </c>
      <c r="B448" s="1">
        <v>45930</v>
      </c>
      <c r="C448" s="14">
        <v>8</v>
      </c>
      <c r="D448" s="14" t="str">
        <f t="shared" si="88"/>
        <v>2723</v>
      </c>
      <c r="E448" s="14" t="str">
        <f t="shared" si="89"/>
        <v>Начисленные расходы по вкладу, являющемуся обеспечением обязательств клиентов</v>
      </c>
      <c r="F448" s="14" t="str">
        <f t="shared" si="87"/>
        <v>1</v>
      </c>
      <c r="G448" s="14" t="str">
        <f>"7"</f>
        <v>7</v>
      </c>
      <c r="H448" s="14" t="str">
        <f>"1"</f>
        <v>1</v>
      </c>
      <c r="I448" s="6">
        <v>128481092.2</v>
      </c>
    </row>
    <row r="449" spans="1:9" x14ac:dyDescent="0.25">
      <c r="A449" s="10">
        <v>439</v>
      </c>
      <c r="B449" s="1">
        <v>45930</v>
      </c>
      <c r="C449" s="14">
        <v>8</v>
      </c>
      <c r="D449" s="14" t="str">
        <f t="shared" si="88"/>
        <v>2723</v>
      </c>
      <c r="E449" s="14" t="str">
        <f t="shared" si="89"/>
        <v>Начисленные расходы по вкладу, являющемуся обеспечением обязательств клиентов</v>
      </c>
      <c r="F449" s="14" t="str">
        <f>"2"</f>
        <v>2</v>
      </c>
      <c r="G449" s="14" t="str">
        <f>"9"</f>
        <v>9</v>
      </c>
      <c r="H449" s="14" t="str">
        <f>"2"</f>
        <v>2</v>
      </c>
      <c r="I449" s="6">
        <v>567.49</v>
      </c>
    </row>
    <row r="450" spans="1:9" x14ac:dyDescent="0.25">
      <c r="A450" s="10">
        <v>440</v>
      </c>
      <c r="B450" s="1">
        <v>45930</v>
      </c>
      <c r="C450" s="14">
        <v>8</v>
      </c>
      <c r="D450" s="14" t="str">
        <f t="shared" si="88"/>
        <v>2723</v>
      </c>
      <c r="E450" s="14" t="str">
        <f t="shared" si="89"/>
        <v>Начисленные расходы по вкладу, являющемуся обеспечением обязательств клиентов</v>
      </c>
      <c r="F450" s="14" t="str">
        <f t="shared" ref="F450:F459" si="90">"1"</f>
        <v>1</v>
      </c>
      <c r="G450" s="14" t="str">
        <f>"7"</f>
        <v>7</v>
      </c>
      <c r="H450" s="14" t="str">
        <f>"2"</f>
        <v>2</v>
      </c>
      <c r="I450" s="6">
        <v>18871251.5</v>
      </c>
    </row>
    <row r="451" spans="1:9" x14ac:dyDescent="0.25">
      <c r="A451" s="10">
        <v>441</v>
      </c>
      <c r="B451" s="1">
        <v>45930</v>
      </c>
      <c r="C451" s="14">
        <v>8</v>
      </c>
      <c r="D451" s="14" t="str">
        <f t="shared" si="88"/>
        <v>2723</v>
      </c>
      <c r="E451" s="14" t="str">
        <f t="shared" si="89"/>
        <v>Начисленные расходы по вкладу, являющемуся обеспечением обязательств клиентов</v>
      </c>
      <c r="F451" s="14" t="str">
        <f t="shared" si="90"/>
        <v>1</v>
      </c>
      <c r="G451" s="14" t="str">
        <f>"9"</f>
        <v>9</v>
      </c>
      <c r="H451" s="14" t="str">
        <f>"2"</f>
        <v>2</v>
      </c>
      <c r="I451" s="6">
        <v>22251301.850000001</v>
      </c>
    </row>
    <row r="452" spans="1:9" x14ac:dyDescent="0.25">
      <c r="A452" s="10">
        <v>442</v>
      </c>
      <c r="B452" s="1">
        <v>45930</v>
      </c>
      <c r="C452" s="14">
        <v>8</v>
      </c>
      <c r="D452" s="14" t="str">
        <f t="shared" ref="D452:D464" si="91">"2724"</f>
        <v>2724</v>
      </c>
      <c r="E452" s="14" t="str">
        <f t="shared" ref="E452:E464" si="92">"Начисленные расходы по сберегательным вкладам клиентов"</f>
        <v>Начисленные расходы по сберегательным вкладам клиентов</v>
      </c>
      <c r="F452" s="14" t="str">
        <f t="shared" si="90"/>
        <v>1</v>
      </c>
      <c r="G452" s="14" t="str">
        <f>"5"</f>
        <v>5</v>
      </c>
      <c r="H452" s="14" t="str">
        <f>"3"</f>
        <v>3</v>
      </c>
      <c r="I452" s="6">
        <v>7024.9</v>
      </c>
    </row>
    <row r="453" spans="1:9" x14ac:dyDescent="0.25">
      <c r="A453" s="10">
        <v>443</v>
      </c>
      <c r="B453" s="1">
        <v>45930</v>
      </c>
      <c r="C453" s="14">
        <v>8</v>
      </c>
      <c r="D453" s="14" t="str">
        <f t="shared" si="91"/>
        <v>2724</v>
      </c>
      <c r="E453" s="14" t="str">
        <f t="shared" si="92"/>
        <v>Начисленные расходы по сберегательным вкладам клиентов</v>
      </c>
      <c r="F453" s="14" t="str">
        <f t="shared" si="90"/>
        <v>1</v>
      </c>
      <c r="G453" s="14" t="str">
        <f>"5"</f>
        <v>5</v>
      </c>
      <c r="H453" s="14" t="str">
        <f>"1"</f>
        <v>1</v>
      </c>
      <c r="I453" s="6">
        <v>2090690.03</v>
      </c>
    </row>
    <row r="454" spans="1:9" x14ac:dyDescent="0.25">
      <c r="A454" s="10">
        <v>444</v>
      </c>
      <c r="B454" s="1">
        <v>45930</v>
      </c>
      <c r="C454" s="14">
        <v>8</v>
      </c>
      <c r="D454" s="14" t="str">
        <f t="shared" si="91"/>
        <v>2724</v>
      </c>
      <c r="E454" s="14" t="str">
        <f t="shared" si="92"/>
        <v>Начисленные расходы по сберегательным вкладам клиентов</v>
      </c>
      <c r="F454" s="14" t="str">
        <f t="shared" si="90"/>
        <v>1</v>
      </c>
      <c r="G454" s="14" t="str">
        <f>"7"</f>
        <v>7</v>
      </c>
      <c r="H454" s="14" t="str">
        <f>"1"</f>
        <v>1</v>
      </c>
      <c r="I454" s="6">
        <v>223534702.22999999</v>
      </c>
    </row>
    <row r="455" spans="1:9" x14ac:dyDescent="0.25">
      <c r="A455" s="10">
        <v>445</v>
      </c>
      <c r="B455" s="1">
        <v>45930</v>
      </c>
      <c r="C455" s="14">
        <v>8</v>
      </c>
      <c r="D455" s="14" t="str">
        <f t="shared" si="91"/>
        <v>2724</v>
      </c>
      <c r="E455" s="14" t="str">
        <f t="shared" si="92"/>
        <v>Начисленные расходы по сберегательным вкладам клиентов</v>
      </c>
      <c r="F455" s="14" t="str">
        <f t="shared" si="90"/>
        <v>1</v>
      </c>
      <c r="G455" s="14" t="str">
        <f>"6"</f>
        <v>6</v>
      </c>
      <c r="H455" s="14" t="str">
        <f>"2"</f>
        <v>2</v>
      </c>
      <c r="I455" s="6">
        <v>676172.88</v>
      </c>
    </row>
    <row r="456" spans="1:9" x14ac:dyDescent="0.25">
      <c r="A456" s="10">
        <v>446</v>
      </c>
      <c r="B456" s="1">
        <v>45930</v>
      </c>
      <c r="C456" s="14">
        <v>8</v>
      </c>
      <c r="D456" s="14" t="str">
        <f t="shared" si="91"/>
        <v>2724</v>
      </c>
      <c r="E456" s="14" t="str">
        <f t="shared" si="92"/>
        <v>Начисленные расходы по сберегательным вкладам клиентов</v>
      </c>
      <c r="F456" s="14" t="str">
        <f t="shared" si="90"/>
        <v>1</v>
      </c>
      <c r="G456" s="14" t="str">
        <f>"6"</f>
        <v>6</v>
      </c>
      <c r="H456" s="14" t="str">
        <f>"1"</f>
        <v>1</v>
      </c>
      <c r="I456" s="6">
        <v>138830024.41999999</v>
      </c>
    </row>
    <row r="457" spans="1:9" x14ac:dyDescent="0.25">
      <c r="A457" s="10">
        <v>447</v>
      </c>
      <c r="B457" s="1">
        <v>45930</v>
      </c>
      <c r="C457" s="14">
        <v>8</v>
      </c>
      <c r="D457" s="14" t="str">
        <f t="shared" si="91"/>
        <v>2724</v>
      </c>
      <c r="E457" s="14" t="str">
        <f t="shared" si="92"/>
        <v>Начисленные расходы по сберегательным вкладам клиентов</v>
      </c>
      <c r="F457" s="14" t="str">
        <f t="shared" si="90"/>
        <v>1</v>
      </c>
      <c r="G457" s="14" t="str">
        <f>"9"</f>
        <v>9</v>
      </c>
      <c r="H457" s="14" t="str">
        <f>"1"</f>
        <v>1</v>
      </c>
      <c r="I457" s="6">
        <v>5836037038.1700001</v>
      </c>
    </row>
    <row r="458" spans="1:9" x14ac:dyDescent="0.25">
      <c r="A458" s="10">
        <v>448</v>
      </c>
      <c r="B458" s="1">
        <v>45930</v>
      </c>
      <c r="C458" s="14">
        <v>8</v>
      </c>
      <c r="D458" s="14" t="str">
        <f t="shared" si="91"/>
        <v>2724</v>
      </c>
      <c r="E458" s="14" t="str">
        <f t="shared" si="92"/>
        <v>Начисленные расходы по сберегательным вкладам клиентов</v>
      </c>
      <c r="F458" s="14" t="str">
        <f t="shared" si="90"/>
        <v>1</v>
      </c>
      <c r="G458" s="14" t="str">
        <f>"7"</f>
        <v>7</v>
      </c>
      <c r="H458" s="14" t="str">
        <f>"2"</f>
        <v>2</v>
      </c>
      <c r="I458" s="6">
        <v>86662609.159999996</v>
      </c>
    </row>
    <row r="459" spans="1:9" x14ac:dyDescent="0.25">
      <c r="A459" s="10">
        <v>449</v>
      </c>
      <c r="B459" s="1">
        <v>45930</v>
      </c>
      <c r="C459" s="14">
        <v>8</v>
      </c>
      <c r="D459" s="14" t="str">
        <f t="shared" si="91"/>
        <v>2724</v>
      </c>
      <c r="E459" s="14" t="str">
        <f t="shared" si="92"/>
        <v>Начисленные расходы по сберегательным вкладам клиентов</v>
      </c>
      <c r="F459" s="14" t="str">
        <f t="shared" si="90"/>
        <v>1</v>
      </c>
      <c r="G459" s="14" t="str">
        <f>"9"</f>
        <v>9</v>
      </c>
      <c r="H459" s="14" t="str">
        <f>"2"</f>
        <v>2</v>
      </c>
      <c r="I459" s="6">
        <v>1967206.65</v>
      </c>
    </row>
    <row r="460" spans="1:9" x14ac:dyDescent="0.25">
      <c r="A460" s="10">
        <v>450</v>
      </c>
      <c r="B460" s="1">
        <v>45930</v>
      </c>
      <c r="C460" s="14">
        <v>8</v>
      </c>
      <c r="D460" s="14" t="str">
        <f t="shared" si="91"/>
        <v>2724</v>
      </c>
      <c r="E460" s="14" t="str">
        <f t="shared" si="92"/>
        <v>Начисленные расходы по сберегательным вкладам клиентов</v>
      </c>
      <c r="F460" s="14" t="str">
        <f>"2"</f>
        <v>2</v>
      </c>
      <c r="G460" s="14" t="str">
        <f>"5"</f>
        <v>5</v>
      </c>
      <c r="H460" s="14" t="str">
        <f>"2"</f>
        <v>2</v>
      </c>
      <c r="I460" s="6">
        <v>618598.97</v>
      </c>
    </row>
    <row r="461" spans="1:9" x14ac:dyDescent="0.25">
      <c r="A461" s="10">
        <v>451</v>
      </c>
      <c r="B461" s="1">
        <v>45930</v>
      </c>
      <c r="C461" s="14">
        <v>8</v>
      </c>
      <c r="D461" s="14" t="str">
        <f t="shared" si="91"/>
        <v>2724</v>
      </c>
      <c r="E461" s="14" t="str">
        <f t="shared" si="92"/>
        <v>Начисленные расходы по сберегательным вкладам клиентов</v>
      </c>
      <c r="F461" s="14" t="str">
        <f>"2"</f>
        <v>2</v>
      </c>
      <c r="G461" s="14" t="str">
        <f>"9"</f>
        <v>9</v>
      </c>
      <c r="H461" s="14" t="str">
        <f>"1"</f>
        <v>1</v>
      </c>
      <c r="I461" s="6">
        <v>227126959.44999999</v>
      </c>
    </row>
    <row r="462" spans="1:9" x14ac:dyDescent="0.25">
      <c r="A462" s="10">
        <v>452</v>
      </c>
      <c r="B462" s="1">
        <v>45930</v>
      </c>
      <c r="C462" s="14">
        <v>8</v>
      </c>
      <c r="D462" s="14" t="str">
        <f t="shared" si="91"/>
        <v>2724</v>
      </c>
      <c r="E462" s="14" t="str">
        <f t="shared" si="92"/>
        <v>Начисленные расходы по сберегательным вкладам клиентов</v>
      </c>
      <c r="F462" s="14" t="str">
        <f>"2"</f>
        <v>2</v>
      </c>
      <c r="G462" s="14" t="str">
        <f>"9"</f>
        <v>9</v>
      </c>
      <c r="H462" s="14" t="str">
        <f>"2"</f>
        <v>2</v>
      </c>
      <c r="I462" s="6">
        <v>786897.37</v>
      </c>
    </row>
    <row r="463" spans="1:9" x14ac:dyDescent="0.25">
      <c r="A463" s="10">
        <v>453</v>
      </c>
      <c r="B463" s="1">
        <v>45930</v>
      </c>
      <c r="C463" s="14">
        <v>8</v>
      </c>
      <c r="D463" s="14" t="str">
        <f t="shared" si="91"/>
        <v>2724</v>
      </c>
      <c r="E463" s="14" t="str">
        <f t="shared" si="92"/>
        <v>Начисленные расходы по сберегательным вкладам клиентов</v>
      </c>
      <c r="F463" s="14" t="str">
        <f>"2"</f>
        <v>2</v>
      </c>
      <c r="G463" s="14" t="str">
        <f>"7"</f>
        <v>7</v>
      </c>
      <c r="H463" s="14" t="str">
        <f>"2"</f>
        <v>2</v>
      </c>
      <c r="I463" s="6">
        <v>9963518.1699999999</v>
      </c>
    </row>
    <row r="464" spans="1:9" x14ac:dyDescent="0.25">
      <c r="A464" s="10">
        <v>454</v>
      </c>
      <c r="B464" s="1">
        <v>45930</v>
      </c>
      <c r="C464" s="14">
        <v>8</v>
      </c>
      <c r="D464" s="14" t="str">
        <f t="shared" si="91"/>
        <v>2724</v>
      </c>
      <c r="E464" s="14" t="str">
        <f t="shared" si="92"/>
        <v>Начисленные расходы по сберегательным вкладам клиентов</v>
      </c>
      <c r="F464" s="14" t="str">
        <f>"2"</f>
        <v>2</v>
      </c>
      <c r="G464" s="14" t="str">
        <f>"7"</f>
        <v>7</v>
      </c>
      <c r="H464" s="14" t="str">
        <f>"1"</f>
        <v>1</v>
      </c>
      <c r="I464" s="6">
        <v>8663013.6999999993</v>
      </c>
    </row>
    <row r="465" spans="1:9" x14ac:dyDescent="0.25">
      <c r="A465" s="10">
        <v>455</v>
      </c>
      <c r="B465" s="1">
        <v>45930</v>
      </c>
      <c r="C465" s="14">
        <v>8</v>
      </c>
      <c r="D465" s="14" t="str">
        <f>"2725"</f>
        <v>2725</v>
      </c>
      <c r="E465" s="14" t="str">
        <f>"Начисленные расходы по операциям «РЕПО» с ценными бумагами"</f>
        <v>Начисленные расходы по операциям «РЕПО» с ценными бумагами</v>
      </c>
      <c r="F465" s="14" t="str">
        <f>"1"</f>
        <v>1</v>
      </c>
      <c r="G465" s="14" t="str">
        <f>"5"</f>
        <v>5</v>
      </c>
      <c r="H465" s="14" t="str">
        <f>"1"</f>
        <v>1</v>
      </c>
      <c r="I465" s="6">
        <v>182602433.5</v>
      </c>
    </row>
    <row r="466" spans="1:9" x14ac:dyDescent="0.25">
      <c r="A466" s="10">
        <v>456</v>
      </c>
      <c r="B466" s="1">
        <v>45930</v>
      </c>
      <c r="C466" s="14">
        <v>8</v>
      </c>
      <c r="D466" s="14" t="str">
        <f>"2725"</f>
        <v>2725</v>
      </c>
      <c r="E466" s="14" t="str">
        <f>"Начисленные расходы по операциям «РЕПО» с ценными бумагами"</f>
        <v>Начисленные расходы по операциям «РЕПО» с ценными бумагами</v>
      </c>
      <c r="F466" s="14" t="str">
        <f>"2"</f>
        <v>2</v>
      </c>
      <c r="G466" s="14" t="str">
        <f>"4"</f>
        <v>4</v>
      </c>
      <c r="H466" s="14" t="str">
        <f>"1"</f>
        <v>1</v>
      </c>
      <c r="I466" s="6">
        <v>877473092.27999997</v>
      </c>
    </row>
    <row r="467" spans="1:9" x14ac:dyDescent="0.25">
      <c r="A467" s="10">
        <v>457</v>
      </c>
      <c r="B467" s="1">
        <v>45930</v>
      </c>
      <c r="C467" s="14">
        <v>8</v>
      </c>
      <c r="D467" s="14" t="str">
        <f>"2730"</f>
        <v>2730</v>
      </c>
      <c r="E467" s="14" t="str">
        <f>"Начисленные расходы по выпущенным в обращение ценным бумагам"</f>
        <v>Начисленные расходы по выпущенным в обращение ценным бумагам</v>
      </c>
      <c r="F467" s="14" t="str">
        <f t="shared" ref="F467:F472" si="93">"1"</f>
        <v>1</v>
      </c>
      <c r="G467" s="14" t="str">
        <f>"5"</f>
        <v>5</v>
      </c>
      <c r="H467" s="14" t="str">
        <f>"1"</f>
        <v>1</v>
      </c>
      <c r="I467" s="6">
        <v>6563968067.29</v>
      </c>
    </row>
    <row r="468" spans="1:9" x14ac:dyDescent="0.25">
      <c r="A468" s="10">
        <v>458</v>
      </c>
      <c r="B468" s="1">
        <v>45930</v>
      </c>
      <c r="C468" s="14">
        <v>8</v>
      </c>
      <c r="D468" s="14" t="str">
        <f>"2730"</f>
        <v>2730</v>
      </c>
      <c r="E468" s="14" t="str">
        <f>"Начисленные расходы по выпущенным в обращение ценным бумагам"</f>
        <v>Начисленные расходы по выпущенным в обращение ценным бумагам</v>
      </c>
      <c r="F468" s="14" t="str">
        <f t="shared" si="93"/>
        <v>1</v>
      </c>
      <c r="G468" s="14" t="str">
        <f>"5"</f>
        <v>5</v>
      </c>
      <c r="H468" s="14" t="str">
        <f>"2"</f>
        <v>2</v>
      </c>
      <c r="I468" s="6">
        <v>148795260</v>
      </c>
    </row>
    <row r="469" spans="1:9" x14ac:dyDescent="0.25">
      <c r="A469" s="10">
        <v>459</v>
      </c>
      <c r="B469" s="1">
        <v>45930</v>
      </c>
      <c r="C469" s="14">
        <v>8</v>
      </c>
      <c r="D469" s="14" t="str">
        <f>"2731"</f>
        <v>2731</v>
      </c>
      <c r="E469" s="14" t="str">
        <f>"Начисленные расходы по прочим операциям"</f>
        <v>Начисленные расходы по прочим операциям</v>
      </c>
      <c r="F469" s="14" t="str">
        <f t="shared" si="93"/>
        <v>1</v>
      </c>
      <c r="G469" s="14" t="str">
        <f>"5"</f>
        <v>5</v>
      </c>
      <c r="H469" s="14" t="str">
        <f t="shared" ref="H469:H480" si="94">"1"</f>
        <v>1</v>
      </c>
      <c r="I469" s="6">
        <v>117782668</v>
      </c>
    </row>
    <row r="470" spans="1:9" x14ac:dyDescent="0.25">
      <c r="A470" s="10">
        <v>460</v>
      </c>
      <c r="B470" s="1">
        <v>45930</v>
      </c>
      <c r="C470" s="14">
        <v>8</v>
      </c>
      <c r="D470" s="14" t="str">
        <f>"2731"</f>
        <v>2731</v>
      </c>
      <c r="E470" s="14" t="str">
        <f>"Начисленные расходы по прочим операциям"</f>
        <v>Начисленные расходы по прочим операциям</v>
      </c>
      <c r="F470" s="14" t="str">
        <f t="shared" si="93"/>
        <v>1</v>
      </c>
      <c r="G470" s="14" t="str">
        <f>"7"</f>
        <v>7</v>
      </c>
      <c r="H470" s="14" t="str">
        <f t="shared" si="94"/>
        <v>1</v>
      </c>
      <c r="I470" s="6">
        <v>50564010.450000003</v>
      </c>
    </row>
    <row r="471" spans="1:9" x14ac:dyDescent="0.25">
      <c r="A471" s="10">
        <v>461</v>
      </c>
      <c r="B471" s="1">
        <v>45930</v>
      </c>
      <c r="C471" s="14">
        <v>8</v>
      </c>
      <c r="D471" s="14" t="str">
        <f>"2731"</f>
        <v>2731</v>
      </c>
      <c r="E471" s="14" t="str">
        <f>"Начисленные расходы по прочим операциям"</f>
        <v>Начисленные расходы по прочим операциям</v>
      </c>
      <c r="F471" s="14" t="str">
        <f t="shared" si="93"/>
        <v>1</v>
      </c>
      <c r="G471" s="14" t="str">
        <f>"6"</f>
        <v>6</v>
      </c>
      <c r="H471" s="14" t="str">
        <f t="shared" si="94"/>
        <v>1</v>
      </c>
      <c r="I471" s="6">
        <v>3000000</v>
      </c>
    </row>
    <row r="472" spans="1:9" x14ac:dyDescent="0.25">
      <c r="A472" s="10">
        <v>462</v>
      </c>
      <c r="B472" s="1">
        <v>45930</v>
      </c>
      <c r="C472" s="14">
        <v>8</v>
      </c>
      <c r="D472" s="14" t="str">
        <f>"2756"</f>
        <v>2756</v>
      </c>
      <c r="E472" s="14" t="str">
        <f>"Начисленные расходы по субординированным облигациям"</f>
        <v>Начисленные расходы по субординированным облигациям</v>
      </c>
      <c r="F472" s="14" t="str">
        <f t="shared" si="93"/>
        <v>1</v>
      </c>
      <c r="G472" s="14" t="str">
        <f>"5"</f>
        <v>5</v>
      </c>
      <c r="H472" s="14" t="str">
        <f t="shared" si="94"/>
        <v>1</v>
      </c>
      <c r="I472" s="6">
        <v>6244146173.7799997</v>
      </c>
    </row>
    <row r="473" spans="1:9" x14ac:dyDescent="0.25">
      <c r="A473" s="10">
        <v>463</v>
      </c>
      <c r="B473" s="1">
        <v>45930</v>
      </c>
      <c r="C473" s="14">
        <v>8</v>
      </c>
      <c r="D473" s="14" t="str">
        <f>"2770"</f>
        <v>2770</v>
      </c>
      <c r="E473" s="14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473" s="14" t="str">
        <f>"2"</f>
        <v>2</v>
      </c>
      <c r="G473" s="14" t="str">
        <f>"7"</f>
        <v>7</v>
      </c>
      <c r="H473" s="14" t="str">
        <f t="shared" si="94"/>
        <v>1</v>
      </c>
      <c r="I473" s="6">
        <v>463461979.32999998</v>
      </c>
    </row>
    <row r="474" spans="1:9" x14ac:dyDescent="0.25">
      <c r="A474" s="10">
        <v>464</v>
      </c>
      <c r="B474" s="1">
        <v>45930</v>
      </c>
      <c r="C474" s="14">
        <v>8</v>
      </c>
      <c r="D474" s="14" t="str">
        <f>"2770"</f>
        <v>2770</v>
      </c>
      <c r="E474" s="14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474" s="14" t="str">
        <f t="shared" ref="F474:F484" si="95">"1"</f>
        <v>1</v>
      </c>
      <c r="G474" s="14" t="str">
        <f>"9"</f>
        <v>9</v>
      </c>
      <c r="H474" s="14" t="str">
        <f t="shared" si="94"/>
        <v>1</v>
      </c>
      <c r="I474" s="6">
        <v>4801156839.6899996</v>
      </c>
    </row>
    <row r="475" spans="1:9" x14ac:dyDescent="0.25">
      <c r="A475" s="10">
        <v>465</v>
      </c>
      <c r="B475" s="1">
        <v>45930</v>
      </c>
      <c r="C475" s="14">
        <v>8</v>
      </c>
      <c r="D475" s="14" t="str">
        <f>"2770"</f>
        <v>2770</v>
      </c>
      <c r="E475" s="14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475" s="14" t="str">
        <f t="shared" si="95"/>
        <v>1</v>
      </c>
      <c r="G475" s="14" t="str">
        <f>"7"</f>
        <v>7</v>
      </c>
      <c r="H475" s="14" t="str">
        <f t="shared" si="94"/>
        <v>1</v>
      </c>
      <c r="I475" s="6">
        <v>455742275.52999997</v>
      </c>
    </row>
    <row r="476" spans="1:9" x14ac:dyDescent="0.25">
      <c r="A476" s="10">
        <v>466</v>
      </c>
      <c r="B476" s="1">
        <v>45930</v>
      </c>
      <c r="C476" s="14">
        <v>8</v>
      </c>
      <c r="D476" s="14" t="str">
        <f>"2770"</f>
        <v>2770</v>
      </c>
      <c r="E476" s="14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476" s="14" t="str">
        <f t="shared" si="95"/>
        <v>1</v>
      </c>
      <c r="G476" s="14" t="str">
        <f>"8"</f>
        <v>8</v>
      </c>
      <c r="H476" s="14" t="str">
        <f t="shared" si="94"/>
        <v>1</v>
      </c>
      <c r="I476" s="6">
        <v>7683085</v>
      </c>
    </row>
    <row r="477" spans="1:9" x14ac:dyDescent="0.25">
      <c r="A477" s="10">
        <v>467</v>
      </c>
      <c r="B477" s="1">
        <v>45930</v>
      </c>
      <c r="C477" s="14">
        <v>8</v>
      </c>
      <c r="D477" s="14" t="str">
        <f>"2770"</f>
        <v>2770</v>
      </c>
      <c r="E477" s="14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477" s="14" t="str">
        <f t="shared" si="95"/>
        <v>1</v>
      </c>
      <c r="G477" s="14" t="str">
        <f>"6"</f>
        <v>6</v>
      </c>
      <c r="H477" s="14" t="str">
        <f t="shared" si="94"/>
        <v>1</v>
      </c>
      <c r="I477" s="6">
        <v>8065602.1799999997</v>
      </c>
    </row>
    <row r="478" spans="1:9" x14ac:dyDescent="0.25">
      <c r="A478" s="10">
        <v>468</v>
      </c>
      <c r="B478" s="1">
        <v>45930</v>
      </c>
      <c r="C478" s="14">
        <v>8</v>
      </c>
      <c r="D478" s="14" t="str">
        <f>"2792"</f>
        <v>2792</v>
      </c>
      <c r="E478" s="14" t="str">
        <f>"Предоплата вознаграждения и основного долга по предоставленным займам"</f>
        <v>Предоплата вознаграждения и основного долга по предоставленным займам</v>
      </c>
      <c r="F478" s="14" t="str">
        <f t="shared" si="95"/>
        <v>1</v>
      </c>
      <c r="G478" s="14" t="str">
        <f>"9"</f>
        <v>9</v>
      </c>
      <c r="H478" s="14" t="str">
        <f t="shared" si="94"/>
        <v>1</v>
      </c>
      <c r="I478" s="6">
        <v>3749720.18</v>
      </c>
    </row>
    <row r="479" spans="1:9" x14ac:dyDescent="0.25">
      <c r="A479" s="10">
        <v>469</v>
      </c>
      <c r="B479" s="1">
        <v>45930</v>
      </c>
      <c r="C479" s="14">
        <v>8</v>
      </c>
      <c r="D479" s="14" t="str">
        <f t="shared" ref="D479:D490" si="96">"2794"</f>
        <v>2794</v>
      </c>
      <c r="E479" s="14" t="str">
        <f t="shared" ref="E479:E490" si="97">"Доходы будущих периодов"</f>
        <v>Доходы будущих периодов</v>
      </c>
      <c r="F479" s="14" t="str">
        <f t="shared" si="95"/>
        <v>1</v>
      </c>
      <c r="G479" s="14" t="str">
        <f>"5"</f>
        <v>5</v>
      </c>
      <c r="H479" s="14" t="str">
        <f t="shared" si="94"/>
        <v>1</v>
      </c>
      <c r="I479" s="6">
        <v>5464911.4199999999</v>
      </c>
    </row>
    <row r="480" spans="1:9" x14ac:dyDescent="0.25">
      <c r="A480" s="10">
        <v>470</v>
      </c>
      <c r="B480" s="1">
        <v>45930</v>
      </c>
      <c r="C480" s="14">
        <v>8</v>
      </c>
      <c r="D480" s="14" t="str">
        <f t="shared" si="96"/>
        <v>2794</v>
      </c>
      <c r="E480" s="14" t="str">
        <f t="shared" si="97"/>
        <v>Доходы будущих периодов</v>
      </c>
      <c r="F480" s="14" t="str">
        <f t="shared" si="95"/>
        <v>1</v>
      </c>
      <c r="G480" s="14" t="str">
        <f>"6"</f>
        <v>6</v>
      </c>
      <c r="H480" s="14" t="str">
        <f t="shared" si="94"/>
        <v>1</v>
      </c>
      <c r="I480" s="6">
        <v>111851.11</v>
      </c>
    </row>
    <row r="481" spans="1:9" x14ac:dyDescent="0.25">
      <c r="A481" s="10">
        <v>471</v>
      </c>
      <c r="B481" s="1">
        <v>45930</v>
      </c>
      <c r="C481" s="14">
        <v>8</v>
      </c>
      <c r="D481" s="14" t="str">
        <f t="shared" si="96"/>
        <v>2794</v>
      </c>
      <c r="E481" s="14" t="str">
        <f t="shared" si="97"/>
        <v>Доходы будущих периодов</v>
      </c>
      <c r="F481" s="14" t="str">
        <f t="shared" si="95"/>
        <v>1</v>
      </c>
      <c r="G481" s="14" t="str">
        <f>"7"</f>
        <v>7</v>
      </c>
      <c r="H481" s="14" t="str">
        <f>"3"</f>
        <v>3</v>
      </c>
      <c r="I481" s="6">
        <v>4107610.88</v>
      </c>
    </row>
    <row r="482" spans="1:9" x14ac:dyDescent="0.25">
      <c r="A482" s="10">
        <v>472</v>
      </c>
      <c r="B482" s="1">
        <v>45930</v>
      </c>
      <c r="C482" s="14">
        <v>8</v>
      </c>
      <c r="D482" s="14" t="str">
        <f t="shared" si="96"/>
        <v>2794</v>
      </c>
      <c r="E482" s="14" t="str">
        <f t="shared" si="97"/>
        <v>Доходы будущих периодов</v>
      </c>
      <c r="F482" s="14" t="str">
        <f t="shared" si="95"/>
        <v>1</v>
      </c>
      <c r="G482" s="14" t="str">
        <f>"2"</f>
        <v>2</v>
      </c>
      <c r="H482" s="14" t="str">
        <f>"1"</f>
        <v>1</v>
      </c>
      <c r="I482" s="6">
        <v>11732.01</v>
      </c>
    </row>
    <row r="483" spans="1:9" x14ac:dyDescent="0.25">
      <c r="A483" s="10">
        <v>473</v>
      </c>
      <c r="B483" s="1">
        <v>45930</v>
      </c>
      <c r="C483" s="14">
        <v>8</v>
      </c>
      <c r="D483" s="14" t="str">
        <f t="shared" si="96"/>
        <v>2794</v>
      </c>
      <c r="E483" s="14" t="str">
        <f t="shared" si="97"/>
        <v>Доходы будущих периодов</v>
      </c>
      <c r="F483" s="14" t="str">
        <f t="shared" si="95"/>
        <v>1</v>
      </c>
      <c r="G483" s="14" t="str">
        <f>"7"</f>
        <v>7</v>
      </c>
      <c r="H483" s="14" t="str">
        <f>"1"</f>
        <v>1</v>
      </c>
      <c r="I483" s="6">
        <v>1025306590.48</v>
      </c>
    </row>
    <row r="484" spans="1:9" x14ac:dyDescent="0.25">
      <c r="A484" s="10">
        <v>474</v>
      </c>
      <c r="B484" s="1">
        <v>45930</v>
      </c>
      <c r="C484" s="14">
        <v>8</v>
      </c>
      <c r="D484" s="14" t="str">
        <f t="shared" si="96"/>
        <v>2794</v>
      </c>
      <c r="E484" s="14" t="str">
        <f t="shared" si="97"/>
        <v>Доходы будущих периодов</v>
      </c>
      <c r="F484" s="14" t="str">
        <f t="shared" si="95"/>
        <v>1</v>
      </c>
      <c r="G484" s="14" t="str">
        <f>"7"</f>
        <v>7</v>
      </c>
      <c r="H484" s="14" t="str">
        <f>"2"</f>
        <v>2</v>
      </c>
      <c r="I484" s="6">
        <v>574510327.09000003</v>
      </c>
    </row>
    <row r="485" spans="1:9" x14ac:dyDescent="0.25">
      <c r="A485" s="10">
        <v>475</v>
      </c>
      <c r="B485" s="1">
        <v>45930</v>
      </c>
      <c r="C485" s="14">
        <v>8</v>
      </c>
      <c r="D485" s="14" t="str">
        <f t="shared" si="96"/>
        <v>2794</v>
      </c>
      <c r="E485" s="14" t="str">
        <f t="shared" si="97"/>
        <v>Доходы будущих периодов</v>
      </c>
      <c r="F485" s="14" t="str">
        <f>"2"</f>
        <v>2</v>
      </c>
      <c r="G485" s="14" t="str">
        <f>"7"</f>
        <v>7</v>
      </c>
      <c r="H485" s="14" t="str">
        <f>"1"</f>
        <v>1</v>
      </c>
      <c r="I485" s="6">
        <v>16836063.649999999</v>
      </c>
    </row>
    <row r="486" spans="1:9" x14ac:dyDescent="0.25">
      <c r="A486" s="10">
        <v>476</v>
      </c>
      <c r="B486" s="1">
        <v>45930</v>
      </c>
      <c r="C486" s="14">
        <v>8</v>
      </c>
      <c r="D486" s="14" t="str">
        <f t="shared" si="96"/>
        <v>2794</v>
      </c>
      <c r="E486" s="14" t="str">
        <f t="shared" si="97"/>
        <v>Доходы будущих периодов</v>
      </c>
      <c r="F486" s="14" t="str">
        <f>"1"</f>
        <v>1</v>
      </c>
      <c r="G486" s="14" t="str">
        <f>"9"</f>
        <v>9</v>
      </c>
      <c r="H486" s="14" t="str">
        <f>"1"</f>
        <v>1</v>
      </c>
      <c r="I486" s="6">
        <v>1229481220.27</v>
      </c>
    </row>
    <row r="487" spans="1:9" x14ac:dyDescent="0.25">
      <c r="A487" s="10">
        <v>477</v>
      </c>
      <c r="B487" s="1">
        <v>45930</v>
      </c>
      <c r="C487" s="14">
        <v>8</v>
      </c>
      <c r="D487" s="14" t="str">
        <f t="shared" si="96"/>
        <v>2794</v>
      </c>
      <c r="E487" s="14" t="str">
        <f t="shared" si="97"/>
        <v>Доходы будущих периодов</v>
      </c>
      <c r="F487" s="14" t="str">
        <f>"1"</f>
        <v>1</v>
      </c>
      <c r="G487" s="14" t="str">
        <f>"8"</f>
        <v>8</v>
      </c>
      <c r="H487" s="14" t="str">
        <f>"1"</f>
        <v>1</v>
      </c>
      <c r="I487" s="6">
        <v>817474.47</v>
      </c>
    </row>
    <row r="488" spans="1:9" x14ac:dyDescent="0.25">
      <c r="A488" s="10">
        <v>478</v>
      </c>
      <c r="B488" s="1">
        <v>45930</v>
      </c>
      <c r="C488" s="14">
        <v>8</v>
      </c>
      <c r="D488" s="14" t="str">
        <f t="shared" si="96"/>
        <v>2794</v>
      </c>
      <c r="E488" s="14" t="str">
        <f t="shared" si="97"/>
        <v>Доходы будущих периодов</v>
      </c>
      <c r="F488" s="14" t="str">
        <f>"2"</f>
        <v>2</v>
      </c>
      <c r="G488" s="14" t="str">
        <f>"5"</f>
        <v>5</v>
      </c>
      <c r="H488" s="14" t="str">
        <f>"1"</f>
        <v>1</v>
      </c>
      <c r="I488" s="6">
        <v>859459.47</v>
      </c>
    </row>
    <row r="489" spans="1:9" x14ac:dyDescent="0.25">
      <c r="A489" s="10">
        <v>479</v>
      </c>
      <c r="B489" s="1">
        <v>45930</v>
      </c>
      <c r="C489" s="14">
        <v>8</v>
      </c>
      <c r="D489" s="14" t="str">
        <f t="shared" si="96"/>
        <v>2794</v>
      </c>
      <c r="E489" s="14" t="str">
        <f t="shared" si="97"/>
        <v>Доходы будущих периодов</v>
      </c>
      <c r="F489" s="14" t="str">
        <f>"2"</f>
        <v>2</v>
      </c>
      <c r="G489" s="14" t="str">
        <f>"9"</f>
        <v>9</v>
      </c>
      <c r="H489" s="14" t="str">
        <f>"1"</f>
        <v>1</v>
      </c>
      <c r="I489" s="6">
        <v>391947.6</v>
      </c>
    </row>
    <row r="490" spans="1:9" x14ac:dyDescent="0.25">
      <c r="A490" s="10">
        <v>480</v>
      </c>
      <c r="B490" s="1">
        <v>45930</v>
      </c>
      <c r="C490" s="14">
        <v>8</v>
      </c>
      <c r="D490" s="14" t="str">
        <f t="shared" si="96"/>
        <v>2794</v>
      </c>
      <c r="E490" s="14" t="str">
        <f t="shared" si="97"/>
        <v>Доходы будущих периодов</v>
      </c>
      <c r="F490" s="14" t="str">
        <f>"2"</f>
        <v>2</v>
      </c>
      <c r="G490" s="14" t="str">
        <f>"7"</f>
        <v>7</v>
      </c>
      <c r="H490" s="14" t="str">
        <f>"2"</f>
        <v>2</v>
      </c>
      <c r="I490" s="6">
        <v>7516576.4900000002</v>
      </c>
    </row>
    <row r="491" spans="1:9" x14ac:dyDescent="0.25">
      <c r="A491" s="10">
        <v>481</v>
      </c>
      <c r="B491" s="1">
        <v>45930</v>
      </c>
      <c r="C491" s="14">
        <v>8</v>
      </c>
      <c r="D491" s="14" t="str">
        <f>"2799"</f>
        <v>2799</v>
      </c>
      <c r="E491" s="14" t="str">
        <f>"Прочие предоплаты"</f>
        <v>Прочие предоплаты</v>
      </c>
      <c r="F491" s="14" t="str">
        <f>"1"</f>
        <v>1</v>
      </c>
      <c r="G491" s="14" t="str">
        <f>"9"</f>
        <v>9</v>
      </c>
      <c r="H491" s="14" t="str">
        <f>"1"</f>
        <v>1</v>
      </c>
      <c r="I491" s="6">
        <v>514071484.33999997</v>
      </c>
    </row>
    <row r="492" spans="1:9" x14ac:dyDescent="0.25">
      <c r="A492" s="10">
        <v>482</v>
      </c>
      <c r="B492" s="1">
        <v>45930</v>
      </c>
      <c r="C492" s="14">
        <v>8</v>
      </c>
      <c r="D492" s="14" t="str">
        <f>"2811"</f>
        <v>2811</v>
      </c>
      <c r="E492" s="14" t="str">
        <f>"Начисленные комиссионные расходы по услугам по переводным операциям"</f>
        <v>Начисленные комиссионные расходы по услугам по переводным операциям</v>
      </c>
      <c r="F492" s="14" t="str">
        <f>"2"</f>
        <v>2</v>
      </c>
      <c r="G492" s="14" t="str">
        <f>""</f>
        <v/>
      </c>
      <c r="H492" s="14" t="str">
        <f>"2"</f>
        <v>2</v>
      </c>
      <c r="I492" s="6">
        <v>33136474.100000001</v>
      </c>
    </row>
    <row r="493" spans="1:9" x14ac:dyDescent="0.25">
      <c r="A493" s="10">
        <v>483</v>
      </c>
      <c r="B493" s="1">
        <v>45930</v>
      </c>
      <c r="C493" s="14">
        <v>8</v>
      </c>
      <c r="D493" s="14" t="str">
        <f>"2811"</f>
        <v>2811</v>
      </c>
      <c r="E493" s="14" t="str">
        <f>"Начисленные комиссионные расходы по услугам по переводным операциям"</f>
        <v>Начисленные комиссионные расходы по услугам по переводным операциям</v>
      </c>
      <c r="F493" s="14" t="str">
        <f>"1"</f>
        <v>1</v>
      </c>
      <c r="G493" s="14" t="str">
        <f>""</f>
        <v/>
      </c>
      <c r="H493" s="14" t="str">
        <f>"2"</f>
        <v>2</v>
      </c>
      <c r="I493" s="6">
        <v>89324.82</v>
      </c>
    </row>
    <row r="494" spans="1:9" x14ac:dyDescent="0.25">
      <c r="A494" s="10">
        <v>484</v>
      </c>
      <c r="B494" s="1">
        <v>45930</v>
      </c>
      <c r="C494" s="14">
        <v>8</v>
      </c>
      <c r="D494" s="14" t="str">
        <f>"2813"</f>
        <v>2813</v>
      </c>
      <c r="E494" s="14" t="str">
        <f>"Начисленные комиссионные расходы по услугам  по купле-продаже ценных бумаг"</f>
        <v>Начисленные комиссионные расходы по услугам  по купле-продаже ценных бумаг</v>
      </c>
      <c r="F494" s="14" t="str">
        <f>"2"</f>
        <v>2</v>
      </c>
      <c r="G494" s="14" t="str">
        <f>""</f>
        <v/>
      </c>
      <c r="H494" s="14" t="str">
        <f>"2"</f>
        <v>2</v>
      </c>
      <c r="I494" s="6">
        <v>1934610</v>
      </c>
    </row>
    <row r="495" spans="1:9" x14ac:dyDescent="0.25">
      <c r="A495" s="10">
        <v>485</v>
      </c>
      <c r="B495" s="1">
        <v>45930</v>
      </c>
      <c r="C495" s="14">
        <v>8</v>
      </c>
      <c r="D495" s="14" t="str">
        <f>"2818"</f>
        <v>2818</v>
      </c>
      <c r="E495" s="14" t="str">
        <f>"Начисленные прочие комиссионные расходы"</f>
        <v>Начисленные прочие комиссионные расходы</v>
      </c>
      <c r="F495" s="14" t="str">
        <f>"1"</f>
        <v>1</v>
      </c>
      <c r="G495" s="14" t="str">
        <f>""</f>
        <v/>
      </c>
      <c r="H495" s="14" t="str">
        <f>"1"</f>
        <v>1</v>
      </c>
      <c r="I495" s="6">
        <v>3837780.92</v>
      </c>
    </row>
    <row r="496" spans="1:9" x14ac:dyDescent="0.25">
      <c r="A496" s="10">
        <v>486</v>
      </c>
      <c r="B496" s="1">
        <v>45930</v>
      </c>
      <c r="C496" s="14">
        <v>8</v>
      </c>
      <c r="D496" s="14" t="str">
        <f>"2818"</f>
        <v>2818</v>
      </c>
      <c r="E496" s="14" t="str">
        <f>"Начисленные прочие комиссионные расходы"</f>
        <v>Начисленные прочие комиссионные расходы</v>
      </c>
      <c r="F496" s="14" t="str">
        <f>"2"</f>
        <v>2</v>
      </c>
      <c r="G496" s="14" t="str">
        <f>""</f>
        <v/>
      </c>
      <c r="H496" s="14" t="str">
        <f>"3"</f>
        <v>3</v>
      </c>
      <c r="I496" s="6">
        <v>447345</v>
      </c>
    </row>
    <row r="497" spans="1:9" x14ac:dyDescent="0.25">
      <c r="A497" s="10">
        <v>487</v>
      </c>
      <c r="B497" s="1">
        <v>45930</v>
      </c>
      <c r="C497" s="14">
        <v>8</v>
      </c>
      <c r="D497" s="14" t="str">
        <f>"2818"</f>
        <v>2818</v>
      </c>
      <c r="E497" s="14" t="str">
        <f>"Начисленные прочие комиссионные расходы"</f>
        <v>Начисленные прочие комиссионные расходы</v>
      </c>
      <c r="F497" s="14" t="str">
        <f>"2"</f>
        <v>2</v>
      </c>
      <c r="G497" s="14" t="str">
        <f>""</f>
        <v/>
      </c>
      <c r="H497" s="14" t="str">
        <f>"2"</f>
        <v>2</v>
      </c>
      <c r="I497" s="6">
        <v>2230622.58</v>
      </c>
    </row>
    <row r="498" spans="1:9" x14ac:dyDescent="0.25">
      <c r="A498" s="10">
        <v>488</v>
      </c>
      <c r="B498" s="1">
        <v>45930</v>
      </c>
      <c r="C498" s="14">
        <v>8</v>
      </c>
      <c r="D498" s="14" t="str">
        <f>"2851"</f>
        <v>2851</v>
      </c>
      <c r="E498" s="14" t="str">
        <f>"Расчеты по налогам и другим обязательным платежам в бюджет"</f>
        <v>Расчеты по налогам и другим обязательным платежам в бюджет</v>
      </c>
      <c r="F498" s="14" t="str">
        <f>"1"</f>
        <v>1</v>
      </c>
      <c r="G498" s="14" t="str">
        <f>"1"</f>
        <v>1</v>
      </c>
      <c r="H498" s="14" t="str">
        <f>"1"</f>
        <v>1</v>
      </c>
      <c r="I498" s="6">
        <v>2886091727.3000002</v>
      </c>
    </row>
    <row r="499" spans="1:9" x14ac:dyDescent="0.25">
      <c r="A499" s="10">
        <v>489</v>
      </c>
      <c r="B499" s="1">
        <v>45930</v>
      </c>
      <c r="C499" s="14">
        <v>8</v>
      </c>
      <c r="D499" s="14" t="str">
        <f>"2853"</f>
        <v>2853</v>
      </c>
      <c r="E499" s="14" t="str">
        <f>"Расчеты с акционерами (по дивидендам)"</f>
        <v>Расчеты с акционерами (по дивидендам)</v>
      </c>
      <c r="F499" s="14" t="str">
        <f>"1"</f>
        <v>1</v>
      </c>
      <c r="G499" s="14" t="str">
        <f>"7"</f>
        <v>7</v>
      </c>
      <c r="H499" s="14" t="str">
        <f>"1"</f>
        <v>1</v>
      </c>
      <c r="I499" s="6">
        <v>2324700</v>
      </c>
    </row>
    <row r="500" spans="1:9" x14ac:dyDescent="0.25">
      <c r="A500" s="10">
        <v>490</v>
      </c>
      <c r="B500" s="1">
        <v>45930</v>
      </c>
      <c r="C500" s="14">
        <v>8</v>
      </c>
      <c r="D500" s="14" t="str">
        <f>"2853"</f>
        <v>2853</v>
      </c>
      <c r="E500" s="14" t="str">
        <f>"Расчеты с акционерами (по дивидендам)"</f>
        <v>Расчеты с акционерами (по дивидендам)</v>
      </c>
      <c r="F500" s="14" t="str">
        <f>"1"</f>
        <v>1</v>
      </c>
      <c r="G500" s="14" t="str">
        <f>"9"</f>
        <v>9</v>
      </c>
      <c r="H500" s="14" t="str">
        <f>"1"</f>
        <v>1</v>
      </c>
      <c r="I500" s="6">
        <v>30931097.82</v>
      </c>
    </row>
    <row r="501" spans="1:9" x14ac:dyDescent="0.25">
      <c r="A501" s="10">
        <v>491</v>
      </c>
      <c r="B501" s="1">
        <v>45930</v>
      </c>
      <c r="C501" s="14">
        <v>8</v>
      </c>
      <c r="D501" s="14" t="str">
        <f>"2854"</f>
        <v>2854</v>
      </c>
      <c r="E501" s="14" t="str">
        <f>"Расчеты с работниками"</f>
        <v>Расчеты с работниками</v>
      </c>
      <c r="F501" s="14" t="str">
        <f>""</f>
        <v/>
      </c>
      <c r="G501" s="14" t="str">
        <f>""</f>
        <v/>
      </c>
      <c r="H501" s="14" t="str">
        <f>""</f>
        <v/>
      </c>
      <c r="I501" s="6">
        <v>13500605.050000001</v>
      </c>
    </row>
    <row r="502" spans="1:9" x14ac:dyDescent="0.25">
      <c r="A502" s="10">
        <v>492</v>
      </c>
      <c r="B502" s="1">
        <v>45930</v>
      </c>
      <c r="C502" s="14">
        <v>8</v>
      </c>
      <c r="D502" s="14" t="str">
        <f>"2857"</f>
        <v>2857</v>
      </c>
      <c r="E502" s="14" t="str">
        <f>"Отложенные налоговые обязательства"</f>
        <v>Отложенные налоговые обязательства</v>
      </c>
      <c r="F502" s="14" t="str">
        <f>""</f>
        <v/>
      </c>
      <c r="G502" s="14" t="str">
        <f>""</f>
        <v/>
      </c>
      <c r="H502" s="14" t="str">
        <f>""</f>
        <v/>
      </c>
      <c r="I502" s="6">
        <v>18560091339.549999</v>
      </c>
    </row>
    <row r="503" spans="1:9" x14ac:dyDescent="0.25">
      <c r="A503" s="10">
        <v>493</v>
      </c>
      <c r="B503" s="1">
        <v>45930</v>
      </c>
      <c r="C503" s="14">
        <v>8</v>
      </c>
      <c r="D503" s="14" t="str">
        <f t="shared" ref="D503:D512" si="98">"2860"</f>
        <v>2860</v>
      </c>
      <c r="E503" s="14" t="str">
        <f t="shared" ref="E503:E512" si="99">"Прочие кредиторы по банковской деятельности"</f>
        <v>Прочие кредиторы по банковской деятельности</v>
      </c>
      <c r="F503" s="14" t="str">
        <f t="shared" ref="F503:F509" si="100">"1"</f>
        <v>1</v>
      </c>
      <c r="G503" s="14" t="str">
        <f>"7"</f>
        <v>7</v>
      </c>
      <c r="H503" s="14" t="str">
        <f>"1"</f>
        <v>1</v>
      </c>
      <c r="I503" s="6">
        <v>903583951.89999998</v>
      </c>
    </row>
    <row r="504" spans="1:9" x14ac:dyDescent="0.25">
      <c r="A504" s="10">
        <v>494</v>
      </c>
      <c r="B504" s="1">
        <v>45930</v>
      </c>
      <c r="C504" s="14">
        <v>8</v>
      </c>
      <c r="D504" s="14" t="str">
        <f t="shared" si="98"/>
        <v>2860</v>
      </c>
      <c r="E504" s="14" t="str">
        <f t="shared" si="99"/>
        <v>Прочие кредиторы по банковской деятельности</v>
      </c>
      <c r="F504" s="14" t="str">
        <f t="shared" si="100"/>
        <v>1</v>
      </c>
      <c r="G504" s="14" t="str">
        <f>"7"</f>
        <v>7</v>
      </c>
      <c r="H504" s="14" t="str">
        <f>"3"</f>
        <v>3</v>
      </c>
      <c r="I504" s="6">
        <v>100227.94</v>
      </c>
    </row>
    <row r="505" spans="1:9" x14ac:dyDescent="0.25">
      <c r="A505" s="10">
        <v>495</v>
      </c>
      <c r="B505" s="1">
        <v>45930</v>
      </c>
      <c r="C505" s="14">
        <v>8</v>
      </c>
      <c r="D505" s="14" t="str">
        <f t="shared" si="98"/>
        <v>2860</v>
      </c>
      <c r="E505" s="14" t="str">
        <f t="shared" si="99"/>
        <v>Прочие кредиторы по банковской деятельности</v>
      </c>
      <c r="F505" s="14" t="str">
        <f t="shared" si="100"/>
        <v>1</v>
      </c>
      <c r="G505" s="14" t="str">
        <f>"4"</f>
        <v>4</v>
      </c>
      <c r="H505" s="14" t="str">
        <f>"2"</f>
        <v>2</v>
      </c>
      <c r="I505" s="6">
        <v>21085044.609999999</v>
      </c>
    </row>
    <row r="506" spans="1:9" x14ac:dyDescent="0.25">
      <c r="A506" s="10">
        <v>496</v>
      </c>
      <c r="B506" s="1">
        <v>45930</v>
      </c>
      <c r="C506" s="14">
        <v>8</v>
      </c>
      <c r="D506" s="14" t="str">
        <f t="shared" si="98"/>
        <v>2860</v>
      </c>
      <c r="E506" s="14" t="str">
        <f t="shared" si="99"/>
        <v>Прочие кредиторы по банковской деятельности</v>
      </c>
      <c r="F506" s="14" t="str">
        <f t="shared" si="100"/>
        <v>1</v>
      </c>
      <c r="G506" s="14" t="str">
        <f>"4"</f>
        <v>4</v>
      </c>
      <c r="H506" s="14" t="str">
        <f>"1"</f>
        <v>1</v>
      </c>
      <c r="I506" s="6">
        <v>53858843.18</v>
      </c>
    </row>
    <row r="507" spans="1:9" x14ac:dyDescent="0.25">
      <c r="A507" s="10">
        <v>497</v>
      </c>
      <c r="B507" s="1">
        <v>45930</v>
      </c>
      <c r="C507" s="14">
        <v>8</v>
      </c>
      <c r="D507" s="14" t="str">
        <f t="shared" si="98"/>
        <v>2860</v>
      </c>
      <c r="E507" s="14" t="str">
        <f t="shared" si="99"/>
        <v>Прочие кредиторы по банковской деятельности</v>
      </c>
      <c r="F507" s="14" t="str">
        <f t="shared" si="100"/>
        <v>1</v>
      </c>
      <c r="G507" s="14" t="str">
        <f>"5"</f>
        <v>5</v>
      </c>
      <c r="H507" s="14" t="str">
        <f>"1"</f>
        <v>1</v>
      </c>
      <c r="I507" s="6">
        <v>63858291.799999997</v>
      </c>
    </row>
    <row r="508" spans="1:9" x14ac:dyDescent="0.25">
      <c r="A508" s="10">
        <v>498</v>
      </c>
      <c r="B508" s="1">
        <v>45930</v>
      </c>
      <c r="C508" s="14">
        <v>8</v>
      </c>
      <c r="D508" s="14" t="str">
        <f t="shared" si="98"/>
        <v>2860</v>
      </c>
      <c r="E508" s="14" t="str">
        <f t="shared" si="99"/>
        <v>Прочие кредиторы по банковской деятельности</v>
      </c>
      <c r="F508" s="14" t="str">
        <f t="shared" si="100"/>
        <v>1</v>
      </c>
      <c r="G508" s="14" t="str">
        <f>"9"</f>
        <v>9</v>
      </c>
      <c r="H508" s="14" t="str">
        <f>"1"</f>
        <v>1</v>
      </c>
      <c r="I508" s="6">
        <v>221754599.46000001</v>
      </c>
    </row>
    <row r="509" spans="1:9" x14ac:dyDescent="0.25">
      <c r="A509" s="10">
        <v>499</v>
      </c>
      <c r="B509" s="1">
        <v>45930</v>
      </c>
      <c r="C509" s="14">
        <v>8</v>
      </c>
      <c r="D509" s="14" t="str">
        <f t="shared" si="98"/>
        <v>2860</v>
      </c>
      <c r="E509" s="14" t="str">
        <f t="shared" si="99"/>
        <v>Прочие кредиторы по банковской деятельности</v>
      </c>
      <c r="F509" s="14" t="str">
        <f t="shared" si="100"/>
        <v>1</v>
      </c>
      <c r="G509" s="14" t="str">
        <f>"2"</f>
        <v>2</v>
      </c>
      <c r="H509" s="14" t="str">
        <f>"1"</f>
        <v>1</v>
      </c>
      <c r="I509" s="6">
        <v>26219885.059999999</v>
      </c>
    </row>
    <row r="510" spans="1:9" x14ac:dyDescent="0.25">
      <c r="A510" s="10">
        <v>500</v>
      </c>
      <c r="B510" s="1">
        <v>45930</v>
      </c>
      <c r="C510" s="14">
        <v>8</v>
      </c>
      <c r="D510" s="14" t="str">
        <f t="shared" si="98"/>
        <v>2860</v>
      </c>
      <c r="E510" s="14" t="str">
        <f t="shared" si="99"/>
        <v>Прочие кредиторы по банковской деятельности</v>
      </c>
      <c r="F510" s="14" t="str">
        <f>"2"</f>
        <v>2</v>
      </c>
      <c r="G510" s="14" t="str">
        <f>"7"</f>
        <v>7</v>
      </c>
      <c r="H510" s="14" t="str">
        <f>"2"</f>
        <v>2</v>
      </c>
      <c r="I510" s="6">
        <v>11056300.43</v>
      </c>
    </row>
    <row r="511" spans="1:9" x14ac:dyDescent="0.25">
      <c r="A511" s="10">
        <v>501</v>
      </c>
      <c r="B511" s="1">
        <v>45930</v>
      </c>
      <c r="C511" s="14">
        <v>8</v>
      </c>
      <c r="D511" s="14" t="str">
        <f t="shared" si="98"/>
        <v>2860</v>
      </c>
      <c r="E511" s="14" t="str">
        <f t="shared" si="99"/>
        <v>Прочие кредиторы по банковской деятельности</v>
      </c>
      <c r="F511" s="14" t="str">
        <f>"1"</f>
        <v>1</v>
      </c>
      <c r="G511" s="14" t="str">
        <f>"7"</f>
        <v>7</v>
      </c>
      <c r="H511" s="14" t="str">
        <f>"2"</f>
        <v>2</v>
      </c>
      <c r="I511" s="6">
        <v>170971.79</v>
      </c>
    </row>
    <row r="512" spans="1:9" x14ac:dyDescent="0.25">
      <c r="A512" s="10">
        <v>502</v>
      </c>
      <c r="B512" s="1">
        <v>45930</v>
      </c>
      <c r="C512" s="14">
        <v>8</v>
      </c>
      <c r="D512" s="14" t="str">
        <f t="shared" si="98"/>
        <v>2860</v>
      </c>
      <c r="E512" s="14" t="str">
        <f t="shared" si="99"/>
        <v>Прочие кредиторы по банковской деятельности</v>
      </c>
      <c r="F512" s="14" t="str">
        <f>"1"</f>
        <v>1</v>
      </c>
      <c r="G512" s="14" t="str">
        <f>"9"</f>
        <v>9</v>
      </c>
      <c r="H512" s="14" t="str">
        <f>"2"</f>
        <v>2</v>
      </c>
      <c r="I512" s="6">
        <v>15099150</v>
      </c>
    </row>
    <row r="513" spans="1:9" x14ac:dyDescent="0.25">
      <c r="A513" s="10">
        <v>503</v>
      </c>
      <c r="B513" s="1">
        <v>45930</v>
      </c>
      <c r="C513" s="14">
        <v>8</v>
      </c>
      <c r="D513" s="14" t="str">
        <f>"2861"</f>
        <v>2861</v>
      </c>
      <c r="E513" s="14" t="str">
        <f>"Резерв на отпускные выплаты"</f>
        <v>Резерв на отпускные выплаты</v>
      </c>
      <c r="F513" s="14" t="str">
        <f>""</f>
        <v/>
      </c>
      <c r="G513" s="14" t="str">
        <f>""</f>
        <v/>
      </c>
      <c r="H513" s="14" t="str">
        <f>""</f>
        <v/>
      </c>
      <c r="I513" s="6">
        <v>1748179950.8299999</v>
      </c>
    </row>
    <row r="514" spans="1:9" x14ac:dyDescent="0.25">
      <c r="A514" s="10">
        <v>504</v>
      </c>
      <c r="B514" s="1">
        <v>45930</v>
      </c>
      <c r="C514" s="14">
        <v>8</v>
      </c>
      <c r="D514" s="14" t="str">
        <f>"2863"</f>
        <v>2863</v>
      </c>
      <c r="E514" s="14" t="str">
        <f>"Обязательства по привилегированным акциям"</f>
        <v>Обязательства по привилегированным акциям</v>
      </c>
      <c r="F514" s="14" t="str">
        <f t="shared" ref="F514:F531" si="101">"1"</f>
        <v>1</v>
      </c>
      <c r="G514" s="14" t="str">
        <f>"7"</f>
        <v>7</v>
      </c>
      <c r="H514" s="14" t="str">
        <f>"1"</f>
        <v>1</v>
      </c>
      <c r="I514" s="6">
        <v>389254500</v>
      </c>
    </row>
    <row r="515" spans="1:9" x14ac:dyDescent="0.25">
      <c r="A515" s="10">
        <v>505</v>
      </c>
      <c r="B515" s="1">
        <v>45930</v>
      </c>
      <c r="C515" s="14">
        <v>8</v>
      </c>
      <c r="D515" s="14" t="str">
        <f>"2867"</f>
        <v>2867</v>
      </c>
      <c r="E515" s="14" t="str">
        <f>"Прочие кредиторы по неосновной деятельности"</f>
        <v>Прочие кредиторы по неосновной деятельности</v>
      </c>
      <c r="F515" s="14" t="str">
        <f t="shared" si="101"/>
        <v>1</v>
      </c>
      <c r="G515" s="14" t="str">
        <f>"7"</f>
        <v>7</v>
      </c>
      <c r="H515" s="14" t="str">
        <f>"1"</f>
        <v>1</v>
      </c>
      <c r="I515" s="6">
        <v>0.3</v>
      </c>
    </row>
    <row r="516" spans="1:9" x14ac:dyDescent="0.25">
      <c r="A516" s="10">
        <v>506</v>
      </c>
      <c r="B516" s="1">
        <v>45930</v>
      </c>
      <c r="C516" s="14">
        <v>8</v>
      </c>
      <c r="D516" s="14" t="str">
        <f t="shared" ref="D516:D521" si="102">"2869"</f>
        <v>2869</v>
      </c>
      <c r="E516" s="14" t="str">
        <f t="shared" ref="E516:E521" si="103">"Выданные гарантии"</f>
        <v>Выданные гарантии</v>
      </c>
      <c r="F516" s="14" t="str">
        <f t="shared" si="101"/>
        <v>1</v>
      </c>
      <c r="G516" s="14" t="str">
        <f>"7"</f>
        <v>7</v>
      </c>
      <c r="H516" s="14" t="str">
        <f>"1"</f>
        <v>1</v>
      </c>
      <c r="I516" s="6">
        <v>847635820.45000005</v>
      </c>
    </row>
    <row r="517" spans="1:9" x14ac:dyDescent="0.25">
      <c r="A517" s="10">
        <v>507</v>
      </c>
      <c r="B517" s="1">
        <v>45930</v>
      </c>
      <c r="C517" s="14">
        <v>8</v>
      </c>
      <c r="D517" s="14" t="str">
        <f t="shared" si="102"/>
        <v>2869</v>
      </c>
      <c r="E517" s="14" t="str">
        <f t="shared" si="103"/>
        <v>Выданные гарантии</v>
      </c>
      <c r="F517" s="14" t="str">
        <f t="shared" si="101"/>
        <v>1</v>
      </c>
      <c r="G517" s="14" t="str">
        <f>"5"</f>
        <v>5</v>
      </c>
      <c r="H517" s="14" t="str">
        <f>"1"</f>
        <v>1</v>
      </c>
      <c r="I517" s="6">
        <v>2748.06</v>
      </c>
    </row>
    <row r="518" spans="1:9" x14ac:dyDescent="0.25">
      <c r="A518" s="10">
        <v>508</v>
      </c>
      <c r="B518" s="1">
        <v>45930</v>
      </c>
      <c r="C518" s="14">
        <v>8</v>
      </c>
      <c r="D518" s="14" t="str">
        <f t="shared" si="102"/>
        <v>2869</v>
      </c>
      <c r="E518" s="14" t="str">
        <f t="shared" si="103"/>
        <v>Выданные гарантии</v>
      </c>
      <c r="F518" s="14" t="str">
        <f t="shared" si="101"/>
        <v>1</v>
      </c>
      <c r="G518" s="14" t="str">
        <f>"7"</f>
        <v>7</v>
      </c>
      <c r="H518" s="14" t="str">
        <f>"2"</f>
        <v>2</v>
      </c>
      <c r="I518" s="6">
        <v>7978001.0199999996</v>
      </c>
    </row>
    <row r="519" spans="1:9" x14ac:dyDescent="0.25">
      <c r="A519" s="10">
        <v>509</v>
      </c>
      <c r="B519" s="1">
        <v>45930</v>
      </c>
      <c r="C519" s="14">
        <v>8</v>
      </c>
      <c r="D519" s="14" t="str">
        <f t="shared" si="102"/>
        <v>2869</v>
      </c>
      <c r="E519" s="14" t="str">
        <f t="shared" si="103"/>
        <v>Выданные гарантии</v>
      </c>
      <c r="F519" s="14" t="str">
        <f t="shared" si="101"/>
        <v>1</v>
      </c>
      <c r="G519" s="14" t="str">
        <f>"7"</f>
        <v>7</v>
      </c>
      <c r="H519" s="14" t="str">
        <f>"3"</f>
        <v>3</v>
      </c>
      <c r="I519" s="6">
        <v>1183803.8799999999</v>
      </c>
    </row>
    <row r="520" spans="1:9" x14ac:dyDescent="0.25">
      <c r="A520" s="10">
        <v>510</v>
      </c>
      <c r="B520" s="1">
        <v>45930</v>
      </c>
      <c r="C520" s="14">
        <v>8</v>
      </c>
      <c r="D520" s="14" t="str">
        <f t="shared" si="102"/>
        <v>2869</v>
      </c>
      <c r="E520" s="14" t="str">
        <f t="shared" si="103"/>
        <v>Выданные гарантии</v>
      </c>
      <c r="F520" s="14" t="str">
        <f t="shared" si="101"/>
        <v>1</v>
      </c>
      <c r="G520" s="14" t="str">
        <f>"9"</f>
        <v>9</v>
      </c>
      <c r="H520" s="14" t="str">
        <f>"1"</f>
        <v>1</v>
      </c>
      <c r="I520" s="6">
        <v>116950.44</v>
      </c>
    </row>
    <row r="521" spans="1:9" x14ac:dyDescent="0.25">
      <c r="A521" s="10">
        <v>511</v>
      </c>
      <c r="B521" s="1">
        <v>45930</v>
      </c>
      <c r="C521" s="14">
        <v>8</v>
      </c>
      <c r="D521" s="14" t="str">
        <f t="shared" si="102"/>
        <v>2869</v>
      </c>
      <c r="E521" s="14" t="str">
        <f t="shared" si="103"/>
        <v>Выданные гарантии</v>
      </c>
      <c r="F521" s="14" t="str">
        <f t="shared" si="101"/>
        <v>1</v>
      </c>
      <c r="G521" s="14" t="str">
        <f>"9"</f>
        <v>9</v>
      </c>
      <c r="H521" s="14" t="str">
        <f>"2"</f>
        <v>2</v>
      </c>
      <c r="I521" s="6">
        <v>109367.26</v>
      </c>
    </row>
    <row r="522" spans="1:9" x14ac:dyDescent="0.25">
      <c r="A522" s="10">
        <v>512</v>
      </c>
      <c r="B522" s="1">
        <v>45930</v>
      </c>
      <c r="C522" s="14">
        <v>8</v>
      </c>
      <c r="D522" s="14" t="str">
        <f t="shared" ref="D522:D536" si="104">"2870"</f>
        <v>2870</v>
      </c>
      <c r="E522" s="14" t="str">
        <f t="shared" ref="E522:E536" si="105">"Прочие транзитные счета"</f>
        <v>Прочие транзитные счета</v>
      </c>
      <c r="F522" s="14" t="str">
        <f t="shared" si="101"/>
        <v>1</v>
      </c>
      <c r="G522" s="14" t="str">
        <f>"4"</f>
        <v>4</v>
      </c>
      <c r="H522" s="14" t="str">
        <f>"2"</f>
        <v>2</v>
      </c>
      <c r="I522" s="6">
        <v>143931889.31</v>
      </c>
    </row>
    <row r="523" spans="1:9" x14ac:dyDescent="0.25">
      <c r="A523" s="10">
        <v>513</v>
      </c>
      <c r="B523" s="1">
        <v>45930</v>
      </c>
      <c r="C523" s="14">
        <v>8</v>
      </c>
      <c r="D523" s="14" t="str">
        <f t="shared" si="104"/>
        <v>2870</v>
      </c>
      <c r="E523" s="14" t="str">
        <f t="shared" si="105"/>
        <v>Прочие транзитные счета</v>
      </c>
      <c r="F523" s="14" t="str">
        <f t="shared" si="101"/>
        <v>1</v>
      </c>
      <c r="G523" s="14" t="str">
        <f>"4"</f>
        <v>4</v>
      </c>
      <c r="H523" s="14" t="str">
        <f>"3"</f>
        <v>3</v>
      </c>
      <c r="I523" s="6">
        <v>1275053.1399999999</v>
      </c>
    </row>
    <row r="524" spans="1:9" x14ac:dyDescent="0.25">
      <c r="A524" s="10">
        <v>514</v>
      </c>
      <c r="B524" s="1">
        <v>45930</v>
      </c>
      <c r="C524" s="14">
        <v>8</v>
      </c>
      <c r="D524" s="14" t="str">
        <f t="shared" si="104"/>
        <v>2870</v>
      </c>
      <c r="E524" s="14" t="str">
        <f t="shared" si="105"/>
        <v>Прочие транзитные счета</v>
      </c>
      <c r="F524" s="14" t="str">
        <f t="shared" si="101"/>
        <v>1</v>
      </c>
      <c r="G524" s="14" t="str">
        <f>"5"</f>
        <v>5</v>
      </c>
      <c r="H524" s="14" t="str">
        <f>"1"</f>
        <v>1</v>
      </c>
      <c r="I524" s="6">
        <v>154132768.13999999</v>
      </c>
    </row>
    <row r="525" spans="1:9" x14ac:dyDescent="0.25">
      <c r="A525" s="10">
        <v>515</v>
      </c>
      <c r="B525" s="1">
        <v>45930</v>
      </c>
      <c r="C525" s="14">
        <v>8</v>
      </c>
      <c r="D525" s="14" t="str">
        <f t="shared" si="104"/>
        <v>2870</v>
      </c>
      <c r="E525" s="14" t="str">
        <f t="shared" si="105"/>
        <v>Прочие транзитные счета</v>
      </c>
      <c r="F525" s="14" t="str">
        <f t="shared" si="101"/>
        <v>1</v>
      </c>
      <c r="G525" s="14" t="str">
        <f>"7"</f>
        <v>7</v>
      </c>
      <c r="H525" s="14" t="str">
        <f>"1"</f>
        <v>1</v>
      </c>
      <c r="I525" s="6">
        <v>69112149.739999995</v>
      </c>
    </row>
    <row r="526" spans="1:9" x14ac:dyDescent="0.25">
      <c r="A526" s="10">
        <v>516</v>
      </c>
      <c r="B526" s="1">
        <v>45930</v>
      </c>
      <c r="C526" s="14">
        <v>8</v>
      </c>
      <c r="D526" s="14" t="str">
        <f t="shared" si="104"/>
        <v>2870</v>
      </c>
      <c r="E526" s="14" t="str">
        <f t="shared" si="105"/>
        <v>Прочие транзитные счета</v>
      </c>
      <c r="F526" s="14" t="str">
        <f t="shared" si="101"/>
        <v>1</v>
      </c>
      <c r="G526" s="14" t="str">
        <f>"7"</f>
        <v>7</v>
      </c>
      <c r="H526" s="14" t="str">
        <f>"2"</f>
        <v>2</v>
      </c>
      <c r="I526" s="6">
        <v>415980905.29000002</v>
      </c>
    </row>
    <row r="527" spans="1:9" x14ac:dyDescent="0.25">
      <c r="A527" s="10">
        <v>517</v>
      </c>
      <c r="B527" s="1">
        <v>45930</v>
      </c>
      <c r="C527" s="14">
        <v>8</v>
      </c>
      <c r="D527" s="14" t="str">
        <f t="shared" si="104"/>
        <v>2870</v>
      </c>
      <c r="E527" s="14" t="str">
        <f t="shared" si="105"/>
        <v>Прочие транзитные счета</v>
      </c>
      <c r="F527" s="14" t="str">
        <f t="shared" si="101"/>
        <v>1</v>
      </c>
      <c r="G527" s="14" t="str">
        <f>"9"</f>
        <v>9</v>
      </c>
      <c r="H527" s="14" t="str">
        <f>"1"</f>
        <v>1</v>
      </c>
      <c r="I527" s="6">
        <v>629226657.64999998</v>
      </c>
    </row>
    <row r="528" spans="1:9" x14ac:dyDescent="0.25">
      <c r="A528" s="10">
        <v>518</v>
      </c>
      <c r="B528" s="1">
        <v>45930</v>
      </c>
      <c r="C528" s="14">
        <v>8</v>
      </c>
      <c r="D528" s="14" t="str">
        <f t="shared" si="104"/>
        <v>2870</v>
      </c>
      <c r="E528" s="14" t="str">
        <f t="shared" si="105"/>
        <v>Прочие транзитные счета</v>
      </c>
      <c r="F528" s="14" t="str">
        <f t="shared" si="101"/>
        <v>1</v>
      </c>
      <c r="G528" s="14" t="str">
        <f>"4"</f>
        <v>4</v>
      </c>
      <c r="H528" s="14" t="str">
        <f>"1"</f>
        <v>1</v>
      </c>
      <c r="I528" s="6">
        <v>467282361.49000001</v>
      </c>
    </row>
    <row r="529" spans="1:9" x14ac:dyDescent="0.25">
      <c r="A529" s="10">
        <v>519</v>
      </c>
      <c r="B529" s="1">
        <v>45930</v>
      </c>
      <c r="C529" s="14">
        <v>8</v>
      </c>
      <c r="D529" s="14" t="str">
        <f t="shared" si="104"/>
        <v>2870</v>
      </c>
      <c r="E529" s="14" t="str">
        <f t="shared" si="105"/>
        <v>Прочие транзитные счета</v>
      </c>
      <c r="F529" s="14" t="str">
        <f t="shared" si="101"/>
        <v>1</v>
      </c>
      <c r="G529" s="14" t="str">
        <f>"9"</f>
        <v>9</v>
      </c>
      <c r="H529" s="14" t="str">
        <f>"3"</f>
        <v>3</v>
      </c>
      <c r="I529" s="6">
        <v>6660000</v>
      </c>
    </row>
    <row r="530" spans="1:9" x14ac:dyDescent="0.25">
      <c r="A530" s="10">
        <v>520</v>
      </c>
      <c r="B530" s="1">
        <v>45930</v>
      </c>
      <c r="C530" s="14">
        <v>8</v>
      </c>
      <c r="D530" s="14" t="str">
        <f t="shared" si="104"/>
        <v>2870</v>
      </c>
      <c r="E530" s="14" t="str">
        <f t="shared" si="105"/>
        <v>Прочие транзитные счета</v>
      </c>
      <c r="F530" s="14" t="str">
        <f t="shared" si="101"/>
        <v>1</v>
      </c>
      <c r="G530" s="14" t="str">
        <f>"9"</f>
        <v>9</v>
      </c>
      <c r="H530" s="14" t="str">
        <f>"2"</f>
        <v>2</v>
      </c>
      <c r="I530" s="6">
        <v>101281999.98</v>
      </c>
    </row>
    <row r="531" spans="1:9" x14ac:dyDescent="0.25">
      <c r="A531" s="10">
        <v>521</v>
      </c>
      <c r="B531" s="1">
        <v>45930</v>
      </c>
      <c r="C531" s="14">
        <v>8</v>
      </c>
      <c r="D531" s="14" t="str">
        <f t="shared" si="104"/>
        <v>2870</v>
      </c>
      <c r="E531" s="14" t="str">
        <f t="shared" si="105"/>
        <v>Прочие транзитные счета</v>
      </c>
      <c r="F531" s="14" t="str">
        <f t="shared" si="101"/>
        <v>1</v>
      </c>
      <c r="G531" s="14" t="str">
        <f>"5"</f>
        <v>5</v>
      </c>
      <c r="H531" s="14" t="str">
        <f>"2"</f>
        <v>2</v>
      </c>
      <c r="I531" s="6">
        <v>284639483.33999997</v>
      </c>
    </row>
    <row r="532" spans="1:9" x14ac:dyDescent="0.25">
      <c r="A532" s="10">
        <v>522</v>
      </c>
      <c r="B532" s="1">
        <v>45930</v>
      </c>
      <c r="C532" s="14">
        <v>8</v>
      </c>
      <c r="D532" s="14" t="str">
        <f t="shared" si="104"/>
        <v>2870</v>
      </c>
      <c r="E532" s="14" t="str">
        <f t="shared" si="105"/>
        <v>Прочие транзитные счета</v>
      </c>
      <c r="F532" s="14" t="str">
        <f>"2"</f>
        <v>2</v>
      </c>
      <c r="G532" s="14" t="str">
        <f>"4"</f>
        <v>4</v>
      </c>
      <c r="H532" s="14" t="str">
        <f>"2"</f>
        <v>2</v>
      </c>
      <c r="I532" s="6">
        <v>65724403.710000001</v>
      </c>
    </row>
    <row r="533" spans="1:9" x14ac:dyDescent="0.25">
      <c r="A533" s="10">
        <v>523</v>
      </c>
      <c r="B533" s="1">
        <v>45930</v>
      </c>
      <c r="C533" s="14">
        <v>8</v>
      </c>
      <c r="D533" s="14" t="str">
        <f t="shared" si="104"/>
        <v>2870</v>
      </c>
      <c r="E533" s="14" t="str">
        <f t="shared" si="105"/>
        <v>Прочие транзитные счета</v>
      </c>
      <c r="F533" s="14" t="str">
        <f>"2"</f>
        <v>2</v>
      </c>
      <c r="G533" s="14" t="str">
        <f>"7"</f>
        <v>7</v>
      </c>
      <c r="H533" s="14" t="str">
        <f>"2"</f>
        <v>2</v>
      </c>
      <c r="I533" s="6">
        <v>31900506.789999999</v>
      </c>
    </row>
    <row r="534" spans="1:9" x14ac:dyDescent="0.25">
      <c r="A534" s="10">
        <v>524</v>
      </c>
      <c r="B534" s="1">
        <v>45930</v>
      </c>
      <c r="C534" s="14">
        <v>8</v>
      </c>
      <c r="D534" s="14" t="str">
        <f t="shared" si="104"/>
        <v>2870</v>
      </c>
      <c r="E534" s="14" t="str">
        <f t="shared" si="105"/>
        <v>Прочие транзитные счета</v>
      </c>
      <c r="F534" s="14" t="str">
        <f>"2"</f>
        <v>2</v>
      </c>
      <c r="G534" s="14" t="str">
        <f>"9"</f>
        <v>9</v>
      </c>
      <c r="H534" s="14" t="str">
        <f>"1"</f>
        <v>1</v>
      </c>
      <c r="I534" s="6">
        <v>613690.9</v>
      </c>
    </row>
    <row r="535" spans="1:9" x14ac:dyDescent="0.25">
      <c r="A535" s="10">
        <v>525</v>
      </c>
      <c r="B535" s="1">
        <v>45930</v>
      </c>
      <c r="C535" s="14">
        <v>8</v>
      </c>
      <c r="D535" s="14" t="str">
        <f t="shared" si="104"/>
        <v>2870</v>
      </c>
      <c r="E535" s="14" t="str">
        <f t="shared" si="105"/>
        <v>Прочие транзитные счета</v>
      </c>
      <c r="F535" s="14" t="str">
        <f>"2"</f>
        <v>2</v>
      </c>
      <c r="G535" s="14" t="str">
        <f>"5"</f>
        <v>5</v>
      </c>
      <c r="H535" s="14" t="str">
        <f>"2"</f>
        <v>2</v>
      </c>
      <c r="I535" s="6">
        <v>7229.69</v>
      </c>
    </row>
    <row r="536" spans="1:9" x14ac:dyDescent="0.25">
      <c r="A536" s="10">
        <v>526</v>
      </c>
      <c r="B536" s="1">
        <v>45930</v>
      </c>
      <c r="C536" s="14">
        <v>8</v>
      </c>
      <c r="D536" s="14" t="str">
        <f t="shared" si="104"/>
        <v>2870</v>
      </c>
      <c r="E536" s="14" t="str">
        <f t="shared" si="105"/>
        <v>Прочие транзитные счета</v>
      </c>
      <c r="F536" s="14" t="str">
        <f>"2"</f>
        <v>2</v>
      </c>
      <c r="G536" s="14" t="str">
        <f>"7"</f>
        <v>7</v>
      </c>
      <c r="H536" s="14" t="str">
        <f>"1"</f>
        <v>1</v>
      </c>
      <c r="I536" s="6">
        <v>9739314.2699999996</v>
      </c>
    </row>
    <row r="537" spans="1:9" x14ac:dyDescent="0.25">
      <c r="A537" s="10">
        <v>527</v>
      </c>
      <c r="B537" s="1">
        <v>45930</v>
      </c>
      <c r="C537" s="14">
        <v>8</v>
      </c>
      <c r="D537" s="14" t="str">
        <f>"2874"</f>
        <v>2874</v>
      </c>
      <c r="E537" s="14" t="str">
        <f>"Транзитные счета для переводов физических лиц без открытия счета"</f>
        <v>Транзитные счета для переводов физических лиц без открытия счета</v>
      </c>
      <c r="F537" s="14" t="str">
        <f>"1"</f>
        <v>1</v>
      </c>
      <c r="G537" s="14" t="str">
        <f>""</f>
        <v/>
      </c>
      <c r="H537" s="14" t="str">
        <f>"2"</f>
        <v>2</v>
      </c>
      <c r="I537" s="6">
        <v>2311.54</v>
      </c>
    </row>
    <row r="538" spans="1:9" x14ac:dyDescent="0.25">
      <c r="A538" s="10">
        <v>528</v>
      </c>
      <c r="B538" s="1">
        <v>45930</v>
      </c>
      <c r="C538" s="14">
        <v>8</v>
      </c>
      <c r="D538" s="14" t="str">
        <f>"2875"</f>
        <v>2875</v>
      </c>
      <c r="E538" s="14" t="str">
        <f>"Резервы (провизии) на покрытие убытков по условным обязательствам"</f>
        <v>Резервы (провизии) на покрытие убытков по условным обязательствам</v>
      </c>
      <c r="F538" s="14" t="str">
        <f>"1"</f>
        <v>1</v>
      </c>
      <c r="G538" s="14" t="str">
        <f>"7"</f>
        <v>7</v>
      </c>
      <c r="H538" s="14" t="str">
        <f>"2"</f>
        <v>2</v>
      </c>
      <c r="I538" s="6">
        <v>390623.25</v>
      </c>
    </row>
    <row r="539" spans="1:9" x14ac:dyDescent="0.25">
      <c r="A539" s="10">
        <v>529</v>
      </c>
      <c r="B539" s="1">
        <v>45930</v>
      </c>
      <c r="C539" s="14">
        <v>8</v>
      </c>
      <c r="D539" s="14" t="str">
        <f>"2880"</f>
        <v>2880</v>
      </c>
      <c r="E539" s="14" t="str">
        <f>"Обязательства по секьюритизируемым активам"</f>
        <v>Обязательства по секьюритизируемым активам</v>
      </c>
      <c r="F539" s="14" t="str">
        <f>"1"</f>
        <v>1</v>
      </c>
      <c r="G539" s="14" t="str">
        <f>""</f>
        <v/>
      </c>
      <c r="H539" s="14" t="str">
        <f>"1"</f>
        <v>1</v>
      </c>
      <c r="I539" s="6">
        <v>18670840073.110001</v>
      </c>
    </row>
    <row r="540" spans="1:9" x14ac:dyDescent="0.25">
      <c r="A540" s="10">
        <v>530</v>
      </c>
      <c r="B540" s="1">
        <v>45930</v>
      </c>
      <c r="C540" s="14">
        <v>8</v>
      </c>
      <c r="D540" s="14" t="str">
        <f>"2894"</f>
        <v>2894</v>
      </c>
      <c r="E540" s="14" t="str">
        <f>"Обязательства по операциям спот"</f>
        <v>Обязательства по операциям спот</v>
      </c>
      <c r="F540" s="14" t="str">
        <f>"2"</f>
        <v>2</v>
      </c>
      <c r="G540" s="14" t="str">
        <f>"4"</f>
        <v>4</v>
      </c>
      <c r="H540" s="14" t="str">
        <f>"1"</f>
        <v>1</v>
      </c>
      <c r="I540" s="6">
        <v>83869.45</v>
      </c>
    </row>
    <row r="541" spans="1:9" x14ac:dyDescent="0.25">
      <c r="A541" s="10">
        <v>531</v>
      </c>
      <c r="B541" s="1">
        <v>45930</v>
      </c>
      <c r="C541" s="14">
        <v>8</v>
      </c>
      <c r="D541" s="14" t="str">
        <f>"2895"</f>
        <v>2895</v>
      </c>
      <c r="E541" s="14" t="str">
        <f>"Обязательства по операциям своп"</f>
        <v>Обязательства по операциям своп</v>
      </c>
      <c r="F541" s="14" t="str">
        <f>"2"</f>
        <v>2</v>
      </c>
      <c r="G541" s="14" t="str">
        <f>"4"</f>
        <v>4</v>
      </c>
      <c r="H541" s="14" t="str">
        <f>"1"</f>
        <v>1</v>
      </c>
      <c r="I541" s="6">
        <v>34733408.689999998</v>
      </c>
    </row>
    <row r="542" spans="1:9" x14ac:dyDescent="0.25">
      <c r="A542" s="10">
        <v>532</v>
      </c>
      <c r="B542" s="1">
        <v>45930</v>
      </c>
      <c r="C542" s="14">
        <v>8</v>
      </c>
      <c r="D542" s="14" t="str">
        <f>"3001"</f>
        <v>3001</v>
      </c>
      <c r="E542" s="14" t="str">
        <f>"Уставный капитал – простые акции"</f>
        <v>Уставный капитал – простые акции</v>
      </c>
      <c r="F542" s="14" t="str">
        <f>""</f>
        <v/>
      </c>
      <c r="G542" s="14" t="str">
        <f>""</f>
        <v/>
      </c>
      <c r="H542" s="14" t="str">
        <f>""</f>
        <v/>
      </c>
      <c r="I542" s="6">
        <v>219900000000</v>
      </c>
    </row>
    <row r="543" spans="1:9" x14ac:dyDescent="0.25">
      <c r="A543" s="10">
        <v>533</v>
      </c>
      <c r="B543" s="1">
        <v>45930</v>
      </c>
      <c r="C543" s="14">
        <v>8</v>
      </c>
      <c r="D543" s="14" t="str">
        <f>"3025"</f>
        <v>3025</v>
      </c>
      <c r="E543" s="14" t="str">
        <f>"Уставный капитал – привилегированные акции"</f>
        <v>Уставный капитал – привилегированные акции</v>
      </c>
      <c r="F543" s="14" t="str">
        <f>""</f>
        <v/>
      </c>
      <c r="G543" s="14" t="str">
        <f>""</f>
        <v/>
      </c>
      <c r="H543" s="14" t="str">
        <f>""</f>
        <v/>
      </c>
      <c r="I543" s="6">
        <v>4500000000</v>
      </c>
    </row>
    <row r="544" spans="1:9" x14ac:dyDescent="0.25">
      <c r="A544" s="10">
        <v>534</v>
      </c>
      <c r="B544" s="1">
        <v>45930</v>
      </c>
      <c r="C544" s="14">
        <v>8</v>
      </c>
      <c r="D544" s="14" t="str">
        <f>"3510"</f>
        <v>3510</v>
      </c>
      <c r="E544" s="14" t="str">
        <f>"Резервный капитал"</f>
        <v>Резервный капитал</v>
      </c>
      <c r="F544" s="14" t="str">
        <f>""</f>
        <v/>
      </c>
      <c r="G544" s="14" t="str">
        <f>""</f>
        <v/>
      </c>
      <c r="H544" s="14" t="str">
        <f>""</f>
        <v/>
      </c>
      <c r="I544" s="6">
        <v>162306188.84999999</v>
      </c>
    </row>
    <row r="545" spans="1:9" x14ac:dyDescent="0.25">
      <c r="A545" s="10">
        <v>535</v>
      </c>
      <c r="B545" s="1">
        <v>45930</v>
      </c>
      <c r="C545" s="14">
        <v>8</v>
      </c>
      <c r="D545" s="14" t="str">
        <f>"3540"</f>
        <v>3540</v>
      </c>
      <c r="E545" s="14" t="str">
        <f>"Резервы переоценки основных средств и активов в форме права пользования"</f>
        <v>Резервы переоценки основных средств и активов в форме права пользования</v>
      </c>
      <c r="F545" s="14" t="str">
        <f>""</f>
        <v/>
      </c>
      <c r="G545" s="14" t="str">
        <f>""</f>
        <v/>
      </c>
      <c r="H545" s="14" t="str">
        <f>""</f>
        <v/>
      </c>
      <c r="I545" s="6">
        <v>6884381523.1499996</v>
      </c>
    </row>
    <row r="546" spans="1:9" x14ac:dyDescent="0.25">
      <c r="A546" s="10">
        <v>536</v>
      </c>
      <c r="B546" s="1">
        <v>45930</v>
      </c>
      <c r="C546" s="14">
        <v>8</v>
      </c>
      <c r="D546" s="14" t="str">
        <f>"3561"</f>
        <v>3561</v>
      </c>
      <c r="E546" s="14" t="str">
        <f>"Резервы переоценки стоимости ценных бумаг, учитываемых по справедливой стоимости через прочий совокупный доход"</f>
        <v>Резервы переоценки стоимости ценных бумаг, учитываемых по справедливой стоимости через прочий совокупный доход</v>
      </c>
      <c r="F546" s="14" t="str">
        <f>"1"</f>
        <v>1</v>
      </c>
      <c r="G546" s="14" t="str">
        <f>""</f>
        <v/>
      </c>
      <c r="H546" s="14" t="str">
        <f>"1"</f>
        <v>1</v>
      </c>
      <c r="I546" s="6">
        <v>-16259882133.16</v>
      </c>
    </row>
    <row r="547" spans="1:9" x14ac:dyDescent="0.25">
      <c r="A547" s="10">
        <v>537</v>
      </c>
      <c r="B547" s="1">
        <v>45930</v>
      </c>
      <c r="C547" s="14">
        <v>8</v>
      </c>
      <c r="D547" s="14" t="str">
        <f>"3562"</f>
        <v>3562</v>
      </c>
      <c r="E547" s="14" t="str">
        <f>"Резервы (провизии) под ожидаемые кредитные убытки по ценным бумагам, учитываемым по справедливой стоимости через прочий совокупный доход»"</f>
        <v>Резервы (провизии) под ожидаемые кредитные убытки по ценным бумагам, учитываемым по справедливой стоимости через прочий совокупный доход»</v>
      </c>
      <c r="F547" s="14" t="str">
        <f>"1"</f>
        <v>1</v>
      </c>
      <c r="G547" s="14" t="str">
        <f>""</f>
        <v/>
      </c>
      <c r="H547" s="14" t="str">
        <f>"2"</f>
        <v>2</v>
      </c>
      <c r="I547" s="6">
        <v>378002100.55000001</v>
      </c>
    </row>
    <row r="548" spans="1:9" x14ac:dyDescent="0.25">
      <c r="A548" s="10">
        <v>538</v>
      </c>
      <c r="B548" s="1">
        <v>45930</v>
      </c>
      <c r="C548" s="14">
        <v>8</v>
      </c>
      <c r="D548" s="14" t="str">
        <f>"3562"</f>
        <v>3562</v>
      </c>
      <c r="E548" s="14" t="str">
        <f>"Резервы (провизии) под ожидаемые кредитные убытки по ценным бумагам, учитываемым по справедливой стоимости через прочий совокупный доход»"</f>
        <v>Резервы (провизии) под ожидаемые кредитные убытки по ценным бумагам, учитываемым по справедливой стоимости через прочий совокупный доход»</v>
      </c>
      <c r="F548" s="14" t="str">
        <f>"1"</f>
        <v>1</v>
      </c>
      <c r="G548" s="14" t="str">
        <f>""</f>
        <v/>
      </c>
      <c r="H548" s="14" t="str">
        <f>"1"</f>
        <v>1</v>
      </c>
      <c r="I548" s="6">
        <v>339579630.35000002</v>
      </c>
    </row>
    <row r="549" spans="1:9" x14ac:dyDescent="0.25">
      <c r="A549" s="10">
        <v>539</v>
      </c>
      <c r="B549" s="1">
        <v>45930</v>
      </c>
      <c r="C549" s="14">
        <v>8</v>
      </c>
      <c r="D549" s="14" t="str">
        <f>"3580"</f>
        <v>3580</v>
      </c>
      <c r="E549" s="14" t="str">
        <f>"Нераспределенная чистая прибыль (непокрытый убыток) прошлых лет"</f>
        <v>Нераспределенная чистая прибыль (непокрытый убыток) прошлых лет</v>
      </c>
      <c r="F549" s="14" t="str">
        <f>""</f>
        <v/>
      </c>
      <c r="G549" s="14" t="str">
        <f>""</f>
        <v/>
      </c>
      <c r="H549" s="14" t="str">
        <f>""</f>
        <v/>
      </c>
      <c r="I549" s="6">
        <v>-46379037418.800003</v>
      </c>
    </row>
    <row r="550" spans="1:9" x14ac:dyDescent="0.25">
      <c r="A550" s="10">
        <v>540</v>
      </c>
      <c r="B550" s="1">
        <v>45930</v>
      </c>
      <c r="C550" s="14">
        <v>8</v>
      </c>
      <c r="D550" s="14" t="str">
        <f>"3599"</f>
        <v>3599</v>
      </c>
      <c r="E550" s="14" t="str">
        <f>"Нераспределенная чистая прибыль (непокрытый убыток)"</f>
        <v>Нераспределенная чистая прибыль (непокрытый убыток)</v>
      </c>
      <c r="F550" s="14" t="str">
        <f>""</f>
        <v/>
      </c>
      <c r="G550" s="14" t="str">
        <f>""</f>
        <v/>
      </c>
      <c r="H550" s="14" t="str">
        <f>""</f>
        <v/>
      </c>
      <c r="I550" s="6">
        <v>50424163486.18</v>
      </c>
    </row>
    <row r="551" spans="1:9" x14ac:dyDescent="0.25">
      <c r="A551" s="10">
        <v>541</v>
      </c>
      <c r="B551" s="1">
        <v>45930</v>
      </c>
      <c r="C551" s="14">
        <v>8</v>
      </c>
      <c r="D551" s="14" t="str">
        <f>"4052"</f>
        <v>4052</v>
      </c>
      <c r="E551" s="14" t="str">
        <f>"Доходы, связанные с получением вознаграждения по корреспондентским счетам в других банках"</f>
        <v>Доходы, связанные с получением вознаграждения по корреспондентским счетам в других банках</v>
      </c>
      <c r="F551" s="14" t="str">
        <f>""</f>
        <v/>
      </c>
      <c r="G551" s="14" t="str">
        <f>""</f>
        <v/>
      </c>
      <c r="H551" s="14" t="str">
        <f>""</f>
        <v/>
      </c>
      <c r="I551" s="6">
        <v>109137704.97</v>
      </c>
    </row>
    <row r="552" spans="1:9" x14ac:dyDescent="0.25">
      <c r="A552" s="10">
        <v>542</v>
      </c>
      <c r="B552" s="1">
        <v>45930</v>
      </c>
      <c r="C552" s="14">
        <v>8</v>
      </c>
      <c r="D552" s="14" t="str">
        <f>"4101"</f>
        <v>4101</v>
      </c>
      <c r="E552" s="14" t="str">
        <f>"Доходы, связанные с получением вознаграждения по вкладам, размещенным в Национальном Банке Республики Казахстан (на одну ночь)"</f>
        <v>Доходы, связанные с получением вознаграждения по вкладам, размещенным в Национальном Банке Республики Казахстан (на одну ночь)</v>
      </c>
      <c r="F552" s="14" t="str">
        <f>""</f>
        <v/>
      </c>
      <c r="G552" s="14" t="str">
        <f>""</f>
        <v/>
      </c>
      <c r="H552" s="14" t="str">
        <f>""</f>
        <v/>
      </c>
      <c r="I552" s="6">
        <v>1798821527.8199999</v>
      </c>
    </row>
    <row r="553" spans="1:9" x14ac:dyDescent="0.25">
      <c r="A553" s="10">
        <v>543</v>
      </c>
      <c r="B553" s="1">
        <v>45930</v>
      </c>
      <c r="C553" s="14">
        <v>8</v>
      </c>
      <c r="D553" s="14" t="str">
        <f>"4103"</f>
        <v>4103</v>
      </c>
      <c r="E553" s="14" t="str">
        <f>"Доходы, связанные с получением вознаграждения по срочным вкладам, размещенным в Национальном Банке Республики Казахстан"</f>
        <v>Доходы, связанные с получением вознаграждения по срочным вкладам, размещенным в Национальном Банке Республики Казахстан</v>
      </c>
      <c r="F553" s="14" t="str">
        <f>""</f>
        <v/>
      </c>
      <c r="G553" s="14" t="str">
        <f>""</f>
        <v/>
      </c>
      <c r="H553" s="14" t="str">
        <f>""</f>
        <v/>
      </c>
      <c r="I553" s="6">
        <v>7919519673.0900002</v>
      </c>
    </row>
    <row r="554" spans="1:9" x14ac:dyDescent="0.25">
      <c r="A554" s="10">
        <v>544</v>
      </c>
      <c r="B554" s="1">
        <v>45930</v>
      </c>
      <c r="C554" s="14">
        <v>8</v>
      </c>
      <c r="D554" s="14" t="str">
        <f>"4201"</f>
        <v>4201</v>
      </c>
      <c r="E554" s="14" t="str">
        <f>"Доходы, связанные с получением вознаграждения по ценным бумагам, учитываемым по справедливой стоимости через прибыль или убыток"</f>
        <v>Доходы, связанные с получением вознаграждения по ценным бумагам, учитываемым по справедливой стоимости через прибыль или убыток</v>
      </c>
      <c r="F554" s="14" t="str">
        <f>""</f>
        <v/>
      </c>
      <c r="G554" s="14" t="str">
        <f>""</f>
        <v/>
      </c>
      <c r="H554" s="14" t="str">
        <f>""</f>
        <v/>
      </c>
      <c r="I554" s="6">
        <v>71095791.530000001</v>
      </c>
    </row>
    <row r="555" spans="1:9" x14ac:dyDescent="0.25">
      <c r="A555" s="10">
        <v>545</v>
      </c>
      <c r="B555" s="1">
        <v>45930</v>
      </c>
      <c r="C555" s="14">
        <v>8</v>
      </c>
      <c r="D555" s="14" t="str">
        <f>"4202"</f>
        <v>4202</v>
      </c>
      <c r="E555" s="14" t="str">
        <f>"Доходы по амортизации дисконта по приобретенным ценным бумагам, учитываемым по справедливой стоимости через прибыль или убыток"</f>
        <v>Доходы по амортизации дисконта по приобретенным ценным бумагам, учитываемым по справедливой стоимости через прибыль или убыток</v>
      </c>
      <c r="F555" s="14" t="str">
        <f>""</f>
        <v/>
      </c>
      <c r="G555" s="14" t="str">
        <f>""</f>
        <v/>
      </c>
      <c r="H555" s="14" t="str">
        <f>""</f>
        <v/>
      </c>
      <c r="I555" s="6">
        <v>11636121.859999999</v>
      </c>
    </row>
    <row r="556" spans="1:9" x14ac:dyDescent="0.25">
      <c r="A556" s="10">
        <v>546</v>
      </c>
      <c r="B556" s="1">
        <v>45930</v>
      </c>
      <c r="C556" s="14">
        <v>8</v>
      </c>
      <c r="D556" s="14" t="str">
        <f>"4251"</f>
        <v>4251</v>
      </c>
      <c r="E556" s="14" t="str">
        <f>"Доходы, связанные с получением вознаграждения по вкладам, размещенным в других банках (на одну ночь)"</f>
        <v>Доходы, связанные с получением вознаграждения по вкладам, размещенным в других банках (на одну ночь)</v>
      </c>
      <c r="F556" s="14" t="str">
        <f>""</f>
        <v/>
      </c>
      <c r="G556" s="14" t="str">
        <f>""</f>
        <v/>
      </c>
      <c r="H556" s="14" t="str">
        <f>""</f>
        <v/>
      </c>
      <c r="I556" s="6">
        <v>721549487.22000003</v>
      </c>
    </row>
    <row r="557" spans="1:9" x14ac:dyDescent="0.25">
      <c r="A557" s="10">
        <v>547</v>
      </c>
      <c r="B557" s="1">
        <v>45930</v>
      </c>
      <c r="C557" s="14">
        <v>8</v>
      </c>
      <c r="D557" s="14" t="str">
        <f>"4253"</f>
        <v>4253</v>
      </c>
      <c r="E557" s="14" t="str">
        <f>"Доходы, связанные с получением вознаграждения по краткосрочным вкладам, размещенным в других банках (до одного месяца)"</f>
        <v>Доходы, связанные с получением вознаграждения по краткосрочным вкладам, размещенным в других банках (до одного месяца)</v>
      </c>
      <c r="F557" s="14" t="str">
        <f>""</f>
        <v/>
      </c>
      <c r="G557" s="14" t="str">
        <f>""</f>
        <v/>
      </c>
      <c r="H557" s="14" t="str">
        <f>""</f>
        <v/>
      </c>
      <c r="I557" s="6">
        <v>943006.14</v>
      </c>
    </row>
    <row r="558" spans="1:9" x14ac:dyDescent="0.25">
      <c r="A558" s="10">
        <v>548</v>
      </c>
      <c r="B558" s="1">
        <v>45930</v>
      </c>
      <c r="C558" s="14">
        <v>8</v>
      </c>
      <c r="D558" s="14" t="str">
        <f>"4265"</f>
        <v>4265</v>
      </c>
      <c r="E558" s="14" t="str">
        <f>"Доходы, связанные с получением вознаграждения по вкладу, являющемуся обеспечением обязательств банка, ипотечной организации и акционерного общества «Банк Развития Казахстана»"</f>
        <v>Доходы, связанные с получением вознаграждения по вкладу, являющемуся обеспечением обязательств банка, ипотечной организации и акционерного общества «Банк Развития Казахстана»</v>
      </c>
      <c r="F558" s="14" t="str">
        <f>""</f>
        <v/>
      </c>
      <c r="G558" s="14" t="str">
        <f>""</f>
        <v/>
      </c>
      <c r="H558" s="14" t="str">
        <f>""</f>
        <v/>
      </c>
      <c r="I558" s="6">
        <v>329692155.58999997</v>
      </c>
    </row>
    <row r="559" spans="1:9" x14ac:dyDescent="0.25">
      <c r="A559" s="10">
        <v>549</v>
      </c>
      <c r="B559" s="1">
        <v>45930</v>
      </c>
      <c r="C559" s="14">
        <v>8</v>
      </c>
      <c r="D559" s="14" t="str">
        <f>"4267"</f>
        <v>4267</v>
      </c>
      <c r="E559" s="14" t="str">
        <f>"Доходы, связанные с получением вознаграждения на сумму денег, переданных в качестве обеспечения (заклад, задаток) обязательств"</f>
        <v>Доходы, связанные с получением вознаграждения на сумму денег, переданных в качестве обеспечения (заклад, задаток) обязательств</v>
      </c>
      <c r="F559" s="14" t="str">
        <f>""</f>
        <v/>
      </c>
      <c r="G559" s="14" t="str">
        <f>""</f>
        <v/>
      </c>
      <c r="H559" s="14" t="str">
        <f>""</f>
        <v/>
      </c>
      <c r="I559" s="6">
        <v>10757800.380000001</v>
      </c>
    </row>
    <row r="560" spans="1:9" x14ac:dyDescent="0.25">
      <c r="A560" s="10">
        <v>550</v>
      </c>
      <c r="B560" s="1">
        <v>45930</v>
      </c>
      <c r="C560" s="14">
        <v>8</v>
      </c>
      <c r="D560" s="14" t="str">
        <f>"4401"</f>
        <v>4401</v>
      </c>
      <c r="E560" s="14" t="str">
        <f>"Доходы, связанные с получением вознаграждения по займам овердрафт, предоставленным клиентам"</f>
        <v>Доходы, связанные с получением вознаграждения по займам овердрафт, предоставленным клиентам</v>
      </c>
      <c r="F560" s="14" t="str">
        <f>""</f>
        <v/>
      </c>
      <c r="G560" s="14" t="str">
        <f>""</f>
        <v/>
      </c>
      <c r="H560" s="14" t="str">
        <f>""</f>
        <v/>
      </c>
      <c r="I560" s="6">
        <v>12.69</v>
      </c>
    </row>
    <row r="561" spans="1:9" x14ac:dyDescent="0.25">
      <c r="A561" s="10">
        <v>551</v>
      </c>
      <c r="B561" s="1">
        <v>45930</v>
      </c>
      <c r="C561" s="14">
        <v>8</v>
      </c>
      <c r="D561" s="14" t="str">
        <f>"4403"</f>
        <v>4403</v>
      </c>
      <c r="E561" s="14" t="str">
        <f>"Доходы, связанные с получением вознаграждения по кредитным карточкам клиентов"</f>
        <v>Доходы, связанные с получением вознаграждения по кредитным карточкам клиентов</v>
      </c>
      <c r="F561" s="14" t="str">
        <f>""</f>
        <v/>
      </c>
      <c r="G561" s="14" t="str">
        <f>""</f>
        <v/>
      </c>
      <c r="H561" s="14" t="str">
        <f>""</f>
        <v/>
      </c>
      <c r="I561" s="6">
        <v>2225020.88</v>
      </c>
    </row>
    <row r="562" spans="1:9" x14ac:dyDescent="0.25">
      <c r="A562" s="10">
        <v>552</v>
      </c>
      <c r="B562" s="1">
        <v>45930</v>
      </c>
      <c r="C562" s="14">
        <v>8</v>
      </c>
      <c r="D562" s="14" t="str">
        <f>"4411"</f>
        <v>4411</v>
      </c>
      <c r="E562" s="14" t="str">
        <f>"Доходы, связанные с получением вознаграждения по краткосрочным займам, предоставленным клиентам"</f>
        <v>Доходы, связанные с получением вознаграждения по краткосрочным займам, предоставленным клиентам</v>
      </c>
      <c r="F562" s="14" t="str">
        <f>""</f>
        <v/>
      </c>
      <c r="G562" s="14" t="str">
        <f>""</f>
        <v/>
      </c>
      <c r="H562" s="14" t="str">
        <f>""</f>
        <v/>
      </c>
      <c r="I562" s="6">
        <v>18203547441.299999</v>
      </c>
    </row>
    <row r="563" spans="1:9" x14ac:dyDescent="0.25">
      <c r="A563" s="10">
        <v>553</v>
      </c>
      <c r="B563" s="1">
        <v>45930</v>
      </c>
      <c r="C563" s="14">
        <v>8</v>
      </c>
      <c r="D563" s="14" t="str">
        <f>"4417"</f>
        <v>4417</v>
      </c>
      <c r="E563" s="14" t="str">
        <f>"Доходы, связанные с получением вознаграждения по долгосрочным займам, предоставленным клиентам"</f>
        <v>Доходы, связанные с получением вознаграждения по долгосрочным займам, предоставленным клиентам</v>
      </c>
      <c r="F563" s="14" t="str">
        <f>""</f>
        <v/>
      </c>
      <c r="G563" s="14" t="str">
        <f>""</f>
        <v/>
      </c>
      <c r="H563" s="14" t="str">
        <f>""</f>
        <v/>
      </c>
      <c r="I563" s="6">
        <v>132087486918.99001</v>
      </c>
    </row>
    <row r="564" spans="1:9" x14ac:dyDescent="0.25">
      <c r="A564" s="10">
        <v>554</v>
      </c>
      <c r="B564" s="1">
        <v>45930</v>
      </c>
      <c r="C564" s="14">
        <v>8</v>
      </c>
      <c r="D564" s="14" t="str">
        <f>"4424"</f>
        <v>4424</v>
      </c>
      <c r="E564" s="14" t="str">
        <f>"Доходы, связанные с получением вознаграждения по просроченной задолженности клиентов по займам"</f>
        <v>Доходы, связанные с получением вознаграждения по просроченной задолженности клиентов по займам</v>
      </c>
      <c r="F564" s="14" t="str">
        <f>""</f>
        <v/>
      </c>
      <c r="G564" s="14" t="str">
        <f>""</f>
        <v/>
      </c>
      <c r="H564" s="14" t="str">
        <f>""</f>
        <v/>
      </c>
      <c r="I564" s="6">
        <v>7456756078.8800001</v>
      </c>
    </row>
    <row r="565" spans="1:9" x14ac:dyDescent="0.25">
      <c r="A565" s="10">
        <v>555</v>
      </c>
      <c r="B565" s="1">
        <v>45930</v>
      </c>
      <c r="C565" s="14">
        <v>8</v>
      </c>
      <c r="D565" s="14" t="str">
        <f>"4429"</f>
        <v>4429</v>
      </c>
      <c r="E565" s="14" t="str">
        <f>"Комиссионное вознаграждение по займам, предоставленным клиентам"</f>
        <v>Комиссионное вознаграждение по займам, предоставленным клиентам</v>
      </c>
      <c r="F565" s="14" t="str">
        <f>""</f>
        <v/>
      </c>
      <c r="G565" s="14" t="str">
        <f>""</f>
        <v/>
      </c>
      <c r="H565" s="14" t="str">
        <f>""</f>
        <v/>
      </c>
      <c r="I565" s="6">
        <v>6633900</v>
      </c>
    </row>
    <row r="566" spans="1:9" x14ac:dyDescent="0.25">
      <c r="A566" s="10">
        <v>556</v>
      </c>
      <c r="B566" s="1">
        <v>45930</v>
      </c>
      <c r="C566" s="14">
        <v>8</v>
      </c>
      <c r="D566" s="14" t="str">
        <f>"4434"</f>
        <v>4434</v>
      </c>
      <c r="E566" s="14" t="str">
        <f>"Доходы в виде корректировки процентных доходов, признаваемых методом эффективной ставки процента по займам, предоставленным клиентам"</f>
        <v>Доходы в виде корректировки процентных доходов, признаваемых методом эффективной ставки процента по займам, предоставленным клиентам</v>
      </c>
      <c r="F566" s="14" t="str">
        <f>""</f>
        <v/>
      </c>
      <c r="G566" s="14" t="str">
        <f>""</f>
        <v/>
      </c>
      <c r="H566" s="14" t="str">
        <f>""</f>
        <v/>
      </c>
      <c r="I566" s="6">
        <v>6696990812.7700005</v>
      </c>
    </row>
    <row r="567" spans="1:9" x14ac:dyDescent="0.25">
      <c r="A567" s="10">
        <v>557</v>
      </c>
      <c r="B567" s="1">
        <v>45930</v>
      </c>
      <c r="C567" s="14">
        <v>8</v>
      </c>
      <c r="D567" s="14" t="str">
        <f>"4436"</f>
        <v>4436</v>
      </c>
      <c r="E567" s="14" t="str">
        <f>"Доходы в виде корректировки валовой балансовой стоимости в связи с модификацией займов, предоставленных клиентам"</f>
        <v>Доходы в виде корректировки валовой балансовой стоимости в связи с модификацией займов, предоставленных клиентам</v>
      </c>
      <c r="F567" s="14" t="str">
        <f>""</f>
        <v/>
      </c>
      <c r="G567" s="14" t="str">
        <f>""</f>
        <v/>
      </c>
      <c r="H567" s="14" t="str">
        <f>""</f>
        <v/>
      </c>
      <c r="I567" s="6">
        <v>6454955346.9799995</v>
      </c>
    </row>
    <row r="568" spans="1:9" x14ac:dyDescent="0.25">
      <c r="A568" s="10">
        <v>558</v>
      </c>
      <c r="B568" s="1">
        <v>45930</v>
      </c>
      <c r="C568" s="14">
        <v>8</v>
      </c>
      <c r="D568" s="14" t="str">
        <f>"4452"</f>
        <v>4452</v>
      </c>
      <c r="E568" s="14" t="str">
        <f>"Доходы, связанные с получением вознаграждения по ценным бумагам, учитываемым по справедливой стоимости через прочий совокупный доход"</f>
        <v>Доходы, связанные с получением вознаграждения по ценным бумагам, учитываемым по справедливой стоимости через прочий совокупный доход</v>
      </c>
      <c r="F568" s="14" t="str">
        <f>""</f>
        <v/>
      </c>
      <c r="G568" s="14" t="str">
        <f>""</f>
        <v/>
      </c>
      <c r="H568" s="14" t="str">
        <f>""</f>
        <v/>
      </c>
      <c r="I568" s="6">
        <v>19193230078.139999</v>
      </c>
    </row>
    <row r="569" spans="1:9" x14ac:dyDescent="0.25">
      <c r="A569" s="10">
        <v>559</v>
      </c>
      <c r="B569" s="1">
        <v>45930</v>
      </c>
      <c r="C569" s="14">
        <v>8</v>
      </c>
      <c r="D569" s="14" t="str">
        <f>"4453"</f>
        <v>4453</v>
      </c>
      <c r="E569" s="14" t="str">
        <f>"Доходы по амортизации дисконта по ценным бумагам, учитываемым по справедливой стоимости через прочий совокупный доход"</f>
        <v>Доходы по амортизации дисконта по ценным бумагам, учитываемым по справедливой стоимости через прочий совокупный доход</v>
      </c>
      <c r="F569" s="14" t="str">
        <f>""</f>
        <v/>
      </c>
      <c r="G569" s="14" t="str">
        <f>""</f>
        <v/>
      </c>
      <c r="H569" s="14" t="str">
        <f>""</f>
        <v/>
      </c>
      <c r="I569" s="6">
        <v>23249050084.98</v>
      </c>
    </row>
    <row r="570" spans="1:9" x14ac:dyDescent="0.25">
      <c r="A570" s="10">
        <v>560</v>
      </c>
      <c r="B570" s="1">
        <v>45930</v>
      </c>
      <c r="C570" s="14">
        <v>8</v>
      </c>
      <c r="D570" s="14" t="str">
        <f>"4454"</f>
        <v>4454</v>
      </c>
      <c r="E570" s="14" t="str">
        <f>"Доходы по амортизации премии по выпущенным в обращение ценным бумагам"</f>
        <v>Доходы по амортизации премии по выпущенным в обращение ценным бумагам</v>
      </c>
      <c r="F570" s="14" t="str">
        <f>""</f>
        <v/>
      </c>
      <c r="G570" s="14" t="str">
        <f>""</f>
        <v/>
      </c>
      <c r="H570" s="14" t="str">
        <f>""</f>
        <v/>
      </c>
      <c r="I570" s="6">
        <v>381107938.02999997</v>
      </c>
    </row>
    <row r="571" spans="1:9" x14ac:dyDescent="0.25">
      <c r="A571" s="10">
        <v>561</v>
      </c>
      <c r="B571" s="1">
        <v>45930</v>
      </c>
      <c r="C571" s="14">
        <v>8</v>
      </c>
      <c r="D571" s="14" t="str">
        <f>"4455"</f>
        <v>4455</v>
      </c>
      <c r="E571" s="14" t="str">
        <f>"Доходы по амортизации премии по выпущенным в обращение субординированным облигациям"</f>
        <v>Доходы по амортизации премии по выпущенным в обращение субординированным облигациям</v>
      </c>
      <c r="F571" s="14" t="str">
        <f>""</f>
        <v/>
      </c>
      <c r="G571" s="14" t="str">
        <f>""</f>
        <v/>
      </c>
      <c r="H571" s="14" t="str">
        <f>""</f>
        <v/>
      </c>
      <c r="I571" s="6">
        <v>29385427.789999999</v>
      </c>
    </row>
    <row r="572" spans="1:9" x14ac:dyDescent="0.25">
      <c r="A572" s="10">
        <v>562</v>
      </c>
      <c r="B572" s="1">
        <v>45930</v>
      </c>
      <c r="C572" s="14">
        <v>8</v>
      </c>
      <c r="D572" s="14" t="str">
        <f>"4465"</f>
        <v>4465</v>
      </c>
      <c r="E572" s="14" t="str">
        <f>"Доходы по операциям «РЕПО» с ценными бумагами"</f>
        <v>Доходы по операциям «РЕПО» с ценными бумагами</v>
      </c>
      <c r="F572" s="14" t="str">
        <f>""</f>
        <v/>
      </c>
      <c r="G572" s="14" t="str">
        <f>""</f>
        <v/>
      </c>
      <c r="H572" s="14" t="str">
        <f>""</f>
        <v/>
      </c>
      <c r="I572" s="6">
        <v>707968331.30999994</v>
      </c>
    </row>
    <row r="573" spans="1:9" x14ac:dyDescent="0.25">
      <c r="A573" s="10">
        <v>563</v>
      </c>
      <c r="B573" s="1">
        <v>45930</v>
      </c>
      <c r="C573" s="14">
        <v>8</v>
      </c>
      <c r="D573" s="14" t="str">
        <f>"4481"</f>
        <v>4481</v>
      </c>
      <c r="E573" s="14" t="str">
        <f>"Доходы, связанные с получением вознаграждения по ценным бумагам, учитываемым по амортизированной стоимости"</f>
        <v>Доходы, связанные с получением вознаграждения по ценным бумагам, учитываемым по амортизированной стоимости</v>
      </c>
      <c r="F573" s="14" t="str">
        <f>""</f>
        <v/>
      </c>
      <c r="G573" s="14" t="str">
        <f>""</f>
        <v/>
      </c>
      <c r="H573" s="14" t="str">
        <f>""</f>
        <v/>
      </c>
      <c r="I573" s="6">
        <v>4954840269.04</v>
      </c>
    </row>
    <row r="574" spans="1:9" x14ac:dyDescent="0.25">
      <c r="A574" s="10">
        <v>564</v>
      </c>
      <c r="B574" s="1">
        <v>45930</v>
      </c>
      <c r="C574" s="14">
        <v>8</v>
      </c>
      <c r="D574" s="14" t="str">
        <f>"4482"</f>
        <v>4482</v>
      </c>
      <c r="E574" s="14" t="str">
        <f>"Доходы по амортизации дисконта по ценным бумагам, учитываемым по амортизированной стоимости"</f>
        <v>Доходы по амортизации дисконта по ценным бумагам, учитываемым по амортизированной стоимости</v>
      </c>
      <c r="F574" s="14" t="str">
        <f>""</f>
        <v/>
      </c>
      <c r="G574" s="14" t="str">
        <f>""</f>
        <v/>
      </c>
      <c r="H574" s="14" t="str">
        <f>""</f>
        <v/>
      </c>
      <c r="I574" s="6">
        <v>8989970442.1299992</v>
      </c>
    </row>
    <row r="575" spans="1:9" x14ac:dyDescent="0.25">
      <c r="A575" s="10">
        <v>565</v>
      </c>
      <c r="B575" s="1">
        <v>45930</v>
      </c>
      <c r="C575" s="14">
        <v>8</v>
      </c>
      <c r="D575" s="14" t="str">
        <f>"4492"</f>
        <v>4492</v>
      </c>
      <c r="E575" s="14" t="str">
        <f>"Доходы по амортизации дисконта по прочим финансовым активам, учитываемым по амортизированной стоимости"</f>
        <v>Доходы по амортизации дисконта по прочим финансовым активам, учитываемым по амортизированной стоимости</v>
      </c>
      <c r="F575" s="14" t="str">
        <f>""</f>
        <v/>
      </c>
      <c r="G575" s="14" t="str">
        <f>""</f>
        <v/>
      </c>
      <c r="H575" s="14" t="str">
        <f>""</f>
        <v/>
      </c>
      <c r="I575" s="6">
        <v>2504088689.6700001</v>
      </c>
    </row>
    <row r="576" spans="1:9" x14ac:dyDescent="0.25">
      <c r="A576" s="10">
        <v>566</v>
      </c>
      <c r="B576" s="1">
        <v>45930</v>
      </c>
      <c r="C576" s="14">
        <v>8</v>
      </c>
      <c r="D576" s="14" t="str">
        <f>"4510"</f>
        <v>4510</v>
      </c>
      <c r="E576" s="14" t="str">
        <f>"Доходы по купле-продаже ценных бумаг"</f>
        <v>Доходы по купле-продаже ценных бумаг</v>
      </c>
      <c r="F576" s="14" t="str">
        <f>""</f>
        <v/>
      </c>
      <c r="G576" s="14" t="str">
        <f>""</f>
        <v/>
      </c>
      <c r="H576" s="14" t="str">
        <f>""</f>
        <v/>
      </c>
      <c r="I576" s="6">
        <v>1609682.95</v>
      </c>
    </row>
    <row r="577" spans="1:9" x14ac:dyDescent="0.25">
      <c r="A577" s="10">
        <v>567</v>
      </c>
      <c r="B577" s="1">
        <v>45930</v>
      </c>
      <c r="C577" s="14">
        <v>8</v>
      </c>
      <c r="D577" s="14" t="str">
        <f>"4530"</f>
        <v>4530</v>
      </c>
      <c r="E577" s="14" t="str">
        <f>"Доходы по купле-продаже иностранной валюты"</f>
        <v>Доходы по купле-продаже иностранной валюты</v>
      </c>
      <c r="F577" s="14" t="str">
        <f>""</f>
        <v/>
      </c>
      <c r="G577" s="14" t="str">
        <f>""</f>
        <v/>
      </c>
      <c r="H577" s="14" t="str">
        <f>""</f>
        <v/>
      </c>
      <c r="I577" s="6">
        <v>41061164962.739998</v>
      </c>
    </row>
    <row r="578" spans="1:9" x14ac:dyDescent="0.25">
      <c r="A578" s="10">
        <v>568</v>
      </c>
      <c r="B578" s="1">
        <v>45930</v>
      </c>
      <c r="C578" s="14">
        <v>8</v>
      </c>
      <c r="D578" s="14" t="str">
        <f>"4540"</f>
        <v>4540</v>
      </c>
      <c r="E578" s="14" t="str">
        <f>"Доходы от продажи аффинированных драгоценных металлов"</f>
        <v>Доходы от продажи аффинированных драгоценных металлов</v>
      </c>
      <c r="F578" s="14" t="str">
        <f>""</f>
        <v/>
      </c>
      <c r="G578" s="14" t="str">
        <f>""</f>
        <v/>
      </c>
      <c r="H578" s="14" t="str">
        <f>""</f>
        <v/>
      </c>
      <c r="I578" s="6">
        <v>116231903.13</v>
      </c>
    </row>
    <row r="579" spans="1:9" x14ac:dyDescent="0.25">
      <c r="A579" s="10">
        <v>569</v>
      </c>
      <c r="B579" s="1">
        <v>45930</v>
      </c>
      <c r="C579" s="14">
        <v>8</v>
      </c>
      <c r="D579" s="14" t="str">
        <f>"4593"</f>
        <v>4593</v>
      </c>
      <c r="E579" s="14" t="str">
        <f>"Доходы от переоценки операций своп"</f>
        <v>Доходы от переоценки операций своп</v>
      </c>
      <c r="F579" s="14" t="str">
        <f>""</f>
        <v/>
      </c>
      <c r="G579" s="14" t="str">
        <f>""</f>
        <v/>
      </c>
      <c r="H579" s="14" t="str">
        <f>""</f>
        <v/>
      </c>
      <c r="I579" s="6">
        <v>99754101.120000005</v>
      </c>
    </row>
    <row r="580" spans="1:9" x14ac:dyDescent="0.25">
      <c r="A580" s="10">
        <v>570</v>
      </c>
      <c r="B580" s="1">
        <v>45930</v>
      </c>
      <c r="C580" s="14">
        <v>8</v>
      </c>
      <c r="D580" s="14" t="str">
        <f>"4601"</f>
        <v>4601</v>
      </c>
      <c r="E580" s="14" t="str">
        <f>"Комиссионные доходы за услуги по переводным операциям"</f>
        <v>Комиссионные доходы за услуги по переводным операциям</v>
      </c>
      <c r="F580" s="14" t="str">
        <f>""</f>
        <v/>
      </c>
      <c r="G580" s="14" t="str">
        <f>""</f>
        <v/>
      </c>
      <c r="H580" s="14" t="str">
        <f>""</f>
        <v/>
      </c>
      <c r="I580" s="6">
        <v>2474396888.1100001</v>
      </c>
    </row>
    <row r="581" spans="1:9" x14ac:dyDescent="0.25">
      <c r="A581" s="10">
        <v>571</v>
      </c>
      <c r="B581" s="1">
        <v>45930</v>
      </c>
      <c r="C581" s="14">
        <v>8</v>
      </c>
      <c r="D581" s="14" t="str">
        <f>"4602"</f>
        <v>4602</v>
      </c>
      <c r="E581" s="14" t="str">
        <f>"Комиссионные доходы за агентские услуги"</f>
        <v>Комиссионные доходы за агентские услуги</v>
      </c>
      <c r="F581" s="14" t="str">
        <f>""</f>
        <v/>
      </c>
      <c r="G581" s="14" t="str">
        <f>""</f>
        <v/>
      </c>
      <c r="H581" s="14" t="str">
        <f>""</f>
        <v/>
      </c>
      <c r="I581" s="6">
        <v>31564626.219999999</v>
      </c>
    </row>
    <row r="582" spans="1:9" x14ac:dyDescent="0.25">
      <c r="A582" s="10">
        <v>572</v>
      </c>
      <c r="B582" s="1">
        <v>45930</v>
      </c>
      <c r="C582" s="14">
        <v>8</v>
      </c>
      <c r="D582" s="14" t="str">
        <f>"4603"</f>
        <v>4603</v>
      </c>
      <c r="E582" s="14" t="str">
        <f>"Комиссионные доходы за услуги по купле-продаже ценных бумаг"</f>
        <v>Комиссионные доходы за услуги по купле-продаже ценных бумаг</v>
      </c>
      <c r="F582" s="14" t="str">
        <f>""</f>
        <v/>
      </c>
      <c r="G582" s="14" t="str">
        <f>""</f>
        <v/>
      </c>
      <c r="H582" s="14" t="str">
        <f>""</f>
        <v/>
      </c>
      <c r="I582" s="6">
        <v>6436523.1100000003</v>
      </c>
    </row>
    <row r="583" spans="1:9" x14ac:dyDescent="0.25">
      <c r="A583" s="10">
        <v>573</v>
      </c>
      <c r="B583" s="1">
        <v>45930</v>
      </c>
      <c r="C583" s="14">
        <v>8</v>
      </c>
      <c r="D583" s="14" t="str">
        <f>"4604"</f>
        <v>4604</v>
      </c>
      <c r="E583" s="14" t="str">
        <f>"Комиссионные доходы за услуги по купле-продаже иностранной валюты"</f>
        <v>Комиссионные доходы за услуги по купле-продаже иностранной валюты</v>
      </c>
      <c r="F583" s="14" t="str">
        <f>""</f>
        <v/>
      </c>
      <c r="G583" s="14" t="str">
        <f>""</f>
        <v/>
      </c>
      <c r="H583" s="14" t="str">
        <f>""</f>
        <v/>
      </c>
      <c r="I583" s="6">
        <v>138379.60999999999</v>
      </c>
    </row>
    <row r="584" spans="1:9" x14ac:dyDescent="0.25">
      <c r="A584" s="10">
        <v>574</v>
      </c>
      <c r="B584" s="1">
        <v>45930</v>
      </c>
      <c r="C584" s="14">
        <v>8</v>
      </c>
      <c r="D584" s="14" t="str">
        <f>"4605"</f>
        <v>4605</v>
      </c>
      <c r="E584" s="14" t="str">
        <f>"Комиссионные доходы за услуги по доверительным операциям"</f>
        <v>Комиссионные доходы за услуги по доверительным операциям</v>
      </c>
      <c r="F584" s="14" t="str">
        <f>""</f>
        <v/>
      </c>
      <c r="G584" s="14" t="str">
        <f>""</f>
        <v/>
      </c>
      <c r="H584" s="14" t="str">
        <f>""</f>
        <v/>
      </c>
      <c r="I584" s="6">
        <v>901851716.12</v>
      </c>
    </row>
    <row r="585" spans="1:9" x14ac:dyDescent="0.25">
      <c r="A585" s="10">
        <v>575</v>
      </c>
      <c r="B585" s="1">
        <v>45930</v>
      </c>
      <c r="C585" s="14">
        <v>8</v>
      </c>
      <c r="D585" s="14" t="str">
        <f>"4606"</f>
        <v>4606</v>
      </c>
      <c r="E585" s="14" t="str">
        <f>"Комиссионные доходы за услуги по операциям с гарантиями"</f>
        <v>Комиссионные доходы за услуги по операциям с гарантиями</v>
      </c>
      <c r="F585" s="14" t="str">
        <f>""</f>
        <v/>
      </c>
      <c r="G585" s="14" t="str">
        <f>""</f>
        <v/>
      </c>
      <c r="H585" s="14" t="str">
        <f>""</f>
        <v/>
      </c>
      <c r="I585" s="6">
        <v>866554039.78999996</v>
      </c>
    </row>
    <row r="586" spans="1:9" x14ac:dyDescent="0.25">
      <c r="A586" s="10">
        <v>576</v>
      </c>
      <c r="B586" s="1">
        <v>45930</v>
      </c>
      <c r="C586" s="14">
        <v>8</v>
      </c>
      <c r="D586" s="14" t="str">
        <f>"4607"</f>
        <v>4607</v>
      </c>
      <c r="E586" s="14" t="str">
        <f>"Комиссионные доходы за услуги по приему вкладов, открытию и ведению банковских счетов клиентов"</f>
        <v>Комиссионные доходы за услуги по приему вкладов, открытию и ведению банковских счетов клиентов</v>
      </c>
      <c r="F586" s="14" t="str">
        <f>""</f>
        <v/>
      </c>
      <c r="G586" s="14" t="str">
        <f>""</f>
        <v/>
      </c>
      <c r="H586" s="14" t="str">
        <f>""</f>
        <v/>
      </c>
      <c r="I586" s="6">
        <v>3317168274.6999998</v>
      </c>
    </row>
    <row r="587" spans="1:9" x14ac:dyDescent="0.25">
      <c r="A587" s="10">
        <v>577</v>
      </c>
      <c r="B587" s="1">
        <v>45930</v>
      </c>
      <c r="C587" s="14">
        <v>8</v>
      </c>
      <c r="D587" s="14" t="str">
        <f>"4608"</f>
        <v>4608</v>
      </c>
      <c r="E587" s="14" t="str">
        <f>"Прочие комиссионные доходы"</f>
        <v>Прочие комиссионные доходы</v>
      </c>
      <c r="F587" s="14" t="str">
        <f>""</f>
        <v/>
      </c>
      <c r="G587" s="14" t="str">
        <f>""</f>
        <v/>
      </c>
      <c r="H587" s="14" t="str">
        <f>""</f>
        <v/>
      </c>
      <c r="I587" s="6">
        <v>232757169.63999999</v>
      </c>
    </row>
    <row r="588" spans="1:9" x14ac:dyDescent="0.25">
      <c r="A588" s="10">
        <v>578</v>
      </c>
      <c r="B588" s="1">
        <v>45930</v>
      </c>
      <c r="C588" s="14">
        <v>8</v>
      </c>
      <c r="D588" s="14" t="str">
        <f>"4609"</f>
        <v>4609</v>
      </c>
      <c r="E588" s="14" t="str">
        <f>"Комиссионные доходы по профессиональной деятельности на рынке ценных бумаг"</f>
        <v>Комиссионные доходы по профессиональной деятельности на рынке ценных бумаг</v>
      </c>
      <c r="F588" s="14" t="str">
        <f>""</f>
        <v/>
      </c>
      <c r="G588" s="14" t="str">
        <f>""</f>
        <v/>
      </c>
      <c r="H588" s="14" t="str">
        <f>""</f>
        <v/>
      </c>
      <c r="I588" s="6">
        <v>181743297.69</v>
      </c>
    </row>
    <row r="589" spans="1:9" x14ac:dyDescent="0.25">
      <c r="A589" s="10">
        <v>579</v>
      </c>
      <c r="B589" s="1">
        <v>45930</v>
      </c>
      <c r="C589" s="14">
        <v>8</v>
      </c>
      <c r="D589" s="14" t="str">
        <f>"4611"</f>
        <v>4611</v>
      </c>
      <c r="E589" s="14" t="str">
        <f>"Комиссионные доходы за услуги по кассовым операциям"</f>
        <v>Комиссионные доходы за услуги по кассовым операциям</v>
      </c>
      <c r="F589" s="14" t="str">
        <f>""</f>
        <v/>
      </c>
      <c r="G589" s="14" t="str">
        <f>""</f>
        <v/>
      </c>
      <c r="H589" s="14" t="str">
        <f>""</f>
        <v/>
      </c>
      <c r="I589" s="6">
        <v>831057451.55999994</v>
      </c>
    </row>
    <row r="590" spans="1:9" x14ac:dyDescent="0.25">
      <c r="A590" s="10">
        <v>580</v>
      </c>
      <c r="B590" s="1">
        <v>45930</v>
      </c>
      <c r="C590" s="14">
        <v>8</v>
      </c>
      <c r="D590" s="14" t="str">
        <f>"4612"</f>
        <v>4612</v>
      </c>
      <c r="E590" s="14" t="str">
        <f>"Комиссионные доходы по документарным расчетам"</f>
        <v>Комиссионные доходы по документарным расчетам</v>
      </c>
      <c r="F590" s="14" t="str">
        <f>""</f>
        <v/>
      </c>
      <c r="G590" s="14" t="str">
        <f>""</f>
        <v/>
      </c>
      <c r="H590" s="14" t="str">
        <f>""</f>
        <v/>
      </c>
      <c r="I590" s="6">
        <v>4353559.84</v>
      </c>
    </row>
    <row r="591" spans="1:9" x14ac:dyDescent="0.25">
      <c r="A591" s="10">
        <v>581</v>
      </c>
      <c r="B591" s="1">
        <v>45930</v>
      </c>
      <c r="C591" s="14">
        <v>8</v>
      </c>
      <c r="D591" s="14" t="str">
        <f>"4617"</f>
        <v>4617</v>
      </c>
      <c r="E591" s="14" t="str">
        <f>"Комиссионные доходы за услуги по сейфовым операциям"</f>
        <v>Комиссионные доходы за услуги по сейфовым операциям</v>
      </c>
      <c r="F591" s="14" t="str">
        <f>""</f>
        <v/>
      </c>
      <c r="G591" s="14" t="str">
        <f>""</f>
        <v/>
      </c>
      <c r="H591" s="14" t="str">
        <f>""</f>
        <v/>
      </c>
      <c r="I591" s="6">
        <v>32923694.809999999</v>
      </c>
    </row>
    <row r="592" spans="1:9" x14ac:dyDescent="0.25">
      <c r="A592" s="10">
        <v>582</v>
      </c>
      <c r="B592" s="1">
        <v>45930</v>
      </c>
      <c r="C592" s="14">
        <v>8</v>
      </c>
      <c r="D592" s="14" t="str">
        <f>"4619"</f>
        <v>4619</v>
      </c>
      <c r="E592" s="14" t="str">
        <f>"Комиссионные доходы за обслуживание платежных карточек"</f>
        <v>Комиссионные доходы за обслуживание платежных карточек</v>
      </c>
      <c r="F592" s="14" t="str">
        <f>""</f>
        <v/>
      </c>
      <c r="G592" s="14" t="str">
        <f>""</f>
        <v/>
      </c>
      <c r="H592" s="14" t="str">
        <f>""</f>
        <v/>
      </c>
      <c r="I592" s="6">
        <v>8847020429.0200005</v>
      </c>
    </row>
    <row r="593" spans="1:9" x14ac:dyDescent="0.25">
      <c r="A593" s="10">
        <v>583</v>
      </c>
      <c r="B593" s="1">
        <v>45930</v>
      </c>
      <c r="C593" s="14">
        <v>8</v>
      </c>
      <c r="D593" s="14" t="str">
        <f>"4703"</f>
        <v>4703</v>
      </c>
      <c r="E593" s="14" t="str">
        <f>"Доход от переоценки иностранной валюты"</f>
        <v>Доход от переоценки иностранной валюты</v>
      </c>
      <c r="F593" s="14" t="str">
        <f>""</f>
        <v/>
      </c>
      <c r="G593" s="14" t="str">
        <f>""</f>
        <v/>
      </c>
      <c r="H593" s="14" t="str">
        <f>""</f>
        <v/>
      </c>
      <c r="I593" s="6">
        <v>561685929316.28003</v>
      </c>
    </row>
    <row r="594" spans="1:9" x14ac:dyDescent="0.25">
      <c r="A594" s="10">
        <v>584</v>
      </c>
      <c r="B594" s="1">
        <v>45930</v>
      </c>
      <c r="C594" s="14">
        <v>8</v>
      </c>
      <c r="D594" s="14" t="str">
        <f>"4704"</f>
        <v>4704</v>
      </c>
      <c r="E594" s="14" t="str">
        <f>"Доходы от переоценки аффинированных драгоценных металлов"</f>
        <v>Доходы от переоценки аффинированных драгоценных металлов</v>
      </c>
      <c r="F594" s="14" t="str">
        <f>""</f>
        <v/>
      </c>
      <c r="G594" s="14" t="str">
        <f>""</f>
        <v/>
      </c>
      <c r="H594" s="14" t="str">
        <f>""</f>
        <v/>
      </c>
      <c r="I594" s="6">
        <v>1404396661.4100001</v>
      </c>
    </row>
    <row r="595" spans="1:9" x14ac:dyDescent="0.25">
      <c r="A595" s="10">
        <v>585</v>
      </c>
      <c r="B595" s="1">
        <v>45930</v>
      </c>
      <c r="C595" s="14">
        <v>8</v>
      </c>
      <c r="D595" s="14" t="str">
        <f>"4733"</f>
        <v>4733</v>
      </c>
      <c r="E595" s="14" t="str">
        <f>"Доходы от изменения стоимости ценных бумаг, учитываемых по справедливой стоимости через прочий совокупный доход"</f>
        <v>Доходы от изменения стоимости ценных бумаг, учитываемых по справедливой стоимости через прочий совокупный доход</v>
      </c>
      <c r="F595" s="14" t="str">
        <f>""</f>
        <v/>
      </c>
      <c r="G595" s="14" t="str">
        <f>""</f>
        <v/>
      </c>
      <c r="H595" s="14" t="str">
        <f>""</f>
        <v/>
      </c>
      <c r="I595" s="6">
        <v>179163556.91999999</v>
      </c>
    </row>
    <row r="596" spans="1:9" x14ac:dyDescent="0.25">
      <c r="A596" s="10">
        <v>586</v>
      </c>
      <c r="B596" s="1">
        <v>45930</v>
      </c>
      <c r="C596" s="14">
        <v>8</v>
      </c>
      <c r="D596" s="14" t="str">
        <f>"4852"</f>
        <v>4852</v>
      </c>
      <c r="E596" s="14" t="str">
        <f>"Доходы от реализации основных средств и нематериальных активов"</f>
        <v>Доходы от реализации основных средств и нематериальных активов</v>
      </c>
      <c r="F596" s="14" t="str">
        <f>""</f>
        <v/>
      </c>
      <c r="G596" s="14" t="str">
        <f>""</f>
        <v/>
      </c>
      <c r="H596" s="14" t="str">
        <f>""</f>
        <v/>
      </c>
      <c r="I596" s="6">
        <v>293809567.86000001</v>
      </c>
    </row>
    <row r="597" spans="1:9" x14ac:dyDescent="0.25">
      <c r="A597" s="10">
        <v>587</v>
      </c>
      <c r="B597" s="1">
        <v>45930</v>
      </c>
      <c r="C597" s="14">
        <v>8</v>
      </c>
      <c r="D597" s="14" t="str">
        <f>"4895"</f>
        <v>4895</v>
      </c>
      <c r="E597" s="14" t="str">
        <f>"Доходы по операциям своп"</f>
        <v>Доходы по операциям своп</v>
      </c>
      <c r="F597" s="14" t="str">
        <f>""</f>
        <v/>
      </c>
      <c r="G597" s="14" t="str">
        <f>""</f>
        <v/>
      </c>
      <c r="H597" s="14" t="str">
        <f>""</f>
        <v/>
      </c>
      <c r="I597" s="6">
        <v>23873825219.049999</v>
      </c>
    </row>
    <row r="598" spans="1:9" x14ac:dyDescent="0.25">
      <c r="A598" s="10">
        <v>588</v>
      </c>
      <c r="B598" s="1">
        <v>45930</v>
      </c>
      <c r="C598" s="14">
        <v>8</v>
      </c>
      <c r="D598" s="14" t="str">
        <f>"4900"</f>
        <v>4900</v>
      </c>
      <c r="E598" s="14" t="str">
        <f>"Неустойка (штраф, пеня)"</f>
        <v>Неустойка (штраф, пеня)</v>
      </c>
      <c r="F598" s="14" t="str">
        <f>""</f>
        <v/>
      </c>
      <c r="G598" s="14" t="str">
        <f>""</f>
        <v/>
      </c>
      <c r="H598" s="14" t="str">
        <f>""</f>
        <v/>
      </c>
      <c r="I598" s="6">
        <v>1311524505.46</v>
      </c>
    </row>
    <row r="599" spans="1:9" x14ac:dyDescent="0.25">
      <c r="A599" s="10">
        <v>589</v>
      </c>
      <c r="B599" s="1">
        <v>45930</v>
      </c>
      <c r="C599" s="14">
        <v>8</v>
      </c>
      <c r="D599" s="14" t="str">
        <f>"4921"</f>
        <v>4921</v>
      </c>
      <c r="E599" s="14" t="str">
        <f>"Прочие доходы от банковской деятельности"</f>
        <v>Прочие доходы от банковской деятельности</v>
      </c>
      <c r="F599" s="14" t="str">
        <f>""</f>
        <v/>
      </c>
      <c r="G599" s="14" t="str">
        <f>""</f>
        <v/>
      </c>
      <c r="H599" s="14" t="str">
        <f>""</f>
        <v/>
      </c>
      <c r="I599" s="6">
        <v>7496825330.5500002</v>
      </c>
    </row>
    <row r="600" spans="1:9" x14ac:dyDescent="0.25">
      <c r="A600" s="10">
        <v>590</v>
      </c>
      <c r="B600" s="1">
        <v>45930</v>
      </c>
      <c r="C600" s="14">
        <v>8</v>
      </c>
      <c r="D600" s="14" t="str">
        <f>"4922"</f>
        <v>4922</v>
      </c>
      <c r="E600" s="14" t="str">
        <f>"Прочие доходы от неосновной деятельности"</f>
        <v>Прочие доходы от неосновной деятельности</v>
      </c>
      <c r="F600" s="14" t="str">
        <f>""</f>
        <v/>
      </c>
      <c r="G600" s="14" t="str">
        <f>""</f>
        <v/>
      </c>
      <c r="H600" s="14" t="str">
        <f>""</f>
        <v/>
      </c>
      <c r="I600" s="6">
        <v>937923472.57000005</v>
      </c>
    </row>
    <row r="601" spans="1:9" x14ac:dyDescent="0.25">
      <c r="A601" s="10">
        <v>591</v>
      </c>
      <c r="B601" s="1">
        <v>45930</v>
      </c>
      <c r="C601" s="14">
        <v>8</v>
      </c>
      <c r="D601" s="14" t="str">
        <f>"4951"</f>
        <v>4951</v>
      </c>
      <c r="E601" s="14" t="str">
        <f>"Доходы от восстановления резервов (провизий), созданных по вкладам, размещенным в других банках"</f>
        <v>Доходы от восстановления резервов (провизий), созданных по вкладам, размещенным в других банках</v>
      </c>
      <c r="F601" s="14" t="str">
        <f>""</f>
        <v/>
      </c>
      <c r="G601" s="14" t="str">
        <f>""</f>
        <v/>
      </c>
      <c r="H601" s="14" t="str">
        <f>""</f>
        <v/>
      </c>
      <c r="I601" s="6">
        <v>89287276.739999995</v>
      </c>
    </row>
    <row r="602" spans="1:9" x14ac:dyDescent="0.25">
      <c r="A602" s="10">
        <v>592</v>
      </c>
      <c r="B602" s="1">
        <v>45930</v>
      </c>
      <c r="C602" s="14">
        <v>8</v>
      </c>
      <c r="D602" s="14" t="str">
        <f>"4953"</f>
        <v>4953</v>
      </c>
      <c r="E602" s="14" t="str">
        <f>"Доходы от восстановления резервов (провизий), созданных по дебиторской задолженности, связанной с банковской деятельностью"</f>
        <v>Доходы от восстановления резервов (провизий), созданных по дебиторской задолженности, связанной с банковской деятельностью</v>
      </c>
      <c r="F602" s="14" t="str">
        <f>""</f>
        <v/>
      </c>
      <c r="G602" s="14" t="str">
        <f>""</f>
        <v/>
      </c>
      <c r="H602" s="14" t="str">
        <f>""</f>
        <v/>
      </c>
      <c r="I602" s="6">
        <v>3301119014.0599999</v>
      </c>
    </row>
    <row r="603" spans="1:9" x14ac:dyDescent="0.25">
      <c r="A603" s="10">
        <v>593</v>
      </c>
      <c r="B603" s="1">
        <v>45930</v>
      </c>
      <c r="C603" s="14">
        <v>8</v>
      </c>
      <c r="D603" s="14" t="str">
        <f>"4954"</f>
        <v>4954</v>
      </c>
      <c r="E603" s="14" t="str">
        <f>"Доходы от восстановления резервов (провизий), созданных по ценным бумагам"</f>
        <v>Доходы от восстановления резервов (провизий), созданных по ценным бумагам</v>
      </c>
      <c r="F603" s="14" t="str">
        <f>""</f>
        <v/>
      </c>
      <c r="G603" s="14" t="str">
        <f>""</f>
        <v/>
      </c>
      <c r="H603" s="14" t="str">
        <f>""</f>
        <v/>
      </c>
      <c r="I603" s="6">
        <v>464359997.18000001</v>
      </c>
    </row>
    <row r="604" spans="1:9" x14ac:dyDescent="0.25">
      <c r="A604" s="10">
        <v>594</v>
      </c>
      <c r="B604" s="1">
        <v>45930</v>
      </c>
      <c r="C604" s="14">
        <v>8</v>
      </c>
      <c r="D604" s="14" t="str">
        <f>"4955"</f>
        <v>4955</v>
      </c>
      <c r="E604" s="14" t="str">
        <f>"Доходы от восстановления резервов (провизий), созданных по займам и финансовому лизингу, предоставленным клиентам"</f>
        <v>Доходы от восстановления резервов (провизий), созданных по займам и финансовому лизингу, предоставленным клиентам</v>
      </c>
      <c r="F604" s="14" t="str">
        <f>""</f>
        <v/>
      </c>
      <c r="G604" s="14" t="str">
        <f>""</f>
        <v/>
      </c>
      <c r="H604" s="14" t="str">
        <f>""</f>
        <v/>
      </c>
      <c r="I604" s="6">
        <v>46732641867.169998</v>
      </c>
    </row>
    <row r="605" spans="1:9" x14ac:dyDescent="0.25">
      <c r="A605" s="10">
        <v>595</v>
      </c>
      <c r="B605" s="1">
        <v>45930</v>
      </c>
      <c r="C605" s="14">
        <v>8</v>
      </c>
      <c r="D605" s="14" t="str">
        <f>"4956"</f>
        <v>4956</v>
      </c>
      <c r="E605" s="14" t="str">
        <f>"Доходы от восстановления резервов (провизий) по корреспондентским счетам в других банках и текущим счетам ипотечных организаций"</f>
        <v>Доходы от восстановления резервов (провизий) по корреспондентским счетам в других банках и текущим счетам ипотечных организаций</v>
      </c>
      <c r="F605" s="14" t="str">
        <f>""</f>
        <v/>
      </c>
      <c r="G605" s="14" t="str">
        <f>""</f>
        <v/>
      </c>
      <c r="H605" s="14" t="str">
        <f>""</f>
        <v/>
      </c>
      <c r="I605" s="6">
        <v>35887681.710000001</v>
      </c>
    </row>
    <row r="606" spans="1:9" x14ac:dyDescent="0.25">
      <c r="A606" s="10">
        <v>596</v>
      </c>
      <c r="B606" s="1">
        <v>45930</v>
      </c>
      <c r="C606" s="14">
        <v>8</v>
      </c>
      <c r="D606" s="14" t="str">
        <f>"4957"</f>
        <v>4957</v>
      </c>
      <c r="E606" s="14" t="str">
        <f>"Доходы от восстановления резервов (провизий), созданных на покрытие убытков по начисленным и просроченным комиссионным доходам"</f>
        <v>Доходы от восстановления резервов (провизий), созданных на покрытие убытков по начисленным и просроченным комиссионным доходам</v>
      </c>
      <c r="F606" s="14" t="str">
        <f>""</f>
        <v/>
      </c>
      <c r="G606" s="14" t="str">
        <f>""</f>
        <v/>
      </c>
      <c r="H606" s="14" t="str">
        <f>""</f>
        <v/>
      </c>
      <c r="I606" s="6">
        <v>29672241.039999999</v>
      </c>
    </row>
    <row r="607" spans="1:9" x14ac:dyDescent="0.25">
      <c r="A607" s="10">
        <v>597</v>
      </c>
      <c r="B607" s="1">
        <v>45930</v>
      </c>
      <c r="C607" s="14">
        <v>8</v>
      </c>
      <c r="D607" s="14" t="str">
        <f>"4958"</f>
        <v>4958</v>
      </c>
      <c r="E607" s="14" t="str">
        <f>"Доходы от восстановления резервов (провизий), созданных по условным обязательствам"</f>
        <v>Доходы от восстановления резервов (провизий), созданных по условным обязательствам</v>
      </c>
      <c r="F607" s="14" t="str">
        <f>""</f>
        <v/>
      </c>
      <c r="G607" s="14" t="str">
        <f>""</f>
        <v/>
      </c>
      <c r="H607" s="14" t="str">
        <f>""</f>
        <v/>
      </c>
      <c r="I607" s="6">
        <v>868752430.5</v>
      </c>
    </row>
    <row r="608" spans="1:9" x14ac:dyDescent="0.25">
      <c r="A608" s="10">
        <v>598</v>
      </c>
      <c r="B608" s="1">
        <v>45930</v>
      </c>
      <c r="C608" s="14">
        <v>8</v>
      </c>
      <c r="D608" s="14" t="str">
        <f>"4959"</f>
        <v>4959</v>
      </c>
      <c r="E608" s="14" t="str">
        <f>"Доходы от восстановления резервов (провизий), созданных по дебиторской задолженности, не связанной с основной деятельностью"</f>
        <v>Доходы от восстановления резервов (провизий), созданных по дебиторской задолженности, не связанной с основной деятельностью</v>
      </c>
      <c r="F608" s="14" t="str">
        <f>""</f>
        <v/>
      </c>
      <c r="G608" s="14" t="str">
        <f>""</f>
        <v/>
      </c>
      <c r="H608" s="14" t="str">
        <f>""</f>
        <v/>
      </c>
      <c r="I608" s="6">
        <v>40719554.93</v>
      </c>
    </row>
    <row r="609" spans="1:9" x14ac:dyDescent="0.25">
      <c r="A609" s="10">
        <v>599</v>
      </c>
      <c r="B609" s="1">
        <v>45930</v>
      </c>
      <c r="C609" s="14">
        <v>8</v>
      </c>
      <c r="D609" s="14" t="str">
        <f>"4963"</f>
        <v>4963</v>
      </c>
      <c r="E609" s="14" t="str">
        <f>"Доходы от восстановления резервов (провизий) по прочим финансовым активам, учитываемым по амортизированной стоимости"</f>
        <v>Доходы от восстановления резервов (провизий) по прочим финансовым активам, учитываемым по амортизированной стоимости</v>
      </c>
      <c r="F609" s="14" t="str">
        <f>""</f>
        <v/>
      </c>
      <c r="G609" s="14" t="str">
        <f>""</f>
        <v/>
      </c>
      <c r="H609" s="14" t="str">
        <f>""</f>
        <v/>
      </c>
      <c r="I609" s="6">
        <v>38493193.840000004</v>
      </c>
    </row>
    <row r="610" spans="1:9" x14ac:dyDescent="0.25">
      <c r="A610" s="10">
        <v>600</v>
      </c>
      <c r="B610" s="1">
        <v>45930</v>
      </c>
      <c r="C610" s="14">
        <v>8</v>
      </c>
      <c r="D610" s="14" t="str">
        <f>"5036"</f>
        <v>5036</v>
      </c>
      <c r="E610" s="14" t="s">
        <v>11</v>
      </c>
      <c r="F610" s="14" t="str">
        <f>""</f>
        <v/>
      </c>
      <c r="G610" s="14" t="str">
        <f>""</f>
        <v/>
      </c>
      <c r="H610" s="14" t="str">
        <f>""</f>
        <v/>
      </c>
      <c r="I610" s="6">
        <v>990142034.59000003</v>
      </c>
    </row>
    <row r="611" spans="1:9" x14ac:dyDescent="0.25">
      <c r="A611" s="10">
        <v>601</v>
      </c>
      <c r="B611" s="1">
        <v>45930</v>
      </c>
      <c r="C611" s="14">
        <v>8</v>
      </c>
      <c r="D611" s="14" t="str">
        <f>"5056"</f>
        <v>5056</v>
      </c>
      <c r="E611" s="14" t="str">
        <f>"Расходы, связанные с выплатой вознаграждения по долгосрочным займам, полученным от других банков"</f>
        <v>Расходы, связанные с выплатой вознаграждения по долгосрочным займам, полученным от других банков</v>
      </c>
      <c r="F611" s="14" t="str">
        <f>""</f>
        <v/>
      </c>
      <c r="G611" s="14" t="str">
        <f>""</f>
        <v/>
      </c>
      <c r="H611" s="14" t="str">
        <f>""</f>
        <v/>
      </c>
      <c r="I611" s="6">
        <v>65930742.469999999</v>
      </c>
    </row>
    <row r="612" spans="1:9" x14ac:dyDescent="0.25">
      <c r="A612" s="10">
        <v>602</v>
      </c>
      <c r="B612" s="1">
        <v>45930</v>
      </c>
      <c r="C612" s="14">
        <v>8</v>
      </c>
      <c r="D612" s="14" t="str">
        <f>"5064"</f>
        <v>5064</v>
      </c>
      <c r="E612" s="14" t="str">
        <f>"Расходы, связанные с выплатой вознаграждения по краткосрочным займам, полученным от организаций, осуществляющих отдельные виды банковских операций"</f>
        <v>Расходы, связанные с выплатой вознаграждения по краткосрочным займам, полученным от организаций, осуществляющих отдельные виды банковских операций</v>
      </c>
      <c r="F612" s="14" t="str">
        <f>""</f>
        <v/>
      </c>
      <c r="G612" s="14" t="str">
        <f>""</f>
        <v/>
      </c>
      <c r="H612" s="14" t="str">
        <f>""</f>
        <v/>
      </c>
      <c r="I612" s="6">
        <v>2595833.39</v>
      </c>
    </row>
    <row r="613" spans="1:9" x14ac:dyDescent="0.25">
      <c r="A613" s="10">
        <v>603</v>
      </c>
      <c r="B613" s="1">
        <v>45930</v>
      </c>
      <c r="C613" s="14">
        <v>8</v>
      </c>
      <c r="D613" s="14" t="str">
        <f>"5126"</f>
        <v>5126</v>
      </c>
      <c r="E613" s="14" t="str">
        <f>"Расходы, связанные с выплатой вознаграждения по краткосрочным вкладам других банков (до одного месяца)"</f>
        <v>Расходы, связанные с выплатой вознаграждения по краткосрочным вкладам других банков (до одного месяца)</v>
      </c>
      <c r="F613" s="14" t="str">
        <f>""</f>
        <v/>
      </c>
      <c r="G613" s="14" t="str">
        <f>""</f>
        <v/>
      </c>
      <c r="H613" s="14" t="str">
        <f>""</f>
        <v/>
      </c>
      <c r="I613" s="6">
        <v>188342787.37</v>
      </c>
    </row>
    <row r="614" spans="1:9" x14ac:dyDescent="0.25">
      <c r="A614" s="10">
        <v>604</v>
      </c>
      <c r="B614" s="1">
        <v>45930</v>
      </c>
      <c r="C614" s="14">
        <v>8</v>
      </c>
      <c r="D614" s="14" t="str">
        <f>"5211"</f>
        <v>5211</v>
      </c>
      <c r="E614" s="14" t="str">
        <f>"Расходы, связанные с выплатой вознаграждения по вкладам до востребования клиентов"</f>
        <v>Расходы, связанные с выплатой вознаграждения по вкладам до востребования клиентов</v>
      </c>
      <c r="F614" s="14" t="str">
        <f>""</f>
        <v/>
      </c>
      <c r="G614" s="14" t="str">
        <f>""</f>
        <v/>
      </c>
      <c r="H614" s="14" t="str">
        <f>""</f>
        <v/>
      </c>
      <c r="I614" s="6">
        <v>92888.78</v>
      </c>
    </row>
    <row r="615" spans="1:9" x14ac:dyDescent="0.25">
      <c r="A615" s="10">
        <v>605</v>
      </c>
      <c r="B615" s="1">
        <v>45930</v>
      </c>
      <c r="C615" s="14">
        <v>8</v>
      </c>
      <c r="D615" s="14" t="str">
        <f>"5215"</f>
        <v>5215</v>
      </c>
      <c r="E615" s="14" t="str">
        <f>"Расходы, связанные с выплатой вознаграждения по краткосрочным вкладам клиентов"</f>
        <v>Расходы, связанные с выплатой вознаграждения по краткосрочным вкладам клиентов</v>
      </c>
      <c r="F615" s="14" t="str">
        <f>""</f>
        <v/>
      </c>
      <c r="G615" s="14" t="str">
        <f>""</f>
        <v/>
      </c>
      <c r="H615" s="14" t="str">
        <f>""</f>
        <v/>
      </c>
      <c r="I615" s="6">
        <v>65634014056.900002</v>
      </c>
    </row>
    <row r="616" spans="1:9" x14ac:dyDescent="0.25">
      <c r="A616" s="10">
        <v>606</v>
      </c>
      <c r="B616" s="1">
        <v>45930</v>
      </c>
      <c r="C616" s="14">
        <v>8</v>
      </c>
      <c r="D616" s="14" t="str">
        <f>"5217"</f>
        <v>5217</v>
      </c>
      <c r="E616" s="14" t="str">
        <f>"Расходы, связанные с выплатой вознаграждения по долгосрочным вкладам клиентов"</f>
        <v>Расходы, связанные с выплатой вознаграждения по долгосрочным вкладам клиентов</v>
      </c>
      <c r="F616" s="14" t="str">
        <f>""</f>
        <v/>
      </c>
      <c r="G616" s="14" t="str">
        <f>""</f>
        <v/>
      </c>
      <c r="H616" s="14" t="str">
        <f>""</f>
        <v/>
      </c>
      <c r="I616" s="6">
        <v>5666592243.1499996</v>
      </c>
    </row>
    <row r="617" spans="1:9" x14ac:dyDescent="0.25">
      <c r="A617" s="10">
        <v>607</v>
      </c>
      <c r="B617" s="1">
        <v>45930</v>
      </c>
      <c r="C617" s="14">
        <v>8</v>
      </c>
      <c r="D617" s="14" t="str">
        <f>"5218"</f>
        <v>5218</v>
      </c>
      <c r="E617" s="14" t="str">
        <f>"Расходы, связанные с  выплатой вознаграждения по сберегательным вкладам клиентов (не более одного года)"</f>
        <v>Расходы, связанные с  выплатой вознаграждения по сберегательным вкладам клиентов (не более одного года)</v>
      </c>
      <c r="F617" s="14" t="str">
        <f>""</f>
        <v/>
      </c>
      <c r="G617" s="14" t="str">
        <f>""</f>
        <v/>
      </c>
      <c r="H617" s="14" t="str">
        <f>""</f>
        <v/>
      </c>
      <c r="I617" s="6">
        <v>18420223880.709999</v>
      </c>
    </row>
    <row r="618" spans="1:9" x14ac:dyDescent="0.25">
      <c r="A618" s="10">
        <v>608</v>
      </c>
      <c r="B618" s="1">
        <v>45930</v>
      </c>
      <c r="C618" s="14">
        <v>8</v>
      </c>
      <c r="D618" s="14" t="str">
        <f>"5219"</f>
        <v>5219</v>
      </c>
      <c r="E618" s="14" t="str">
        <f>"Расходы, связанные с выплатой вознаграждения по условным вкладам клиентов"</f>
        <v>Расходы, связанные с выплатой вознаграждения по условным вкладам клиентов</v>
      </c>
      <c r="F618" s="14" t="str">
        <f>""</f>
        <v/>
      </c>
      <c r="G618" s="14" t="str">
        <f>""</f>
        <v/>
      </c>
      <c r="H618" s="14" t="str">
        <f>""</f>
        <v/>
      </c>
      <c r="I618" s="6">
        <v>877137200.27999997</v>
      </c>
    </row>
    <row r="619" spans="1:9" x14ac:dyDescent="0.25">
      <c r="A619" s="10">
        <v>609</v>
      </c>
      <c r="B619" s="1">
        <v>45930</v>
      </c>
      <c r="C619" s="14">
        <v>8</v>
      </c>
      <c r="D619" s="14" t="str">
        <f>"5220"</f>
        <v>5220</v>
      </c>
      <c r="E619" s="14" t="str">
        <f>"Расходы, связанные с выплатой вознаграждения по сберегательным вкладам клиентов (более одного года)"</f>
        <v>Расходы, связанные с выплатой вознаграждения по сберегательным вкладам клиентов (более одного года)</v>
      </c>
      <c r="F619" s="14" t="str">
        <f>""</f>
        <v/>
      </c>
      <c r="G619" s="14" t="str">
        <f>""</f>
        <v/>
      </c>
      <c r="H619" s="14" t="str">
        <f>""</f>
        <v/>
      </c>
      <c r="I619" s="6">
        <v>38027154.109999999</v>
      </c>
    </row>
    <row r="620" spans="1:9" x14ac:dyDescent="0.25">
      <c r="A620" s="10">
        <v>610</v>
      </c>
      <c r="B620" s="1">
        <v>45930</v>
      </c>
      <c r="C620" s="14">
        <v>8</v>
      </c>
      <c r="D620" s="14" t="str">
        <f>"5223"</f>
        <v>5223</v>
      </c>
      <c r="E620" s="14" t="str">
        <f>"Расходы, связанные с выплатой вознаграждения по вкладу, являющемуся обеспечением обязательств клиентов"</f>
        <v>Расходы, связанные с выплатой вознаграждения по вкладу, являющемуся обеспечением обязательств клиентов</v>
      </c>
      <c r="F620" s="14" t="str">
        <f>""</f>
        <v/>
      </c>
      <c r="G620" s="14" t="str">
        <f>""</f>
        <v/>
      </c>
      <c r="H620" s="14" t="str">
        <f>""</f>
        <v/>
      </c>
      <c r="I620" s="6">
        <v>3793692674.8499999</v>
      </c>
    </row>
    <row r="621" spans="1:9" x14ac:dyDescent="0.25">
      <c r="A621" s="10">
        <v>611</v>
      </c>
      <c r="B621" s="1">
        <v>45930</v>
      </c>
      <c r="C621" s="14">
        <v>8</v>
      </c>
      <c r="D621" s="14" t="str">
        <f>"5227"</f>
        <v>5227</v>
      </c>
      <c r="E621" s="14" t="str">
        <f>"Процентные расходы по обязательствам по аренде"</f>
        <v>Процентные расходы по обязательствам по аренде</v>
      </c>
      <c r="F621" s="14" t="str">
        <f>""</f>
        <v/>
      </c>
      <c r="G621" s="14" t="str">
        <f>""</f>
        <v/>
      </c>
      <c r="H621" s="14" t="str">
        <f>""</f>
        <v/>
      </c>
      <c r="I621" s="6">
        <v>138303139.71000001</v>
      </c>
    </row>
    <row r="622" spans="1:9" x14ac:dyDescent="0.25">
      <c r="A622" s="10">
        <v>612</v>
      </c>
      <c r="B622" s="1">
        <v>45930</v>
      </c>
      <c r="C622" s="14">
        <v>8</v>
      </c>
      <c r="D622" s="14" t="str">
        <f>"5236"</f>
        <v>5236</v>
      </c>
      <c r="E622" s="14" t="str">
        <f>"Расходы по амортизации дисконта по вкладам, привлеченным от клиентов"</f>
        <v>Расходы по амортизации дисконта по вкладам, привлеченным от клиентов</v>
      </c>
      <c r="F622" s="14" t="str">
        <f>""</f>
        <v/>
      </c>
      <c r="G622" s="14" t="str">
        <f>""</f>
        <v/>
      </c>
      <c r="H622" s="14" t="str">
        <f>""</f>
        <v/>
      </c>
      <c r="I622" s="6">
        <v>202594282.31999999</v>
      </c>
    </row>
    <row r="623" spans="1:9" x14ac:dyDescent="0.25">
      <c r="A623" s="10">
        <v>613</v>
      </c>
      <c r="B623" s="1">
        <v>45930</v>
      </c>
      <c r="C623" s="14">
        <v>8</v>
      </c>
      <c r="D623" s="14" t="str">
        <f>"5241"</f>
        <v>5241</v>
      </c>
      <c r="E623" s="14" t="str">
        <f>"Расходы в виде корректировки валовой балансовой стоимости в связи с модификацией займов, предоставленных клиентам, и (или) в виде корректировки займов, предоставленных по нерыночной ставке процента"</f>
        <v>Расходы в виде корректировки валовой балансовой стоимости в связи с модификацией займов, предоставленных клиентам, и (или) в виде корректировки займов, предоставленных по нерыночной ставке процента</v>
      </c>
      <c r="F623" s="14" t="str">
        <f>""</f>
        <v/>
      </c>
      <c r="G623" s="14" t="str">
        <f>""</f>
        <v/>
      </c>
      <c r="H623" s="14" t="str">
        <f>""</f>
        <v/>
      </c>
      <c r="I623" s="6">
        <v>11865394525.68</v>
      </c>
    </row>
    <row r="624" spans="1:9" x14ac:dyDescent="0.25">
      <c r="A624" s="10">
        <v>614</v>
      </c>
      <c r="B624" s="1">
        <v>45930</v>
      </c>
      <c r="C624" s="14">
        <v>8</v>
      </c>
      <c r="D624" s="14" t="str">
        <f>"5250"</f>
        <v>5250</v>
      </c>
      <c r="E624" s="14" t="s">
        <v>10</v>
      </c>
      <c r="F624" s="14" t="str">
        <f>""</f>
        <v/>
      </c>
      <c r="G624" s="14" t="str">
        <f>""</f>
        <v/>
      </c>
      <c r="H624" s="14" t="str">
        <f>""</f>
        <v/>
      </c>
      <c r="I624" s="6">
        <v>10036584969.540001</v>
      </c>
    </row>
    <row r="625" spans="1:9" x14ac:dyDescent="0.25">
      <c r="A625" s="10">
        <v>615</v>
      </c>
      <c r="B625" s="1">
        <v>45930</v>
      </c>
      <c r="C625" s="14">
        <v>8</v>
      </c>
      <c r="D625" s="14" t="str">
        <f>"5301"</f>
        <v>5301</v>
      </c>
      <c r="E625" s="14" t="str">
        <f>"Расходы, связанные с выплатой вознаграждения по выпущенным в обращение облигациям"</f>
        <v>Расходы, связанные с выплатой вознаграждения по выпущенным в обращение облигациям</v>
      </c>
      <c r="F625" s="14" t="str">
        <f>""</f>
        <v/>
      </c>
      <c r="G625" s="14" t="str">
        <f>""</f>
        <v/>
      </c>
      <c r="H625" s="14" t="str">
        <f>""</f>
        <v/>
      </c>
      <c r="I625" s="6">
        <v>24396598015.34</v>
      </c>
    </row>
    <row r="626" spans="1:9" x14ac:dyDescent="0.25">
      <c r="A626" s="10">
        <v>616</v>
      </c>
      <c r="B626" s="1">
        <v>45930</v>
      </c>
      <c r="C626" s="14">
        <v>8</v>
      </c>
      <c r="D626" s="14" t="str">
        <f>"5306"</f>
        <v>5306</v>
      </c>
      <c r="E626" s="14" t="str">
        <f>"Расходы по амортизации премии по ценным бумагам, учитываемым по справедливой стоимости через прочий совокупный доход"</f>
        <v>Расходы по амортизации премии по ценным бумагам, учитываемым по справедливой стоимости через прочий совокупный доход</v>
      </c>
      <c r="F626" s="14" t="str">
        <f>""</f>
        <v/>
      </c>
      <c r="G626" s="14" t="str">
        <f>""</f>
        <v/>
      </c>
      <c r="H626" s="14" t="str">
        <f>""</f>
        <v/>
      </c>
      <c r="I626" s="6">
        <v>1487693362.0999999</v>
      </c>
    </row>
    <row r="627" spans="1:9" x14ac:dyDescent="0.25">
      <c r="A627" s="10">
        <v>617</v>
      </c>
      <c r="B627" s="1">
        <v>45930</v>
      </c>
      <c r="C627" s="14">
        <v>8</v>
      </c>
      <c r="D627" s="14" t="str">
        <f>"5307"</f>
        <v>5307</v>
      </c>
      <c r="E627" s="14" t="str">
        <f>"Расходы по амортизации дисконта по выпущенным в обращение ценным бумагам"</f>
        <v>Расходы по амортизации дисконта по выпущенным в обращение ценным бумагам</v>
      </c>
      <c r="F627" s="14" t="str">
        <f>""</f>
        <v/>
      </c>
      <c r="G627" s="14" t="str">
        <f>""</f>
        <v/>
      </c>
      <c r="H627" s="14" t="str">
        <f>""</f>
        <v/>
      </c>
      <c r="I627" s="6">
        <v>1858504708.95</v>
      </c>
    </row>
    <row r="628" spans="1:9" x14ac:dyDescent="0.25">
      <c r="A628" s="10">
        <v>618</v>
      </c>
      <c r="B628" s="1">
        <v>45930</v>
      </c>
      <c r="C628" s="14">
        <v>8</v>
      </c>
      <c r="D628" s="14" t="str">
        <f>"5308"</f>
        <v>5308</v>
      </c>
      <c r="E628" s="14" t="str">
        <f>"Расходы по амортизации премии по ценным бумагам, учитываемым по амортизированной стоимости"</f>
        <v>Расходы по амортизации премии по ценным бумагам, учитываемым по амортизированной стоимости</v>
      </c>
      <c r="F628" s="14" t="str">
        <f>""</f>
        <v/>
      </c>
      <c r="G628" s="14" t="str">
        <f>""</f>
        <v/>
      </c>
      <c r="H628" s="14" t="str">
        <f>""</f>
        <v/>
      </c>
      <c r="I628" s="6">
        <v>985164882.73000002</v>
      </c>
    </row>
    <row r="629" spans="1:9" x14ac:dyDescent="0.25">
      <c r="A629" s="10">
        <v>619</v>
      </c>
      <c r="B629" s="1">
        <v>45930</v>
      </c>
      <c r="C629" s="14">
        <v>8</v>
      </c>
      <c r="D629" s="14" t="str">
        <f>"5404"</f>
        <v>5404</v>
      </c>
      <c r="E629" s="14" t="str">
        <f>"Расходы по амортизации дисконта по выпущенным в обращение субординированным облигациям"</f>
        <v>Расходы по амортизации дисконта по выпущенным в обращение субординированным облигациям</v>
      </c>
      <c r="F629" s="14" t="str">
        <f>""</f>
        <v/>
      </c>
      <c r="G629" s="14" t="str">
        <f>""</f>
        <v/>
      </c>
      <c r="H629" s="14" t="str">
        <f>""</f>
        <v/>
      </c>
      <c r="I629" s="6">
        <v>24333849052.759998</v>
      </c>
    </row>
    <row r="630" spans="1:9" x14ac:dyDescent="0.25">
      <c r="A630" s="10">
        <v>620</v>
      </c>
      <c r="B630" s="1">
        <v>45930</v>
      </c>
      <c r="C630" s="14">
        <v>8</v>
      </c>
      <c r="D630" s="14" t="str">
        <f>"5406"</f>
        <v>5406</v>
      </c>
      <c r="E630" s="14" t="str">
        <f>"Расходы, связанные с выплатой вознаграждения по субординированным облигациям"</f>
        <v>Расходы, связанные с выплатой вознаграждения по субординированным облигациям</v>
      </c>
      <c r="F630" s="14" t="str">
        <f>""</f>
        <v/>
      </c>
      <c r="G630" s="14" t="str">
        <f>""</f>
        <v/>
      </c>
      <c r="H630" s="14" t="str">
        <f>""</f>
        <v/>
      </c>
      <c r="I630" s="6">
        <v>7228106666.6700001</v>
      </c>
    </row>
    <row r="631" spans="1:9" x14ac:dyDescent="0.25">
      <c r="A631" s="10">
        <v>621</v>
      </c>
      <c r="B631" s="1">
        <v>45930</v>
      </c>
      <c r="C631" s="14">
        <v>8</v>
      </c>
      <c r="D631" s="14" t="str">
        <f>"5451"</f>
        <v>5451</v>
      </c>
      <c r="E631" s="14" t="str">
        <f>"Расходы на формирование резервов (провизий) по вкладам, размещенным в других банках"</f>
        <v>Расходы на формирование резервов (провизий) по вкладам, размещенным в других банках</v>
      </c>
      <c r="F631" s="14" t="str">
        <f>""</f>
        <v/>
      </c>
      <c r="G631" s="14" t="str">
        <f>""</f>
        <v/>
      </c>
      <c r="H631" s="14" t="str">
        <f>""</f>
        <v/>
      </c>
      <c r="I631" s="6">
        <v>101105603.02</v>
      </c>
    </row>
    <row r="632" spans="1:9" x14ac:dyDescent="0.25">
      <c r="A632" s="10">
        <v>622</v>
      </c>
      <c r="B632" s="1">
        <v>45930</v>
      </c>
      <c r="C632" s="14">
        <v>8</v>
      </c>
      <c r="D632" s="14" t="str">
        <f>"5453"</f>
        <v>5453</v>
      </c>
      <c r="E632" s="14" t="str">
        <f>"Расходы на формирование резервов (провизий) по дебиторской задолженности, связанной с банковской деятельностью"</f>
        <v>Расходы на формирование резервов (провизий) по дебиторской задолженности, связанной с банковской деятельностью</v>
      </c>
      <c r="F632" s="14" t="str">
        <f>""</f>
        <v/>
      </c>
      <c r="G632" s="14" t="str">
        <f>""</f>
        <v/>
      </c>
      <c r="H632" s="14" t="str">
        <f>""</f>
        <v/>
      </c>
      <c r="I632" s="6">
        <v>1817769628.5699999</v>
      </c>
    </row>
    <row r="633" spans="1:9" x14ac:dyDescent="0.25">
      <c r="A633" s="10">
        <v>623</v>
      </c>
      <c r="B633" s="1">
        <v>45930</v>
      </c>
      <c r="C633" s="14">
        <v>8</v>
      </c>
      <c r="D633" s="14" t="str">
        <f>"5455"</f>
        <v>5455</v>
      </c>
      <c r="E633" s="14" t="str">
        <f>"Расходы на формирование резервов (провизий) по займам и финансовому лизингу, предоставленным клиентам"</f>
        <v>Расходы на формирование резервов (провизий) по займам и финансовому лизингу, предоставленным клиентам</v>
      </c>
      <c r="F633" s="14" t="str">
        <f>""</f>
        <v/>
      </c>
      <c r="G633" s="14" t="str">
        <f>""</f>
        <v/>
      </c>
      <c r="H633" s="14" t="str">
        <f>""</f>
        <v/>
      </c>
      <c r="I633" s="6">
        <v>82670406080.119995</v>
      </c>
    </row>
    <row r="634" spans="1:9" x14ac:dyDescent="0.25">
      <c r="A634" s="10">
        <v>624</v>
      </c>
      <c r="B634" s="1">
        <v>45930</v>
      </c>
      <c r="C634" s="14">
        <v>8</v>
      </c>
      <c r="D634" s="14" t="str">
        <f>"5456"</f>
        <v>5456</v>
      </c>
      <c r="E634" s="14" t="str">
        <f>"Расходы на формирование резервов (провизий) по корреспондентским счетам в других банках и текущим счетам ипотечных организаций"</f>
        <v>Расходы на формирование резервов (провизий) по корреспондентским счетам в других банках и текущим счетам ипотечных организаций</v>
      </c>
      <c r="F634" s="14" t="str">
        <f>""</f>
        <v/>
      </c>
      <c r="G634" s="14" t="str">
        <f>""</f>
        <v/>
      </c>
      <c r="H634" s="14" t="str">
        <f>""</f>
        <v/>
      </c>
      <c r="I634" s="6">
        <v>43829209.590000004</v>
      </c>
    </row>
    <row r="635" spans="1:9" x14ac:dyDescent="0.25">
      <c r="A635" s="10">
        <v>625</v>
      </c>
      <c r="B635" s="1">
        <v>45930</v>
      </c>
      <c r="C635" s="14">
        <v>8</v>
      </c>
      <c r="D635" s="14" t="str">
        <f>"5457"</f>
        <v>5457</v>
      </c>
      <c r="E635" s="14" t="str">
        <f>"Расходы на формирование резервов  (провизий) по начисленным и просроченным комиссионным доходам"</f>
        <v>Расходы на формирование резервов  (провизий) по начисленным и просроченным комиссионным доходам</v>
      </c>
      <c r="F635" s="14" t="str">
        <f>""</f>
        <v/>
      </c>
      <c r="G635" s="14" t="str">
        <f>""</f>
        <v/>
      </c>
      <c r="H635" s="14" t="str">
        <f>""</f>
        <v/>
      </c>
      <c r="I635" s="6">
        <v>160991652.18000001</v>
      </c>
    </row>
    <row r="636" spans="1:9" x14ac:dyDescent="0.25">
      <c r="A636" s="10">
        <v>626</v>
      </c>
      <c r="B636" s="1">
        <v>45930</v>
      </c>
      <c r="C636" s="14">
        <v>8</v>
      </c>
      <c r="D636" s="14" t="str">
        <f>"5459"</f>
        <v>5459</v>
      </c>
      <c r="E636" s="14" t="str">
        <f>"Расходы на формирование резервов (провизий) по дебиторской задолженности, связанной с неосновной деятельностью"</f>
        <v>Расходы на формирование резервов (провизий) по дебиторской задолженности, связанной с неосновной деятельностью</v>
      </c>
      <c r="F636" s="14" t="str">
        <f>""</f>
        <v/>
      </c>
      <c r="G636" s="14" t="str">
        <f>""</f>
        <v/>
      </c>
      <c r="H636" s="14" t="str">
        <f>""</f>
        <v/>
      </c>
      <c r="I636" s="6">
        <v>91141987.989999995</v>
      </c>
    </row>
    <row r="637" spans="1:9" x14ac:dyDescent="0.25">
      <c r="A637" s="10">
        <v>627</v>
      </c>
      <c r="B637" s="1">
        <v>45930</v>
      </c>
      <c r="C637" s="14">
        <v>8</v>
      </c>
      <c r="D637" s="14" t="str">
        <f>"5461"</f>
        <v>5461</v>
      </c>
      <c r="E637" s="14" t="str">
        <f>"Расходы на формирование резервов (провизий) по прочим финансовым активам, учитываемым по амортизированной стоимости"</f>
        <v>Расходы на формирование резервов (провизий) по прочим финансовым активам, учитываемым по амортизированной стоимости</v>
      </c>
      <c r="F637" s="14" t="str">
        <f>""</f>
        <v/>
      </c>
      <c r="G637" s="14" t="str">
        <f>""</f>
        <v/>
      </c>
      <c r="H637" s="14" t="str">
        <f>""</f>
        <v/>
      </c>
      <c r="I637" s="6">
        <v>98778209.790000007</v>
      </c>
    </row>
    <row r="638" spans="1:9" x14ac:dyDescent="0.25">
      <c r="A638" s="10">
        <v>628</v>
      </c>
      <c r="B638" s="1">
        <v>45930</v>
      </c>
      <c r="C638" s="14">
        <v>8</v>
      </c>
      <c r="D638" s="14" t="str">
        <f>"5464"</f>
        <v>5464</v>
      </c>
      <c r="E638" s="14" t="str">
        <f>"Расходы на формирование резервов (провизий) по ценным бумагам"</f>
        <v>Расходы на формирование резервов (провизий) по ценным бумагам</v>
      </c>
      <c r="F638" s="14" t="str">
        <f>""</f>
        <v/>
      </c>
      <c r="G638" s="14" t="str">
        <f>""</f>
        <v/>
      </c>
      <c r="H638" s="14" t="str">
        <f>""</f>
        <v/>
      </c>
      <c r="I638" s="6">
        <v>850604151.09000003</v>
      </c>
    </row>
    <row r="639" spans="1:9" x14ac:dyDescent="0.25">
      <c r="A639" s="10">
        <v>629</v>
      </c>
      <c r="B639" s="1">
        <v>45930</v>
      </c>
      <c r="C639" s="14">
        <v>8</v>
      </c>
      <c r="D639" s="14" t="str">
        <f>"5465"</f>
        <v>5465</v>
      </c>
      <c r="E639" s="14" t="str">
        <f>"Расходы на формирование резервов (провизий) по условным обязательствам"</f>
        <v>Расходы на формирование резервов (провизий) по условным обязательствам</v>
      </c>
      <c r="F639" s="14" t="str">
        <f>""</f>
        <v/>
      </c>
      <c r="G639" s="14" t="str">
        <f>""</f>
        <v/>
      </c>
      <c r="H639" s="14" t="str">
        <f>""</f>
        <v/>
      </c>
      <c r="I639" s="6">
        <v>790720322.91999996</v>
      </c>
    </row>
    <row r="640" spans="1:9" x14ac:dyDescent="0.25">
      <c r="A640" s="10">
        <v>630</v>
      </c>
      <c r="B640" s="1">
        <v>45930</v>
      </c>
      <c r="C640" s="14">
        <v>8</v>
      </c>
      <c r="D640" s="14" t="str">
        <f>"5510"</f>
        <v>5510</v>
      </c>
      <c r="E640" s="14" t="str">
        <f>"Расходы по купле-продаже ценных бумаг"</f>
        <v>Расходы по купле-продаже ценных бумаг</v>
      </c>
      <c r="F640" s="14" t="str">
        <f>""</f>
        <v/>
      </c>
      <c r="G640" s="14" t="str">
        <f>""</f>
        <v/>
      </c>
      <c r="H640" s="14" t="str">
        <f>""</f>
        <v/>
      </c>
      <c r="I640" s="6">
        <v>63597953.490000002</v>
      </c>
    </row>
    <row r="641" spans="1:9" x14ac:dyDescent="0.25">
      <c r="A641" s="10">
        <v>631</v>
      </c>
      <c r="B641" s="1">
        <v>45930</v>
      </c>
      <c r="C641" s="14">
        <v>8</v>
      </c>
      <c r="D641" s="14" t="str">
        <f>"5530"</f>
        <v>5530</v>
      </c>
      <c r="E641" s="14" t="str">
        <f>"Расходы по купле-продаже иностранной валюты"</f>
        <v>Расходы по купле-продаже иностранной валюты</v>
      </c>
      <c r="F641" s="14" t="str">
        <f>""</f>
        <v/>
      </c>
      <c r="G641" s="14" t="str">
        <f>""</f>
        <v/>
      </c>
      <c r="H641" s="14" t="str">
        <f>""</f>
        <v/>
      </c>
      <c r="I641" s="6">
        <v>11857333137.959999</v>
      </c>
    </row>
    <row r="642" spans="1:9" x14ac:dyDescent="0.25">
      <c r="A642" s="10">
        <v>632</v>
      </c>
      <c r="B642" s="1">
        <v>45930</v>
      </c>
      <c r="C642" s="14">
        <v>8</v>
      </c>
      <c r="D642" s="14" t="str">
        <f>"5540"</f>
        <v>5540</v>
      </c>
      <c r="E642" s="14" t="str">
        <f>"Расходы по списанию балансовой стоимости аффинированных драгоценных металлов"</f>
        <v>Расходы по списанию балансовой стоимости аффинированных драгоценных металлов</v>
      </c>
      <c r="F642" s="14" t="str">
        <f>""</f>
        <v/>
      </c>
      <c r="G642" s="14" t="str">
        <f>""</f>
        <v/>
      </c>
      <c r="H642" s="14" t="str">
        <f>""</f>
        <v/>
      </c>
      <c r="I642" s="6">
        <v>192244623.31999999</v>
      </c>
    </row>
    <row r="643" spans="1:9" x14ac:dyDescent="0.25">
      <c r="A643" s="10">
        <v>633</v>
      </c>
      <c r="B643" s="1">
        <v>45930</v>
      </c>
      <c r="C643" s="14">
        <v>8</v>
      </c>
      <c r="D643" s="14" t="str">
        <f>"5593"</f>
        <v>5593</v>
      </c>
      <c r="E643" s="14" t="str">
        <f>"Расходы от переоценки операций своп"</f>
        <v>Расходы от переоценки операций своп</v>
      </c>
      <c r="F643" s="14" t="str">
        <f>""</f>
        <v/>
      </c>
      <c r="G643" s="14" t="str">
        <f>""</f>
        <v/>
      </c>
      <c r="H643" s="14" t="str">
        <f>""</f>
        <v/>
      </c>
      <c r="I643" s="6">
        <v>36159740.689999998</v>
      </c>
    </row>
    <row r="644" spans="1:9" x14ac:dyDescent="0.25">
      <c r="A644" s="10">
        <v>634</v>
      </c>
      <c r="B644" s="1">
        <v>45930</v>
      </c>
      <c r="C644" s="14">
        <v>8</v>
      </c>
      <c r="D644" s="14" t="str">
        <f>"5601"</f>
        <v>5601</v>
      </c>
      <c r="E644" s="14" t="str">
        <f>"Комиссионные расходы по полученным услугам по переводным операциям"</f>
        <v>Комиссионные расходы по полученным услугам по переводным операциям</v>
      </c>
      <c r="F644" s="14" t="str">
        <f>""</f>
        <v/>
      </c>
      <c r="G644" s="14" t="str">
        <f>""</f>
        <v/>
      </c>
      <c r="H644" s="14" t="str">
        <f>""</f>
        <v/>
      </c>
      <c r="I644" s="6">
        <v>324459324.60000002</v>
      </c>
    </row>
    <row r="645" spans="1:9" x14ac:dyDescent="0.25">
      <c r="A645" s="10">
        <v>635</v>
      </c>
      <c r="B645" s="1">
        <v>45930</v>
      </c>
      <c r="C645" s="14">
        <v>8</v>
      </c>
      <c r="D645" s="14" t="str">
        <f>"5602"</f>
        <v>5602</v>
      </c>
      <c r="E645" s="14" t="str">
        <f>"Комиссионные расходы по полученным агентским услугам"</f>
        <v>Комиссионные расходы по полученным агентским услугам</v>
      </c>
      <c r="F645" s="14" t="str">
        <f>""</f>
        <v/>
      </c>
      <c r="G645" s="14" t="str">
        <f>""</f>
        <v/>
      </c>
      <c r="H645" s="14" t="str">
        <f>""</f>
        <v/>
      </c>
      <c r="I645" s="6">
        <v>2724910480.5100002</v>
      </c>
    </row>
    <row r="646" spans="1:9" x14ac:dyDescent="0.25">
      <c r="A646" s="10">
        <v>636</v>
      </c>
      <c r="B646" s="1">
        <v>45930</v>
      </c>
      <c r="C646" s="14">
        <v>8</v>
      </c>
      <c r="D646" s="14" t="str">
        <f>"5603"</f>
        <v>5603</v>
      </c>
      <c r="E646" s="14" t="str">
        <f>"Комиссионные расходы по полученным услугам по купле-продаже ценных бумаг"</f>
        <v>Комиссионные расходы по полученным услугам по купле-продаже ценных бумаг</v>
      </c>
      <c r="F646" s="14" t="str">
        <f>""</f>
        <v/>
      </c>
      <c r="G646" s="14" t="str">
        <f>""</f>
        <v/>
      </c>
      <c r="H646" s="14" t="str">
        <f>""</f>
        <v/>
      </c>
      <c r="I646" s="6">
        <v>207795216.83000001</v>
      </c>
    </row>
    <row r="647" spans="1:9" x14ac:dyDescent="0.25">
      <c r="A647" s="10">
        <v>637</v>
      </c>
      <c r="B647" s="1">
        <v>45930</v>
      </c>
      <c r="C647" s="14">
        <v>8</v>
      </c>
      <c r="D647" s="14" t="str">
        <f>"5607"</f>
        <v>5607</v>
      </c>
      <c r="E647" s="14" t="str">
        <f>"Комиссионные расходы за услуги по открытию и ведению банковских счетов клиентов"</f>
        <v>Комиссионные расходы за услуги по открытию и ведению банковских счетов клиентов</v>
      </c>
      <c r="F647" s="14" t="str">
        <f>""</f>
        <v/>
      </c>
      <c r="G647" s="14" t="str">
        <f>""</f>
        <v/>
      </c>
      <c r="H647" s="14" t="str">
        <f>""</f>
        <v/>
      </c>
      <c r="I647" s="6">
        <v>5209424727.9399996</v>
      </c>
    </row>
    <row r="648" spans="1:9" x14ac:dyDescent="0.25">
      <c r="A648" s="10">
        <v>638</v>
      </c>
      <c r="B648" s="1">
        <v>45930</v>
      </c>
      <c r="C648" s="14">
        <v>8</v>
      </c>
      <c r="D648" s="14" t="str">
        <f>"5608"</f>
        <v>5608</v>
      </c>
      <c r="E648" s="14" t="str">
        <f>"Прочие комиссионные расходы"</f>
        <v>Прочие комиссионные расходы</v>
      </c>
      <c r="F648" s="14" t="str">
        <f>""</f>
        <v/>
      </c>
      <c r="G648" s="14" t="str">
        <f>""</f>
        <v/>
      </c>
      <c r="H648" s="14" t="str">
        <f>""</f>
        <v/>
      </c>
      <c r="I648" s="6">
        <v>627466953.66999996</v>
      </c>
    </row>
    <row r="649" spans="1:9" x14ac:dyDescent="0.25">
      <c r="A649" s="10">
        <v>639</v>
      </c>
      <c r="B649" s="1">
        <v>45930</v>
      </c>
      <c r="C649" s="14">
        <v>8</v>
      </c>
      <c r="D649" s="14" t="str">
        <f>"5609"</f>
        <v>5609</v>
      </c>
      <c r="E649" s="14" t="str">
        <f>"Комиссионные расходы по профессиональной деятельности на рынке ценных бумаг"</f>
        <v>Комиссионные расходы по профессиональной деятельности на рынке ценных бумаг</v>
      </c>
      <c r="F649" s="14" t="str">
        <f>""</f>
        <v/>
      </c>
      <c r="G649" s="14" t="str">
        <f>""</f>
        <v/>
      </c>
      <c r="H649" s="14" t="str">
        <f>""</f>
        <v/>
      </c>
      <c r="I649" s="6">
        <v>47428.49</v>
      </c>
    </row>
    <row r="650" spans="1:9" x14ac:dyDescent="0.25">
      <c r="A650" s="10">
        <v>640</v>
      </c>
      <c r="B650" s="1">
        <v>45930</v>
      </c>
      <c r="C650" s="14">
        <v>8</v>
      </c>
      <c r="D650" s="14" t="str">
        <f>"5610"</f>
        <v>5610</v>
      </c>
      <c r="E650" s="14" t="str">
        <f>"Комиссионные расходы по документарным расчетам"</f>
        <v>Комиссионные расходы по документарным расчетам</v>
      </c>
      <c r="F650" s="14" t="str">
        <f>""</f>
        <v/>
      </c>
      <c r="G650" s="14" t="str">
        <f>""</f>
        <v/>
      </c>
      <c r="H650" s="14" t="str">
        <f>""</f>
        <v/>
      </c>
      <c r="I650" s="6">
        <v>2536489.2799999998</v>
      </c>
    </row>
    <row r="651" spans="1:9" x14ac:dyDescent="0.25">
      <c r="A651" s="10">
        <v>641</v>
      </c>
      <c r="B651" s="1">
        <v>45930</v>
      </c>
      <c r="C651" s="14">
        <v>8</v>
      </c>
      <c r="D651" s="14" t="str">
        <f>"5703"</f>
        <v>5703</v>
      </c>
      <c r="E651" s="14" t="str">
        <f>"Расходы от переоценки иностранной валюты"</f>
        <v>Расходы от переоценки иностранной валюты</v>
      </c>
      <c r="F651" s="14" t="str">
        <f>""</f>
        <v/>
      </c>
      <c r="G651" s="14" t="str">
        <f>""</f>
        <v/>
      </c>
      <c r="H651" s="14" t="str">
        <f>""</f>
        <v/>
      </c>
      <c r="I651" s="6">
        <v>562792212345.72998</v>
      </c>
    </row>
    <row r="652" spans="1:9" x14ac:dyDescent="0.25">
      <c r="A652" s="10">
        <v>642</v>
      </c>
      <c r="B652" s="1">
        <v>45930</v>
      </c>
      <c r="C652" s="14">
        <v>8</v>
      </c>
      <c r="D652" s="14" t="str">
        <f>"5704"</f>
        <v>5704</v>
      </c>
      <c r="E652" s="14" t="str">
        <f>"Расходы от переоценки аффинированных драгоценных металлов"</f>
        <v>Расходы от переоценки аффинированных драгоценных металлов</v>
      </c>
      <c r="F652" s="14" t="str">
        <f>""</f>
        <v/>
      </c>
      <c r="G652" s="14" t="str">
        <f>""</f>
        <v/>
      </c>
      <c r="H652" s="14" t="str">
        <f>""</f>
        <v/>
      </c>
      <c r="I652" s="6">
        <v>1355521661.54</v>
      </c>
    </row>
    <row r="653" spans="1:9" x14ac:dyDescent="0.25">
      <c r="A653" s="10">
        <v>643</v>
      </c>
      <c r="B653" s="1">
        <v>45930</v>
      </c>
      <c r="C653" s="14">
        <v>8</v>
      </c>
      <c r="D653" s="14" t="str">
        <f>"5721"</f>
        <v>5721</v>
      </c>
      <c r="E653" s="14" t="str">
        <f>"Расходы по оплате труда"</f>
        <v>Расходы по оплате труда</v>
      </c>
      <c r="F653" s="14" t="str">
        <f>""</f>
        <v/>
      </c>
      <c r="G653" s="14" t="str">
        <f>""</f>
        <v/>
      </c>
      <c r="H653" s="14" t="str">
        <f>""</f>
        <v/>
      </c>
      <c r="I653" s="6">
        <v>14855846373.77</v>
      </c>
    </row>
    <row r="654" spans="1:9" x14ac:dyDescent="0.25">
      <c r="A654" s="10">
        <v>644</v>
      </c>
      <c r="B654" s="1">
        <v>45930</v>
      </c>
      <c r="C654" s="14">
        <v>8</v>
      </c>
      <c r="D654" s="14" t="str">
        <f>"5722"</f>
        <v>5722</v>
      </c>
      <c r="E654" s="14" t="str">
        <f>"Социальные отчисления, отчисления по обязательному социальному медицинскому страхованию и обязательные пенсионные взносы работодателя"</f>
        <v>Социальные отчисления, отчисления по обязательному социальному медицинскому страхованию и обязательные пенсионные взносы работодателя</v>
      </c>
      <c r="F654" s="14" t="str">
        <f>""</f>
        <v/>
      </c>
      <c r="G654" s="14" t="str">
        <f>""</f>
        <v/>
      </c>
      <c r="H654" s="14" t="str">
        <f>""</f>
        <v/>
      </c>
      <c r="I654" s="6">
        <v>835107943.72000003</v>
      </c>
    </row>
    <row r="655" spans="1:9" x14ac:dyDescent="0.25">
      <c r="A655" s="10">
        <v>645</v>
      </c>
      <c r="B655" s="1">
        <v>45930</v>
      </c>
      <c r="C655" s="14">
        <v>8</v>
      </c>
      <c r="D655" s="14" t="str">
        <f>"5729"</f>
        <v>5729</v>
      </c>
      <c r="E655" s="14" t="str">
        <f>"Прочие выплаты"</f>
        <v>Прочие выплаты</v>
      </c>
      <c r="F655" s="14" t="str">
        <f>""</f>
        <v/>
      </c>
      <c r="G655" s="14" t="str">
        <f>""</f>
        <v/>
      </c>
      <c r="H655" s="14" t="str">
        <f>""</f>
        <v/>
      </c>
      <c r="I655" s="6">
        <v>313063218.98000002</v>
      </c>
    </row>
    <row r="656" spans="1:9" x14ac:dyDescent="0.25">
      <c r="A656" s="10">
        <v>646</v>
      </c>
      <c r="B656" s="1">
        <v>45930</v>
      </c>
      <c r="C656" s="14">
        <v>8</v>
      </c>
      <c r="D656" s="14" t="str">
        <f>"5733"</f>
        <v>5733</v>
      </c>
      <c r="E656" s="14" t="str">
        <f>"Расходы от изменения стоимости ценных бумаг, учитываемых по справедливой стоимости через прочий совокупный доход"</f>
        <v>Расходы от изменения стоимости ценных бумаг, учитываемых по справедливой стоимости через прочий совокупный доход</v>
      </c>
      <c r="F656" s="14" t="str">
        <f>""</f>
        <v/>
      </c>
      <c r="G656" s="14" t="str">
        <f>""</f>
        <v/>
      </c>
      <c r="H656" s="14" t="str">
        <f>""</f>
        <v/>
      </c>
      <c r="I656" s="6">
        <v>156590181.91999999</v>
      </c>
    </row>
    <row r="657" spans="1:9" x14ac:dyDescent="0.25">
      <c r="A657" s="10">
        <v>647</v>
      </c>
      <c r="B657" s="1">
        <v>45930</v>
      </c>
      <c r="C657" s="14">
        <v>8</v>
      </c>
      <c r="D657" s="14" t="str">
        <f>"5741"</f>
        <v>5741</v>
      </c>
      <c r="E657" s="14" t="str">
        <f>"Транспортные расходы"</f>
        <v>Транспортные расходы</v>
      </c>
      <c r="F657" s="14" t="str">
        <f>""</f>
        <v/>
      </c>
      <c r="G657" s="14" t="str">
        <f>""</f>
        <v/>
      </c>
      <c r="H657" s="14" t="str">
        <f>""</f>
        <v/>
      </c>
      <c r="I657" s="6">
        <v>106063216.45</v>
      </c>
    </row>
    <row r="658" spans="1:9" x14ac:dyDescent="0.25">
      <c r="A658" s="10">
        <v>648</v>
      </c>
      <c r="B658" s="1">
        <v>45930</v>
      </c>
      <c r="C658" s="14">
        <v>8</v>
      </c>
      <c r="D658" s="14" t="str">
        <f>"5742"</f>
        <v>5742</v>
      </c>
      <c r="E658" s="14" t="str">
        <f>"Административные расходы"</f>
        <v>Административные расходы</v>
      </c>
      <c r="F658" s="14" t="str">
        <f>""</f>
        <v/>
      </c>
      <c r="G658" s="14" t="str">
        <f>""</f>
        <v/>
      </c>
      <c r="H658" s="14" t="str">
        <f>""</f>
        <v/>
      </c>
      <c r="I658" s="6">
        <v>1847270187.9200001</v>
      </c>
    </row>
    <row r="659" spans="1:9" x14ac:dyDescent="0.25">
      <c r="A659" s="10">
        <v>649</v>
      </c>
      <c r="B659" s="1">
        <v>45930</v>
      </c>
      <c r="C659" s="14">
        <v>8</v>
      </c>
      <c r="D659" s="14" t="str">
        <f>"5743"</f>
        <v>5743</v>
      </c>
      <c r="E659" s="14" t="str">
        <f>"Расходы на инкассацию"</f>
        <v>Расходы на инкассацию</v>
      </c>
      <c r="F659" s="14" t="str">
        <f>""</f>
        <v/>
      </c>
      <c r="G659" s="14" t="str">
        <f>""</f>
        <v/>
      </c>
      <c r="H659" s="14" t="str">
        <f>""</f>
        <v/>
      </c>
      <c r="I659" s="6">
        <v>173709107.06999999</v>
      </c>
    </row>
    <row r="660" spans="1:9" x14ac:dyDescent="0.25">
      <c r="A660" s="10">
        <v>650</v>
      </c>
      <c r="B660" s="1">
        <v>45930</v>
      </c>
      <c r="C660" s="14">
        <v>8</v>
      </c>
      <c r="D660" s="14" t="str">
        <f>"5744"</f>
        <v>5744</v>
      </c>
      <c r="E660" s="14" t="str">
        <f>"Расходы на ремонт"</f>
        <v>Расходы на ремонт</v>
      </c>
      <c r="F660" s="14" t="str">
        <f>""</f>
        <v/>
      </c>
      <c r="G660" s="14" t="str">
        <f>""</f>
        <v/>
      </c>
      <c r="H660" s="14" t="str">
        <f>""</f>
        <v/>
      </c>
      <c r="I660" s="6">
        <v>52497301.32</v>
      </c>
    </row>
    <row r="661" spans="1:9" x14ac:dyDescent="0.25">
      <c r="A661" s="10">
        <v>651</v>
      </c>
      <c r="B661" s="1">
        <v>45930</v>
      </c>
      <c r="C661" s="14">
        <v>8</v>
      </c>
      <c r="D661" s="14" t="str">
        <f>"5745"</f>
        <v>5745</v>
      </c>
      <c r="E661" s="14" t="str">
        <f>"Расходы на рекламу"</f>
        <v>Расходы на рекламу</v>
      </c>
      <c r="F661" s="14" t="str">
        <f>""</f>
        <v/>
      </c>
      <c r="G661" s="14" t="str">
        <f>""</f>
        <v/>
      </c>
      <c r="H661" s="14" t="str">
        <f>""</f>
        <v/>
      </c>
      <c r="I661" s="6">
        <v>550250811.55999994</v>
      </c>
    </row>
    <row r="662" spans="1:9" x14ac:dyDescent="0.25">
      <c r="A662" s="10">
        <v>652</v>
      </c>
      <c r="B662" s="1">
        <v>45930</v>
      </c>
      <c r="C662" s="14">
        <v>8</v>
      </c>
      <c r="D662" s="14" t="str">
        <f>"5746"</f>
        <v>5746</v>
      </c>
      <c r="E662" s="14" t="str">
        <f>"Расходы на охрану и сигнализацию"</f>
        <v>Расходы на охрану и сигнализацию</v>
      </c>
      <c r="F662" s="14" t="str">
        <f>""</f>
        <v/>
      </c>
      <c r="G662" s="14" t="str">
        <f>""</f>
        <v/>
      </c>
      <c r="H662" s="14" t="str">
        <f>""</f>
        <v/>
      </c>
      <c r="I662" s="6">
        <v>387101879.17000002</v>
      </c>
    </row>
    <row r="663" spans="1:9" x14ac:dyDescent="0.25">
      <c r="A663" s="10">
        <v>653</v>
      </c>
      <c r="B663" s="1">
        <v>45930</v>
      </c>
      <c r="C663" s="14">
        <v>8</v>
      </c>
      <c r="D663" s="14" t="str">
        <f>"5747"</f>
        <v>5747</v>
      </c>
      <c r="E663" s="14" t="str">
        <f>"Представительские расходы"</f>
        <v>Представительские расходы</v>
      </c>
      <c r="F663" s="14" t="str">
        <f>""</f>
        <v/>
      </c>
      <c r="G663" s="14" t="str">
        <f>""</f>
        <v/>
      </c>
      <c r="H663" s="14" t="str">
        <f>""</f>
        <v/>
      </c>
      <c r="I663" s="6">
        <v>8610514.1999999993</v>
      </c>
    </row>
    <row r="664" spans="1:9" x14ac:dyDescent="0.25">
      <c r="A664" s="10">
        <v>654</v>
      </c>
      <c r="B664" s="1">
        <v>45930</v>
      </c>
      <c r="C664" s="14">
        <v>8</v>
      </c>
      <c r="D664" s="14" t="str">
        <f>"5748"</f>
        <v>5748</v>
      </c>
      <c r="E664" s="14" t="str">
        <f>"Прочие общехозяйственные расходы"</f>
        <v>Прочие общехозяйственные расходы</v>
      </c>
      <c r="F664" s="14" t="str">
        <f>""</f>
        <v/>
      </c>
      <c r="G664" s="14" t="str">
        <f>""</f>
        <v/>
      </c>
      <c r="H664" s="14" t="str">
        <f>""</f>
        <v/>
      </c>
      <c r="I664" s="6">
        <v>492236474.83999997</v>
      </c>
    </row>
    <row r="665" spans="1:9" x14ac:dyDescent="0.25">
      <c r="A665" s="10">
        <v>655</v>
      </c>
      <c r="B665" s="1">
        <v>45930</v>
      </c>
      <c r="C665" s="14">
        <v>8</v>
      </c>
      <c r="D665" s="14" t="str">
        <f>"5749"</f>
        <v>5749</v>
      </c>
      <c r="E665" s="14" t="str">
        <f>"Расходы на служебные командировки"</f>
        <v>Расходы на служебные командировки</v>
      </c>
      <c r="F665" s="14" t="str">
        <f>""</f>
        <v/>
      </c>
      <c r="G665" s="14" t="str">
        <f>""</f>
        <v/>
      </c>
      <c r="H665" s="14" t="str">
        <f>""</f>
        <v/>
      </c>
      <c r="I665" s="6">
        <v>92275546.870000005</v>
      </c>
    </row>
    <row r="666" spans="1:9" x14ac:dyDescent="0.25">
      <c r="A666" s="10">
        <v>656</v>
      </c>
      <c r="B666" s="1">
        <v>45930</v>
      </c>
      <c r="C666" s="14">
        <v>8</v>
      </c>
      <c r="D666" s="14" t="str">
        <f>"5750"</f>
        <v>5750</v>
      </c>
      <c r="E666" s="14" t="str">
        <f>"Расходы по аудиту и консультационным услугам"</f>
        <v>Расходы по аудиту и консультационным услугам</v>
      </c>
      <c r="F666" s="14" t="str">
        <f>""</f>
        <v/>
      </c>
      <c r="G666" s="14" t="str">
        <f>""</f>
        <v/>
      </c>
      <c r="H666" s="14" t="str">
        <f>""</f>
        <v/>
      </c>
      <c r="I666" s="6">
        <v>141067546.43000001</v>
      </c>
    </row>
    <row r="667" spans="1:9" x14ac:dyDescent="0.25">
      <c r="A667" s="10">
        <v>657</v>
      </c>
      <c r="B667" s="1">
        <v>45930</v>
      </c>
      <c r="C667" s="14">
        <v>8</v>
      </c>
      <c r="D667" s="14" t="str">
        <f>"5752"</f>
        <v>5752</v>
      </c>
      <c r="E667" s="14" t="str">
        <f>"Расходы по страхованию"</f>
        <v>Расходы по страхованию</v>
      </c>
      <c r="F667" s="14" t="str">
        <f>""</f>
        <v/>
      </c>
      <c r="G667" s="14" t="str">
        <f>""</f>
        <v/>
      </c>
      <c r="H667" s="14" t="str">
        <f>""</f>
        <v/>
      </c>
      <c r="I667" s="6">
        <v>43177721.07</v>
      </c>
    </row>
    <row r="668" spans="1:9" x14ac:dyDescent="0.25">
      <c r="A668" s="10">
        <v>658</v>
      </c>
      <c r="B668" s="1">
        <v>45930</v>
      </c>
      <c r="C668" s="14">
        <v>8</v>
      </c>
      <c r="D668" s="14" t="str">
        <f>"5753"</f>
        <v>5753</v>
      </c>
      <c r="E668" s="14" t="str">
        <f>"Расходы по услугам связи"</f>
        <v>Расходы по услугам связи</v>
      </c>
      <c r="F668" s="14" t="str">
        <f>""</f>
        <v/>
      </c>
      <c r="G668" s="14" t="str">
        <f>""</f>
        <v/>
      </c>
      <c r="H668" s="14" t="str">
        <f>""</f>
        <v/>
      </c>
      <c r="I668" s="6">
        <v>432682034.06</v>
      </c>
    </row>
    <row r="669" spans="1:9" x14ac:dyDescent="0.25">
      <c r="A669" s="10">
        <v>659</v>
      </c>
      <c r="B669" s="1">
        <v>45930</v>
      </c>
      <c r="C669" s="14">
        <v>8</v>
      </c>
      <c r="D669" s="14" t="str">
        <f>"5754"</f>
        <v>5754</v>
      </c>
      <c r="E669" s="14" t="str">
        <f>"Расходы в виде взносов в акционерное общество «Казахстанский фонд гарантирования депозитов»"</f>
        <v>Расходы в виде взносов в акционерное общество «Казахстанский фонд гарантирования депозитов»</v>
      </c>
      <c r="F669" s="14" t="str">
        <f>""</f>
        <v/>
      </c>
      <c r="G669" s="14" t="str">
        <f>""</f>
        <v/>
      </c>
      <c r="H669" s="14" t="str">
        <f>""</f>
        <v/>
      </c>
      <c r="I669" s="6">
        <v>834458178</v>
      </c>
    </row>
    <row r="670" spans="1:9" x14ac:dyDescent="0.25">
      <c r="A670" s="10">
        <v>660</v>
      </c>
      <c r="B670" s="1">
        <v>45930</v>
      </c>
      <c r="C670" s="14">
        <v>8</v>
      </c>
      <c r="D670" s="14" t="str">
        <f>"5761"</f>
        <v>5761</v>
      </c>
      <c r="E670" s="14" t="str">
        <f>"Налог на добавленную стоимость"</f>
        <v>Налог на добавленную стоимость</v>
      </c>
      <c r="F670" s="14" t="str">
        <f>""</f>
        <v/>
      </c>
      <c r="G670" s="14" t="str">
        <f>""</f>
        <v/>
      </c>
      <c r="H670" s="14" t="str">
        <f>""</f>
        <v/>
      </c>
      <c r="I670" s="6">
        <v>582091975.62</v>
      </c>
    </row>
    <row r="671" spans="1:9" x14ac:dyDescent="0.25">
      <c r="A671" s="10">
        <v>661</v>
      </c>
      <c r="B671" s="1">
        <v>45930</v>
      </c>
      <c r="C671" s="14">
        <v>8</v>
      </c>
      <c r="D671" s="14" t="str">
        <f>"5763"</f>
        <v>5763</v>
      </c>
      <c r="E671" s="14" t="str">
        <f>"Социальный налог"</f>
        <v>Социальный налог</v>
      </c>
      <c r="F671" s="14" t="str">
        <f>""</f>
        <v/>
      </c>
      <c r="G671" s="14" t="str">
        <f>""</f>
        <v/>
      </c>
      <c r="H671" s="14" t="str">
        <f>""</f>
        <v/>
      </c>
      <c r="I671" s="6">
        <v>1301178708.4200001</v>
      </c>
    </row>
    <row r="672" spans="1:9" x14ac:dyDescent="0.25">
      <c r="A672" s="10">
        <v>662</v>
      </c>
      <c r="B672" s="1">
        <v>45930</v>
      </c>
      <c r="C672" s="14">
        <v>8</v>
      </c>
      <c r="D672" s="14" t="str">
        <f>"5764"</f>
        <v>5764</v>
      </c>
      <c r="E672" s="14" t="str">
        <f>"Земельный налог"</f>
        <v>Земельный налог</v>
      </c>
      <c r="F672" s="14" t="str">
        <f>""</f>
        <v/>
      </c>
      <c r="G672" s="14" t="str">
        <f>""</f>
        <v/>
      </c>
      <c r="H672" s="14" t="str">
        <f>""</f>
        <v/>
      </c>
      <c r="I672" s="6">
        <v>6054759</v>
      </c>
    </row>
    <row r="673" spans="1:9" x14ac:dyDescent="0.25">
      <c r="A673" s="10">
        <v>663</v>
      </c>
      <c r="B673" s="1">
        <v>45930</v>
      </c>
      <c r="C673" s="14">
        <v>8</v>
      </c>
      <c r="D673" s="14" t="str">
        <f>"5765"</f>
        <v>5765</v>
      </c>
      <c r="E673" s="14" t="str">
        <f>"Налог на имущество юридических лиц"</f>
        <v>Налог на имущество юридических лиц</v>
      </c>
      <c r="F673" s="14" t="str">
        <f>""</f>
        <v/>
      </c>
      <c r="G673" s="14" t="str">
        <f>""</f>
        <v/>
      </c>
      <c r="H673" s="14" t="str">
        <f>""</f>
        <v/>
      </c>
      <c r="I673" s="6">
        <v>626857688</v>
      </c>
    </row>
    <row r="674" spans="1:9" x14ac:dyDescent="0.25">
      <c r="A674" s="10">
        <v>664</v>
      </c>
      <c r="B674" s="1">
        <v>45930</v>
      </c>
      <c r="C674" s="14">
        <v>8</v>
      </c>
      <c r="D674" s="14" t="str">
        <f>"5766"</f>
        <v>5766</v>
      </c>
      <c r="E674" s="14" t="str">
        <f>"Налог на транспортные средства"</f>
        <v>Налог на транспортные средства</v>
      </c>
      <c r="F674" s="14" t="str">
        <f>""</f>
        <v/>
      </c>
      <c r="G674" s="14" t="str">
        <f>""</f>
        <v/>
      </c>
      <c r="H674" s="14" t="str">
        <f>""</f>
        <v/>
      </c>
      <c r="I674" s="6">
        <v>8765217</v>
      </c>
    </row>
    <row r="675" spans="1:9" x14ac:dyDescent="0.25">
      <c r="A675" s="10">
        <v>665</v>
      </c>
      <c r="B675" s="1">
        <v>45930</v>
      </c>
      <c r="C675" s="14">
        <v>8</v>
      </c>
      <c r="D675" s="14" t="str">
        <f>"5768"</f>
        <v>5768</v>
      </c>
      <c r="E675" s="14" t="str">
        <f>"Прочие налоги и обязательные платежи в бюджет"</f>
        <v>Прочие налоги и обязательные платежи в бюджет</v>
      </c>
      <c r="F675" s="14" t="str">
        <f>""</f>
        <v/>
      </c>
      <c r="G675" s="14" t="str">
        <f>""</f>
        <v/>
      </c>
      <c r="H675" s="14" t="str">
        <f>""</f>
        <v/>
      </c>
      <c r="I675" s="6">
        <v>995047720.27999997</v>
      </c>
    </row>
    <row r="676" spans="1:9" x14ac:dyDescent="0.25">
      <c r="A676" s="10">
        <v>666</v>
      </c>
      <c r="B676" s="1">
        <v>45930</v>
      </c>
      <c r="C676" s="14">
        <v>8</v>
      </c>
      <c r="D676" s="14" t="str">
        <f>"5781"</f>
        <v>5781</v>
      </c>
      <c r="E676" s="14" t="str">
        <f>"Расходы по амортизации зданий и сооружений"</f>
        <v>Расходы по амортизации зданий и сооружений</v>
      </c>
      <c r="F676" s="14" t="str">
        <f>""</f>
        <v/>
      </c>
      <c r="G676" s="14" t="str">
        <f>""</f>
        <v/>
      </c>
      <c r="H676" s="14" t="str">
        <f>""</f>
        <v/>
      </c>
      <c r="I676" s="6">
        <v>279655299.13999999</v>
      </c>
    </row>
    <row r="677" spans="1:9" x14ac:dyDescent="0.25">
      <c r="A677" s="10">
        <v>667</v>
      </c>
      <c r="B677" s="1">
        <v>45930</v>
      </c>
      <c r="C677" s="14">
        <v>8</v>
      </c>
      <c r="D677" s="14" t="str">
        <f>"5782"</f>
        <v>5782</v>
      </c>
      <c r="E677" s="14" t="str">
        <f>"Расходы по амортизации компьютерного оборудования"</f>
        <v>Расходы по амортизации компьютерного оборудования</v>
      </c>
      <c r="F677" s="14" t="str">
        <f>""</f>
        <v/>
      </c>
      <c r="G677" s="14" t="str">
        <f>""</f>
        <v/>
      </c>
      <c r="H677" s="14" t="str">
        <f>""</f>
        <v/>
      </c>
      <c r="I677" s="6">
        <v>238724161.84</v>
      </c>
    </row>
    <row r="678" spans="1:9" x14ac:dyDescent="0.25">
      <c r="A678" s="10">
        <v>668</v>
      </c>
      <c r="B678" s="1">
        <v>45930</v>
      </c>
      <c r="C678" s="14">
        <v>8</v>
      </c>
      <c r="D678" s="14" t="str">
        <f>"5783"</f>
        <v>5783</v>
      </c>
      <c r="E678" s="14" t="str">
        <f>"Расходы по амортизации прочих основных средств"</f>
        <v>Расходы по амортизации прочих основных средств</v>
      </c>
      <c r="F678" s="14" t="str">
        <f>""</f>
        <v/>
      </c>
      <c r="G678" s="14" t="str">
        <f>""</f>
        <v/>
      </c>
      <c r="H678" s="14" t="str">
        <f>""</f>
        <v/>
      </c>
      <c r="I678" s="6">
        <v>394514316.04000002</v>
      </c>
    </row>
    <row r="679" spans="1:9" x14ac:dyDescent="0.25">
      <c r="A679" s="10">
        <v>669</v>
      </c>
      <c r="B679" s="1">
        <v>45930</v>
      </c>
      <c r="C679" s="14">
        <v>8</v>
      </c>
      <c r="D679" s="14" t="str">
        <f>"5784"</f>
        <v>5784</v>
      </c>
      <c r="E679" s="14" t="str">
        <f>"Расходы по амортизации активов в форме права пользования"</f>
        <v>Расходы по амортизации активов в форме права пользования</v>
      </c>
      <c r="F679" s="14" t="str">
        <f>""</f>
        <v/>
      </c>
      <c r="G679" s="14" t="str">
        <f>""</f>
        <v/>
      </c>
      <c r="H679" s="14" t="str">
        <f>""</f>
        <v/>
      </c>
      <c r="I679" s="6">
        <v>368709153.76999998</v>
      </c>
    </row>
    <row r="680" spans="1:9" x14ac:dyDescent="0.25">
      <c r="A680" s="10">
        <v>670</v>
      </c>
      <c r="B680" s="1">
        <v>45930</v>
      </c>
      <c r="C680" s="14">
        <v>8</v>
      </c>
      <c r="D680" s="14" t="str">
        <f>"5786"</f>
        <v>5786</v>
      </c>
      <c r="E680" s="14" t="str">
        <f>"Расходы по амортизации капитальных затрат по активам в форме права пользования"</f>
        <v>Расходы по амортизации капитальных затрат по активам в форме права пользования</v>
      </c>
      <c r="F680" s="14" t="str">
        <f>""</f>
        <v/>
      </c>
      <c r="G680" s="14" t="str">
        <f>""</f>
        <v/>
      </c>
      <c r="H680" s="14" t="str">
        <f>""</f>
        <v/>
      </c>
      <c r="I680" s="6">
        <v>11775727.1</v>
      </c>
    </row>
    <row r="681" spans="1:9" x14ac:dyDescent="0.25">
      <c r="A681" s="10">
        <v>671</v>
      </c>
      <c r="B681" s="1">
        <v>45930</v>
      </c>
      <c r="C681" s="14">
        <v>8</v>
      </c>
      <c r="D681" s="14" t="str">
        <f>"5787"</f>
        <v>5787</v>
      </c>
      <c r="E681" s="14" t="str">
        <f>"Расходы по амортизации транспортных средств"</f>
        <v>Расходы по амортизации транспортных средств</v>
      </c>
      <c r="F681" s="14" t="str">
        <f>""</f>
        <v/>
      </c>
      <c r="G681" s="14" t="str">
        <f>""</f>
        <v/>
      </c>
      <c r="H681" s="14" t="str">
        <f>""</f>
        <v/>
      </c>
      <c r="I681" s="6">
        <v>44956561.859999999</v>
      </c>
    </row>
    <row r="682" spans="1:9" x14ac:dyDescent="0.25">
      <c r="A682" s="10">
        <v>672</v>
      </c>
      <c r="B682" s="1">
        <v>45930</v>
      </c>
      <c r="C682" s="14">
        <v>8</v>
      </c>
      <c r="D682" s="14" t="str">
        <f>"5788"</f>
        <v>5788</v>
      </c>
      <c r="E682" s="14" t="str">
        <f>"Расходы по амортизации нематериальных активов"</f>
        <v>Расходы по амортизации нематериальных активов</v>
      </c>
      <c r="F682" s="14" t="str">
        <f>""</f>
        <v/>
      </c>
      <c r="G682" s="14" t="str">
        <f>""</f>
        <v/>
      </c>
      <c r="H682" s="14" t="str">
        <f>""</f>
        <v/>
      </c>
      <c r="I682" s="6">
        <v>356643000.13999999</v>
      </c>
    </row>
    <row r="683" spans="1:9" x14ac:dyDescent="0.25">
      <c r="A683" s="10">
        <v>673</v>
      </c>
      <c r="B683" s="1">
        <v>45930</v>
      </c>
      <c r="C683" s="14">
        <v>8</v>
      </c>
      <c r="D683" s="14" t="str">
        <f>"5852"</f>
        <v>5852</v>
      </c>
      <c r="E683" s="14" t="str">
        <f>"Расходы от реализации основных средств и нематериальных активов"</f>
        <v>Расходы от реализации основных средств и нематериальных активов</v>
      </c>
      <c r="F683" s="14" t="str">
        <f>""</f>
        <v/>
      </c>
      <c r="G683" s="14" t="str">
        <f>""</f>
        <v/>
      </c>
      <c r="H683" s="14" t="str">
        <f>""</f>
        <v/>
      </c>
      <c r="I683" s="6">
        <v>120374481.3</v>
      </c>
    </row>
    <row r="684" spans="1:9" x14ac:dyDescent="0.25">
      <c r="A684" s="10">
        <v>674</v>
      </c>
      <c r="B684" s="1">
        <v>45930</v>
      </c>
      <c r="C684" s="14">
        <v>8</v>
      </c>
      <c r="D684" s="14" t="str">
        <f>"5895"</f>
        <v>5895</v>
      </c>
      <c r="E684" s="14" t="str">
        <f>"Расходы по операциям своп"</f>
        <v>Расходы по операциям своп</v>
      </c>
      <c r="F684" s="14" t="str">
        <f>""</f>
        <v/>
      </c>
      <c r="G684" s="14" t="str">
        <f>""</f>
        <v/>
      </c>
      <c r="H684" s="14" t="str">
        <f>""</f>
        <v/>
      </c>
      <c r="I684" s="6">
        <v>20197838718.200001</v>
      </c>
    </row>
    <row r="685" spans="1:9" x14ac:dyDescent="0.25">
      <c r="A685" s="10">
        <v>675</v>
      </c>
      <c r="B685" s="1">
        <v>45930</v>
      </c>
      <c r="C685" s="14">
        <v>8</v>
      </c>
      <c r="D685" s="14" t="str">
        <f>"5900"</f>
        <v>5900</v>
      </c>
      <c r="E685" s="14" t="str">
        <f>"Неустойка (штраф, пеня)"</f>
        <v>Неустойка (штраф, пеня)</v>
      </c>
      <c r="F685" s="14" t="str">
        <f>""</f>
        <v/>
      </c>
      <c r="G685" s="14" t="str">
        <f>""</f>
        <v/>
      </c>
      <c r="H685" s="14" t="str">
        <f>""</f>
        <v/>
      </c>
      <c r="I685" s="6">
        <v>22691225.780000001</v>
      </c>
    </row>
    <row r="686" spans="1:9" x14ac:dyDescent="0.25">
      <c r="A686" s="10">
        <v>676</v>
      </c>
      <c r="B686" s="1">
        <v>45930</v>
      </c>
      <c r="C686" s="14">
        <v>8</v>
      </c>
      <c r="D686" s="14" t="str">
        <f>"5921"</f>
        <v>5921</v>
      </c>
      <c r="E686" s="14" t="str">
        <f>"Прочие расходы от банковской деятельности"</f>
        <v>Прочие расходы от банковской деятельности</v>
      </c>
      <c r="F686" s="14" t="str">
        <f>""</f>
        <v/>
      </c>
      <c r="G686" s="14" t="str">
        <f>""</f>
        <v/>
      </c>
      <c r="H686" s="14" t="str">
        <f>""</f>
        <v/>
      </c>
      <c r="I686" s="6">
        <v>1667929443.71</v>
      </c>
    </row>
    <row r="687" spans="1:9" x14ac:dyDescent="0.25">
      <c r="A687" s="10">
        <v>677</v>
      </c>
      <c r="B687" s="1">
        <v>45930</v>
      </c>
      <c r="C687" s="14">
        <v>8</v>
      </c>
      <c r="D687" s="14" t="str">
        <f>"5922"</f>
        <v>5922</v>
      </c>
      <c r="E687" s="14" t="str">
        <f>"Прочие расходы от неосновной деятельности"</f>
        <v>Прочие расходы от неосновной деятельности</v>
      </c>
      <c r="F687" s="14" t="str">
        <f>""</f>
        <v/>
      </c>
      <c r="G687" s="14" t="str">
        <f>""</f>
        <v/>
      </c>
      <c r="H687" s="14" t="str">
        <f>""</f>
        <v/>
      </c>
      <c r="I687" s="6">
        <v>3969009581.77</v>
      </c>
    </row>
    <row r="688" spans="1:9" x14ac:dyDescent="0.25">
      <c r="A688" s="10">
        <v>678</v>
      </c>
      <c r="B688" s="1">
        <v>45930</v>
      </c>
      <c r="C688" s="14">
        <v>8</v>
      </c>
      <c r="D688" s="14" t="str">
        <f>"5923"</f>
        <v>5923</v>
      </c>
      <c r="E688" s="14" t="str">
        <f>"Расходы по аренде"</f>
        <v>Расходы по аренде</v>
      </c>
      <c r="F688" s="14" t="str">
        <f>""</f>
        <v/>
      </c>
      <c r="G688" s="14" t="str">
        <f>""</f>
        <v/>
      </c>
      <c r="H688" s="14" t="str">
        <f>""</f>
        <v/>
      </c>
      <c r="I688" s="6">
        <v>99710361.390000001</v>
      </c>
    </row>
    <row r="689" spans="1:9" x14ac:dyDescent="0.25">
      <c r="A689" s="10">
        <v>679</v>
      </c>
      <c r="B689" s="1">
        <v>45930</v>
      </c>
      <c r="C689" s="14">
        <v>8</v>
      </c>
      <c r="D689" s="14" t="str">
        <f>"5926"</f>
        <v>5926</v>
      </c>
      <c r="E689" s="14" t="str">
        <f>"Расходы по привилегированным акциям"</f>
        <v>Расходы по привилегированным акциям</v>
      </c>
      <c r="F689" s="14" t="str">
        <f>""</f>
        <v/>
      </c>
      <c r="G689" s="14" t="str">
        <f>""</f>
        <v/>
      </c>
      <c r="H689" s="14" t="str">
        <f>""</f>
        <v/>
      </c>
      <c r="I689" s="6">
        <v>371250000</v>
      </c>
    </row>
    <row r="690" spans="1:9" x14ac:dyDescent="0.25">
      <c r="A690" s="10">
        <v>680</v>
      </c>
      <c r="B690" s="1">
        <v>45930</v>
      </c>
      <c r="C690" s="14">
        <v>8</v>
      </c>
      <c r="D690" s="14" t="str">
        <f>"5999"</f>
        <v>5999</v>
      </c>
      <c r="E690" s="14" t="str">
        <f>"Корпоративный подоходный налог"</f>
        <v>Корпоративный подоходный налог</v>
      </c>
      <c r="F690" s="14" t="str">
        <f>""</f>
        <v/>
      </c>
      <c r="G690" s="14" t="str">
        <f>""</f>
        <v/>
      </c>
      <c r="H690" s="14" t="str">
        <f>""</f>
        <v/>
      </c>
      <c r="I690" s="6">
        <v>-3956144206</v>
      </c>
    </row>
    <row r="691" spans="1:9" x14ac:dyDescent="0.25">
      <c r="A691" s="10">
        <v>681</v>
      </c>
      <c r="B691" s="1">
        <v>45930</v>
      </c>
      <c r="C691" s="14">
        <v>8</v>
      </c>
      <c r="D691" s="14" t="str">
        <f>"6005"</f>
        <v>6005</v>
      </c>
      <c r="E691" s="14" t="str">
        <f>"Возможные требования по выпущенным непокрытым аккредитивам"</f>
        <v>Возможные требования по выпущенным непокрытым аккредитивам</v>
      </c>
      <c r="F691" s="14" t="str">
        <f>""</f>
        <v/>
      </c>
      <c r="G691" s="14" t="str">
        <f>""</f>
        <v/>
      </c>
      <c r="H691" s="14" t="str">
        <f>""</f>
        <v/>
      </c>
      <c r="I691" s="6">
        <v>558031640.39999998</v>
      </c>
    </row>
    <row r="692" spans="1:9" x14ac:dyDescent="0.25">
      <c r="A692" s="10">
        <v>682</v>
      </c>
      <c r="B692" s="1">
        <v>45930</v>
      </c>
      <c r="C692" s="14">
        <v>8</v>
      </c>
      <c r="D692" s="14" t="str">
        <f>"6055"</f>
        <v>6055</v>
      </c>
      <c r="E692" s="14" t="str">
        <f>"Возможные требования по выданным или подтвержденным гарантиям"</f>
        <v>Возможные требования по выданным или подтвержденным гарантиям</v>
      </c>
      <c r="F692" s="14" t="str">
        <f>""</f>
        <v/>
      </c>
      <c r="G692" s="14" t="str">
        <f>""</f>
        <v/>
      </c>
      <c r="H692" s="14" t="str">
        <f>""</f>
        <v/>
      </c>
      <c r="I692" s="6">
        <v>31851904430.549999</v>
      </c>
    </row>
    <row r="693" spans="1:9" x14ac:dyDescent="0.25">
      <c r="A693" s="10">
        <v>683</v>
      </c>
      <c r="B693" s="1">
        <v>45930</v>
      </c>
      <c r="C693" s="14">
        <v>8</v>
      </c>
      <c r="D693" s="14" t="str">
        <f>"6075"</f>
        <v>6075</v>
      </c>
      <c r="E693" s="14" t="str">
        <f>"Возможные требования по принятым гарантиям"</f>
        <v>Возможные требования по принятым гарантиям</v>
      </c>
      <c r="F693" s="14" t="str">
        <f>""</f>
        <v/>
      </c>
      <c r="G693" s="14" t="str">
        <f>""</f>
        <v/>
      </c>
      <c r="H693" s="14" t="str">
        <f>""</f>
        <v/>
      </c>
      <c r="I693" s="6">
        <v>3278117282751.2998</v>
      </c>
    </row>
    <row r="694" spans="1:9" x14ac:dyDescent="0.25">
      <c r="A694" s="10">
        <v>684</v>
      </c>
      <c r="B694" s="1">
        <v>45930</v>
      </c>
      <c r="C694" s="14">
        <v>8</v>
      </c>
      <c r="D694" s="14" t="str">
        <f>"6125"</f>
        <v>6125</v>
      </c>
      <c r="E694" s="14" t="str">
        <f>"Условные требования по безотзывным займам, предоставляемым в будущем"</f>
        <v>Условные требования по безотзывным займам, предоставляемым в будущем</v>
      </c>
      <c r="F694" s="14" t="str">
        <f>""</f>
        <v/>
      </c>
      <c r="G694" s="14" t="str">
        <f>""</f>
        <v/>
      </c>
      <c r="H694" s="14" t="str">
        <f>""</f>
        <v/>
      </c>
      <c r="I694" s="6">
        <v>52352414</v>
      </c>
    </row>
    <row r="695" spans="1:9" x14ac:dyDescent="0.25">
      <c r="A695" s="10">
        <v>685</v>
      </c>
      <c r="B695" s="1">
        <v>45930</v>
      </c>
      <c r="C695" s="14">
        <v>8</v>
      </c>
      <c r="D695" s="14" t="str">
        <f>"6126"</f>
        <v>6126</v>
      </c>
      <c r="E695" s="14" t="str">
        <f>"Условные требования по отзывным займам, предоставляемым в будущем"</f>
        <v>Условные требования по отзывным займам, предоставляемым в будущем</v>
      </c>
      <c r="F695" s="14" t="str">
        <f>""</f>
        <v/>
      </c>
      <c r="G695" s="14" t="str">
        <f>""</f>
        <v/>
      </c>
      <c r="H695" s="14" t="str">
        <f>""</f>
        <v/>
      </c>
      <c r="I695" s="6">
        <v>314322154945.23999</v>
      </c>
    </row>
    <row r="696" spans="1:9" x14ac:dyDescent="0.25">
      <c r="A696" s="10">
        <v>686</v>
      </c>
      <c r="B696" s="1">
        <v>45930</v>
      </c>
      <c r="C696" s="14">
        <v>8</v>
      </c>
      <c r="D696" s="14" t="str">
        <f>"6405"</f>
        <v>6405</v>
      </c>
      <c r="E696" s="14" t="str">
        <f>"Условные требования по купле-продаже иностранной валюты"</f>
        <v>Условные требования по купле-продаже иностранной валюты</v>
      </c>
      <c r="F696" s="14" t="str">
        <f>""</f>
        <v/>
      </c>
      <c r="G696" s="14" t="str">
        <f>""</f>
        <v/>
      </c>
      <c r="H696" s="14" t="str">
        <f>""</f>
        <v/>
      </c>
      <c r="I696" s="6">
        <v>128147064624.11</v>
      </c>
    </row>
    <row r="697" spans="1:9" x14ac:dyDescent="0.25">
      <c r="A697" s="10">
        <v>687</v>
      </c>
      <c r="B697" s="1">
        <v>45930</v>
      </c>
      <c r="C697" s="14">
        <v>8</v>
      </c>
      <c r="D697" s="14" t="str">
        <f>"6505"</f>
        <v>6505</v>
      </c>
      <c r="E697" s="14" t="str">
        <f>"Возможные обязательства по выпущенным непокрытым аккредитивам"</f>
        <v>Возможные обязательства по выпущенным непокрытым аккредитивам</v>
      </c>
      <c r="F697" s="14" t="str">
        <f>""</f>
        <v/>
      </c>
      <c r="G697" s="14" t="str">
        <f>""</f>
        <v/>
      </c>
      <c r="H697" s="14" t="str">
        <f>""</f>
        <v/>
      </c>
      <c r="I697" s="6">
        <v>558031640.39999998</v>
      </c>
    </row>
    <row r="698" spans="1:9" x14ac:dyDescent="0.25">
      <c r="A698" s="10">
        <v>688</v>
      </c>
      <c r="B698" s="1">
        <v>45930</v>
      </c>
      <c r="C698" s="14">
        <v>8</v>
      </c>
      <c r="D698" s="14" t="str">
        <f>"6555"</f>
        <v>6555</v>
      </c>
      <c r="E698" s="14" t="str">
        <f>"Возможные обязательства по выданным или подтвержденным гарантиям"</f>
        <v>Возможные обязательства по выданным или подтвержденным гарантиям</v>
      </c>
      <c r="F698" s="14" t="str">
        <f>""</f>
        <v/>
      </c>
      <c r="G698" s="14" t="str">
        <f>""</f>
        <v/>
      </c>
      <c r="H698" s="14" t="str">
        <f>""</f>
        <v/>
      </c>
      <c r="I698" s="6">
        <v>31851904430.549999</v>
      </c>
    </row>
    <row r="699" spans="1:9" x14ac:dyDescent="0.25">
      <c r="A699" s="10">
        <v>689</v>
      </c>
      <c r="B699" s="1">
        <v>45930</v>
      </c>
      <c r="C699" s="14">
        <v>8</v>
      </c>
      <c r="D699" s="14" t="str">
        <f>"6575"</f>
        <v>6575</v>
      </c>
      <c r="E699" s="14" t="str">
        <f>"Возможное уменьшение требований по принятым гарантиям"</f>
        <v>Возможное уменьшение требований по принятым гарантиям</v>
      </c>
      <c r="F699" s="14" t="str">
        <f>""</f>
        <v/>
      </c>
      <c r="G699" s="14" t="str">
        <f>""</f>
        <v/>
      </c>
      <c r="H699" s="14" t="str">
        <f>""</f>
        <v/>
      </c>
      <c r="I699" s="6">
        <v>3278117282751.2998</v>
      </c>
    </row>
    <row r="700" spans="1:9" x14ac:dyDescent="0.25">
      <c r="A700" s="10">
        <v>690</v>
      </c>
      <c r="B700" s="1">
        <v>45930</v>
      </c>
      <c r="C700" s="14">
        <v>8</v>
      </c>
      <c r="D700" s="14" t="str">
        <f>"6625"</f>
        <v>6625</v>
      </c>
      <c r="E700" s="14" t="str">
        <f>"Условные обязательства по безотзывным займам, предоставляемым в будущем"</f>
        <v>Условные обязательства по безотзывным займам, предоставляемым в будущем</v>
      </c>
      <c r="F700" s="14" t="str">
        <f>""</f>
        <v/>
      </c>
      <c r="G700" s="14" t="str">
        <f>""</f>
        <v/>
      </c>
      <c r="H700" s="14" t="str">
        <f>""</f>
        <v/>
      </c>
      <c r="I700" s="6">
        <v>52352414</v>
      </c>
    </row>
    <row r="701" spans="1:9" x14ac:dyDescent="0.25">
      <c r="A701" s="10">
        <v>691</v>
      </c>
      <c r="B701" s="1">
        <v>45930</v>
      </c>
      <c r="C701" s="14">
        <v>8</v>
      </c>
      <c r="D701" s="14" t="str">
        <f>"6626"</f>
        <v>6626</v>
      </c>
      <c r="E701" s="14" t="str">
        <f>"Условные обязательства по отзывным займам, предоставляемым в будущем"</f>
        <v>Условные обязательства по отзывным займам, предоставляемым в будущем</v>
      </c>
      <c r="F701" s="14" t="str">
        <f>""</f>
        <v/>
      </c>
      <c r="G701" s="14" t="str">
        <f>""</f>
        <v/>
      </c>
      <c r="H701" s="14" t="str">
        <f>""</f>
        <v/>
      </c>
      <c r="I701" s="6">
        <v>314322154945.23999</v>
      </c>
    </row>
    <row r="702" spans="1:9" x14ac:dyDescent="0.25">
      <c r="A702" s="10">
        <v>692</v>
      </c>
      <c r="B702" s="1">
        <v>45930</v>
      </c>
      <c r="C702" s="14">
        <v>8</v>
      </c>
      <c r="D702" s="14" t="str">
        <f>"6905"</f>
        <v>6905</v>
      </c>
      <c r="E702" s="14" t="str">
        <f>"Условные обязательства по купле-продаже иностранной валюты"</f>
        <v>Условные обязательства по купле-продаже иностранной валюты</v>
      </c>
      <c r="F702" s="14" t="str">
        <f>""</f>
        <v/>
      </c>
      <c r="G702" s="14" t="str">
        <f>""</f>
        <v/>
      </c>
      <c r="H702" s="14" t="str">
        <f>""</f>
        <v/>
      </c>
      <c r="I702" s="6">
        <v>128081233974.14</v>
      </c>
    </row>
    <row r="703" spans="1:9" x14ac:dyDescent="0.25">
      <c r="A703" s="10">
        <v>693</v>
      </c>
      <c r="B703" s="1">
        <v>45930</v>
      </c>
      <c r="C703" s="14">
        <v>8</v>
      </c>
      <c r="D703" s="14" t="str">
        <f>"6999"</f>
        <v>6999</v>
      </c>
      <c r="E703" s="14" t="str">
        <f>"Позиция по сделкам с иностранной валютой"</f>
        <v>Позиция по сделкам с иностранной валютой</v>
      </c>
      <c r="F703" s="14" t="str">
        <f>""</f>
        <v/>
      </c>
      <c r="G703" s="14" t="str">
        <f>""</f>
        <v/>
      </c>
      <c r="H703" s="14" t="str">
        <f>""</f>
        <v/>
      </c>
      <c r="I703" s="6">
        <v>65830649.969999999</v>
      </c>
    </row>
    <row r="704" spans="1:9" x14ac:dyDescent="0.25">
      <c r="A704" s="10">
        <v>694</v>
      </c>
      <c r="B704" s="1">
        <v>45930</v>
      </c>
      <c r="C704" s="14">
        <v>8</v>
      </c>
      <c r="D704" s="14" t="str">
        <f>"7220"</f>
        <v>7220</v>
      </c>
      <c r="E704" s="14" t="str">
        <f>"Арендованные активы"</f>
        <v>Арендованные активы</v>
      </c>
      <c r="F704" s="14" t="str">
        <f>""</f>
        <v/>
      </c>
      <c r="G704" s="14" t="str">
        <f>""</f>
        <v/>
      </c>
      <c r="H704" s="14" t="str">
        <f>""</f>
        <v/>
      </c>
      <c r="I704" s="6">
        <v>230167.81</v>
      </c>
    </row>
    <row r="705" spans="1:9" x14ac:dyDescent="0.25">
      <c r="A705" s="10">
        <v>695</v>
      </c>
      <c r="B705" s="1">
        <v>45930</v>
      </c>
      <c r="C705" s="14">
        <v>8</v>
      </c>
      <c r="D705" s="14" t="str">
        <f>"7250"</f>
        <v>7250</v>
      </c>
      <c r="E705" s="14" t="str">
        <f>"Имущество, принятое в обеспечение (залог) обязательств клиента"</f>
        <v>Имущество, принятое в обеспечение (залог) обязательств клиента</v>
      </c>
      <c r="F705" s="14" t="str">
        <f>""</f>
        <v/>
      </c>
      <c r="G705" s="14" t="str">
        <f>""</f>
        <v/>
      </c>
      <c r="H705" s="14" t="str">
        <f>""</f>
        <v/>
      </c>
      <c r="I705" s="6">
        <v>1344094854029.74</v>
      </c>
    </row>
    <row r="706" spans="1:9" x14ac:dyDescent="0.25">
      <c r="A706" s="10">
        <v>696</v>
      </c>
      <c r="B706" s="1">
        <v>45930</v>
      </c>
      <c r="C706" s="14">
        <v>8</v>
      </c>
      <c r="D706" s="14" t="str">
        <f>"7303"</f>
        <v>7303</v>
      </c>
      <c r="E706" s="14" t="str">
        <f>"Платежные документы, не оплаченные в срок"</f>
        <v>Платежные документы, не оплаченные в срок</v>
      </c>
      <c r="F706" s="14" t="str">
        <f>""</f>
        <v/>
      </c>
      <c r="G706" s="14" t="str">
        <f>""</f>
        <v/>
      </c>
      <c r="H706" s="14" t="str">
        <f>""</f>
        <v/>
      </c>
      <c r="I706" s="6">
        <v>1299895032994.8301</v>
      </c>
    </row>
    <row r="707" spans="1:9" x14ac:dyDescent="0.25">
      <c r="A707" s="10">
        <v>697</v>
      </c>
      <c r="B707" s="1">
        <v>45930</v>
      </c>
      <c r="C707" s="14">
        <v>8</v>
      </c>
      <c r="D707" s="14" t="str">
        <f>"7320"</f>
        <v>7320</v>
      </c>
      <c r="E707" s="14" t="str">
        <f>"Секьюритизируемые активы"</f>
        <v>Секьюритизируемые активы</v>
      </c>
      <c r="F707" s="14" t="str">
        <f>""</f>
        <v/>
      </c>
      <c r="G707" s="14" t="str">
        <f>""</f>
        <v/>
      </c>
      <c r="H707" s="14" t="str">
        <f>""</f>
        <v/>
      </c>
      <c r="I707" s="6">
        <v>597488749802.72998</v>
      </c>
    </row>
    <row r="708" spans="1:9" x14ac:dyDescent="0.25">
      <c r="A708" s="10">
        <v>698</v>
      </c>
      <c r="B708" s="1">
        <v>45930</v>
      </c>
      <c r="C708" s="14">
        <v>8</v>
      </c>
      <c r="D708" s="14" t="str">
        <f>"7339"</f>
        <v>7339</v>
      </c>
      <c r="E708" s="14" t="str">
        <f>"Разные ценности и документы"</f>
        <v>Разные ценности и документы</v>
      </c>
      <c r="F708" s="14" t="str">
        <f>""</f>
        <v/>
      </c>
      <c r="G708" s="14" t="str">
        <f>""</f>
        <v/>
      </c>
      <c r="H708" s="14" t="str">
        <f>""</f>
        <v/>
      </c>
      <c r="I708" s="6">
        <v>464798</v>
      </c>
    </row>
    <row r="709" spans="1:9" x14ac:dyDescent="0.25">
      <c r="A709" s="10">
        <v>699</v>
      </c>
      <c r="B709" s="1">
        <v>45930</v>
      </c>
      <c r="C709" s="14">
        <v>8</v>
      </c>
      <c r="D709" s="14" t="str">
        <f>"7342"</f>
        <v>7342</v>
      </c>
      <c r="E709" s="14" t="str">
        <f>"Разные ценности и документы, отосланные и выданные под отчет"</f>
        <v>Разные ценности и документы, отосланные и выданные под отчет</v>
      </c>
      <c r="F709" s="14" t="str">
        <f>""</f>
        <v/>
      </c>
      <c r="G709" s="14" t="str">
        <f>""</f>
        <v/>
      </c>
      <c r="H709" s="14" t="str">
        <f>""</f>
        <v/>
      </c>
      <c r="I709" s="6">
        <v>292513</v>
      </c>
    </row>
    <row r="710" spans="1:9" x14ac:dyDescent="0.25">
      <c r="A710" s="10">
        <v>700</v>
      </c>
      <c r="B710" s="1">
        <v>45930</v>
      </c>
      <c r="C710" s="14">
        <v>8</v>
      </c>
      <c r="D710" s="14" t="str">
        <f>"7360"</f>
        <v>7360</v>
      </c>
      <c r="E710" s="14" t="str">
        <f>"Акции и другие ценные бумаги клиентов"</f>
        <v>Акции и другие ценные бумаги клиентов</v>
      </c>
      <c r="F710" s="14" t="str">
        <f>""</f>
        <v/>
      </c>
      <c r="G710" s="14" t="str">
        <f>""</f>
        <v/>
      </c>
      <c r="H710" s="14" t="str">
        <f>""</f>
        <v/>
      </c>
      <c r="I710" s="6">
        <v>15913674031.9</v>
      </c>
    </row>
    <row r="711" spans="1:9" x14ac:dyDescent="0.25">
      <c r="A711" s="10">
        <v>701</v>
      </c>
      <c r="B711" s="1">
        <v>45930</v>
      </c>
      <c r="C711" s="14">
        <v>8</v>
      </c>
      <c r="D711" s="14" t="str">
        <f>"7363"</f>
        <v>7363</v>
      </c>
      <c r="E711" s="14" t="str">
        <f>"Активы клиентов, находящиеся на кастодиальном обслуживании"</f>
        <v>Активы клиентов, находящиеся на кастодиальном обслуживании</v>
      </c>
      <c r="F711" s="14" t="str">
        <f>""</f>
        <v/>
      </c>
      <c r="G711" s="14" t="str">
        <f>""</f>
        <v/>
      </c>
      <c r="H711" s="14" t="str">
        <f>""</f>
        <v/>
      </c>
      <c r="I711" s="6">
        <v>307505490.16000003</v>
      </c>
    </row>
    <row r="712" spans="1:9" x14ac:dyDescent="0.25">
      <c r="A712" s="10">
        <v>702</v>
      </c>
      <c r="B712" s="1">
        <v>45930</v>
      </c>
      <c r="C712" s="14">
        <v>8</v>
      </c>
      <c r="D712" s="14" t="str">
        <f>"7701"</f>
        <v>7701</v>
      </c>
      <c r="E712" s="14" t="str">
        <f>"Ценные бумаги"</f>
        <v>Ценные бумаги</v>
      </c>
      <c r="F712" s="14" t="str">
        <f>""</f>
        <v/>
      </c>
      <c r="G712" s="14" t="str">
        <f>""</f>
        <v/>
      </c>
      <c r="H712" s="14" t="str">
        <f>""</f>
        <v/>
      </c>
      <c r="I712" s="6">
        <v>185365932095.92001</v>
      </c>
    </row>
    <row r="713" spans="1:9" x14ac:dyDescent="0.25">
      <c r="A713" s="10">
        <v>703</v>
      </c>
      <c r="B713" s="1">
        <v>45930</v>
      </c>
      <c r="C713" s="14">
        <v>8</v>
      </c>
      <c r="D713" s="14" t="str">
        <f>"7702"</f>
        <v>7702</v>
      </c>
      <c r="E713" s="14" t="str">
        <f>"Вклады в других банках"</f>
        <v>Вклады в других банках</v>
      </c>
      <c r="F713" s="14" t="str">
        <f>""</f>
        <v/>
      </c>
      <c r="G713" s="14" t="str">
        <f>""</f>
        <v/>
      </c>
      <c r="H713" s="14" t="str">
        <f>""</f>
        <v/>
      </c>
      <c r="I713" s="6">
        <v>904939252.84000003</v>
      </c>
    </row>
    <row r="714" spans="1:9" x14ac:dyDescent="0.25">
      <c r="A714" s="10">
        <v>704</v>
      </c>
      <c r="B714" s="1">
        <v>45930</v>
      </c>
      <c r="C714" s="14">
        <v>8</v>
      </c>
      <c r="D714" s="14" t="str">
        <f>"7704"</f>
        <v>7704</v>
      </c>
      <c r="E714" s="14" t="str">
        <f>"Операции «обратное РЕПО»"</f>
        <v>Операции «обратное РЕПО»</v>
      </c>
      <c r="F714" s="14" t="str">
        <f>""</f>
        <v/>
      </c>
      <c r="G714" s="14" t="str">
        <f>""</f>
        <v/>
      </c>
      <c r="H714" s="14" t="str">
        <f>""</f>
        <v/>
      </c>
      <c r="I714" s="6">
        <v>823149619.28999996</v>
      </c>
    </row>
    <row r="715" spans="1:9" s="13" customFormat="1" x14ac:dyDescent="0.25">
      <c r="A715" s="10">
        <v>705</v>
      </c>
      <c r="B715" s="1">
        <v>45930</v>
      </c>
      <c r="C715" s="14">
        <v>8</v>
      </c>
      <c r="D715" s="14" t="str">
        <f>"7708"</f>
        <v>7708</v>
      </c>
      <c r="E715" s="14" t="str">
        <f>"Инвестиции в здания, машины, оборудование, транспортные и другие основные средства"</f>
        <v>Инвестиции в здания, машины, оборудование, транспортные и другие основные средства</v>
      </c>
      <c r="F715" s="14" t="str">
        <f>""</f>
        <v/>
      </c>
      <c r="G715" s="14" t="str">
        <f>""</f>
        <v/>
      </c>
      <c r="H715" s="14" t="str">
        <f>""</f>
        <v/>
      </c>
      <c r="I715" s="6">
        <v>9100521714.2900009</v>
      </c>
    </row>
    <row r="716" spans="1:9" s="14" customFormat="1" x14ac:dyDescent="0.25">
      <c r="A716" s="10">
        <v>706</v>
      </c>
      <c r="B716" s="1">
        <v>45930</v>
      </c>
      <c r="C716" s="14">
        <v>8</v>
      </c>
      <c r="D716" s="14" t="str">
        <f>"7709"</f>
        <v>7709</v>
      </c>
      <c r="E716" s="14" t="str">
        <f>"Прочие активы"</f>
        <v>Прочие активы</v>
      </c>
      <c r="F716" s="14" t="str">
        <f>""</f>
        <v/>
      </c>
      <c r="G716" s="14" t="str">
        <f>""</f>
        <v/>
      </c>
      <c r="H716" s="14" t="str">
        <f>""</f>
        <v/>
      </c>
      <c r="I716" s="6">
        <v>228490699905.87</v>
      </c>
    </row>
    <row r="717" spans="1:9" s="14" customFormat="1" x14ac:dyDescent="0.25">
      <c r="A717" s="10">
        <v>707</v>
      </c>
      <c r="B717" s="1">
        <v>45930</v>
      </c>
      <c r="C717" s="14">
        <v>8</v>
      </c>
      <c r="D717" s="14" t="str">
        <f>"7711"</f>
        <v>7711</v>
      </c>
      <c r="E717" s="14" t="str">
        <f>"Вознаграждение"</f>
        <v>Вознаграждение</v>
      </c>
      <c r="F717" s="14" t="str">
        <f>""</f>
        <v/>
      </c>
      <c r="G717" s="14" t="str">
        <f>""</f>
        <v/>
      </c>
      <c r="H717" s="14" t="str">
        <f>""</f>
        <v/>
      </c>
      <c r="I717" s="6">
        <v>998672262.92999995</v>
      </c>
    </row>
    <row r="718" spans="1:9" s="14" customFormat="1" x14ac:dyDescent="0.25">
      <c r="A718" s="10">
        <v>708</v>
      </c>
      <c r="B718" s="1">
        <v>45930</v>
      </c>
      <c r="C718" s="14">
        <v>8</v>
      </c>
      <c r="D718" s="14" t="str">
        <f>"7713"</f>
        <v>7713</v>
      </c>
      <c r="E718" s="14" t="str">
        <f>"Прочие требования"</f>
        <v>Прочие требования</v>
      </c>
      <c r="F718" s="14" t="str">
        <f>""</f>
        <v/>
      </c>
      <c r="G718" s="14" t="str">
        <f>""</f>
        <v/>
      </c>
      <c r="H718" s="14" t="str">
        <f>""</f>
        <v/>
      </c>
      <c r="I718" s="6">
        <v>269409823.47000003</v>
      </c>
    </row>
    <row r="719" spans="1:9" s="14" customFormat="1" x14ac:dyDescent="0.25">
      <c r="A719" s="4"/>
      <c r="I719" s="6"/>
    </row>
    <row r="720" spans="1:9" s="14" customFormat="1" x14ac:dyDescent="0.25">
      <c r="A720" s="4"/>
      <c r="I720" s="6"/>
    </row>
    <row r="721" spans="1:9" s="14" customFormat="1" x14ac:dyDescent="0.25">
      <c r="A721" s="4"/>
      <c r="I721" s="6"/>
    </row>
    <row r="722" spans="1:9" x14ac:dyDescent="0.25">
      <c r="A722"/>
      <c r="B722" s="17"/>
      <c r="C722" s="17"/>
      <c r="D722" s="18" t="s">
        <v>14</v>
      </c>
      <c r="E722" s="19"/>
      <c r="F722" s="19"/>
      <c r="G722" s="19"/>
      <c r="H722" s="19"/>
    </row>
    <row r="723" spans="1:9" x14ac:dyDescent="0.25">
      <c r="A723"/>
      <c r="B723" s="17" t="s">
        <v>15</v>
      </c>
      <c r="C723" s="17"/>
      <c r="D723" s="18" t="s">
        <v>16</v>
      </c>
      <c r="E723" s="19"/>
      <c r="F723" s="19"/>
      <c r="G723" s="19"/>
      <c r="H723" s="19"/>
    </row>
    <row r="724" spans="1:9" x14ac:dyDescent="0.25">
      <c r="A724"/>
      <c r="B724" s="17" t="s">
        <v>17</v>
      </c>
      <c r="C724" s="17"/>
      <c r="D724" s="18" t="s">
        <v>18</v>
      </c>
      <c r="E724" s="19"/>
      <c r="F724" s="19"/>
      <c r="G724" s="19"/>
      <c r="H724" s="19"/>
    </row>
    <row r="725" spans="1:9" x14ac:dyDescent="0.25">
      <c r="A725"/>
      <c r="B725" s="17" t="s">
        <v>19</v>
      </c>
      <c r="C725" s="17"/>
      <c r="D725" s="20" t="s">
        <v>20</v>
      </c>
      <c r="E725" s="20"/>
      <c r="F725" s="20"/>
      <c r="G725" s="20"/>
      <c r="H725" s="20"/>
    </row>
    <row r="726" spans="1:9" x14ac:dyDescent="0.25">
      <c r="A726"/>
      <c r="B726" s="17" t="s">
        <v>21</v>
      </c>
      <c r="C726" s="17"/>
      <c r="D726" s="18" t="s">
        <v>22</v>
      </c>
      <c r="E726" s="19"/>
      <c r="F726" s="19"/>
      <c r="G726" s="19"/>
      <c r="H726" s="19"/>
    </row>
    <row r="727" spans="1:9" x14ac:dyDescent="0.25">
      <c r="A727"/>
      <c r="B727" s="11"/>
      <c r="C727" s="12"/>
      <c r="D727" s="16" t="s">
        <v>23</v>
      </c>
      <c r="E727" s="17"/>
      <c r="F727" s="17"/>
      <c r="G727" s="17"/>
      <c r="H727" s="17"/>
    </row>
    <row r="728" spans="1:9" x14ac:dyDescent="0.25">
      <c r="A728"/>
      <c r="B728" s="17" t="s">
        <v>24</v>
      </c>
      <c r="C728" s="17"/>
      <c r="D728" s="18" t="s">
        <v>26</v>
      </c>
      <c r="E728" s="19"/>
      <c r="F728" s="19"/>
      <c r="G728" s="19"/>
      <c r="H728" s="19"/>
    </row>
    <row r="729" spans="1:9" x14ac:dyDescent="0.25">
      <c r="A729"/>
      <c r="B729" s="11"/>
      <c r="C729" s="12"/>
      <c r="D729" s="16" t="s">
        <v>23</v>
      </c>
      <c r="E729" s="17"/>
      <c r="F729" s="17"/>
      <c r="G729" s="17"/>
      <c r="H729" s="17"/>
    </row>
    <row r="730" spans="1:9" x14ac:dyDescent="0.25">
      <c r="A730"/>
      <c r="B730" s="17" t="s">
        <v>25</v>
      </c>
      <c r="C730" s="17"/>
      <c r="D730" s="18" t="s">
        <v>27</v>
      </c>
      <c r="E730" s="19"/>
      <c r="F730" s="19"/>
      <c r="G730" s="19"/>
      <c r="H730" s="19"/>
    </row>
    <row r="731" spans="1:9" x14ac:dyDescent="0.25">
      <c r="A731"/>
      <c r="B731" s="11"/>
      <c r="C731" s="12"/>
      <c r="D731" s="16" t="s">
        <v>23</v>
      </c>
      <c r="E731" s="17"/>
      <c r="F731" s="17"/>
      <c r="G731" s="17"/>
      <c r="H731" s="17"/>
    </row>
  </sheetData>
  <sheetProtection formatCells="0" formatColumns="0" formatRows="0" insertColumns="0" insertRows="0" insertHyperlinks="0" deleteColumns="0" deleteRows="0" sort="0" autoFilter="0" pivotTables="0"/>
  <mergeCells count="20">
    <mergeCell ref="B723:C723"/>
    <mergeCell ref="D723:H723"/>
    <mergeCell ref="A1:I1"/>
    <mergeCell ref="A2:I2"/>
    <mergeCell ref="A3:I3"/>
    <mergeCell ref="B722:C722"/>
    <mergeCell ref="D722:H722"/>
    <mergeCell ref="B724:C724"/>
    <mergeCell ref="D724:H724"/>
    <mergeCell ref="B725:C725"/>
    <mergeCell ref="D725:H725"/>
    <mergeCell ref="B726:C726"/>
    <mergeCell ref="D726:H726"/>
    <mergeCell ref="D731:H731"/>
    <mergeCell ref="D727:H727"/>
    <mergeCell ref="B728:C728"/>
    <mergeCell ref="D728:H728"/>
    <mergeCell ref="D729:H729"/>
    <mergeCell ref="B730:C730"/>
    <mergeCell ref="D730:H7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VREP_700_ND_RESPONDENTundefined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Смаилов Дулат Елшатович</dc:creator>
  <cp:lastModifiedBy>Смаилов Дулат Елшатович</cp:lastModifiedBy>
  <dcterms:created xsi:type="dcterms:W3CDTF">2025-06-04T06:39:08Z</dcterms:created>
  <dcterms:modified xsi:type="dcterms:W3CDTF">2025-10-10T05:09:39Z</dcterms:modified>
</cp:coreProperties>
</file>