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Мои документы\МФО КапиталИнвест\Отчеты на Касе\2025\1 кв.2025\"/>
    </mc:Choice>
  </mc:AlternateContent>
  <bookViews>
    <workbookView xWindow="0" yWindow="0" windowWidth="19200" windowHeight="6470"/>
  </bookViews>
  <sheets>
    <sheet name="Ф1" sheetId="1" r:id="rId1"/>
    <sheet name="Ф2" sheetId="2" r:id="rId2"/>
    <sheet name="Ф3" sheetId="3" r:id="rId3"/>
    <sheet name="Ф4" sheetId="4" r:id="rId4"/>
    <sheet name="ОСВ " sheetId="5" state="hidden" r:id="rId5"/>
    <sheet name="Расшифровки" sheetId="6" state="hidden" r:id="rId6"/>
  </sheets>
  <definedNames>
    <definedName name="_xlnm.Print_Area" localSheetId="3">Ф4!$A$1:$I$96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2" l="1"/>
  <c r="G77" i="6"/>
  <c r="F77" i="6"/>
  <c r="G76" i="6"/>
  <c r="F76" i="6"/>
  <c r="G70" i="6"/>
  <c r="F70" i="6"/>
  <c r="G69" i="6"/>
  <c r="F69" i="6"/>
  <c r="B178" i="6"/>
  <c r="B172" i="6"/>
  <c r="C172" i="6"/>
  <c r="B177" i="6"/>
  <c r="B176" i="6"/>
  <c r="C176" i="6"/>
  <c r="B170" i="6"/>
  <c r="B171" i="6"/>
  <c r="C171" i="6"/>
  <c r="C170" i="6"/>
  <c r="C166" i="6"/>
  <c r="B166" i="6"/>
  <c r="C165" i="6"/>
  <c r="B165" i="6"/>
  <c r="C164" i="6"/>
  <c r="B164" i="6"/>
  <c r="B162" i="6"/>
  <c r="C162" i="6"/>
  <c r="B163" i="6"/>
  <c r="C163" i="6"/>
  <c r="C161" i="6"/>
  <c r="B161" i="6"/>
  <c r="C160" i="6"/>
  <c r="B160" i="6"/>
  <c r="F152" i="6"/>
  <c r="F153" i="6" s="1"/>
  <c r="F150" i="6"/>
  <c r="G150" i="6" l="1"/>
  <c r="D157" i="6"/>
  <c r="H150" i="6"/>
  <c r="H151" i="6" s="1"/>
  <c r="G152" i="6"/>
  <c r="F71" i="6"/>
  <c r="G71" i="6"/>
  <c r="H35" i="6"/>
  <c r="I35" i="6"/>
  <c r="I34" i="6"/>
  <c r="H34" i="6"/>
  <c r="K18" i="6"/>
  <c r="K13" i="6"/>
  <c r="I17" i="6"/>
  <c r="I18" i="6" s="1"/>
  <c r="H17" i="6"/>
  <c r="I15" i="6"/>
  <c r="H15" i="6"/>
  <c r="J12" i="6"/>
  <c r="J14" i="6"/>
  <c r="J16" i="6"/>
  <c r="I13" i="6"/>
  <c r="H13" i="6"/>
  <c r="J11" i="6"/>
  <c r="C11" i="6"/>
  <c r="D11" i="6" s="1"/>
  <c r="C12" i="6"/>
  <c r="D12" i="6" s="1"/>
  <c r="B16" i="6"/>
  <c r="B15" i="6"/>
  <c r="B13" i="6"/>
  <c r="D14" i="6"/>
  <c r="K5" i="6"/>
  <c r="F3" i="6"/>
  <c r="F4" i="6"/>
  <c r="J4" i="6" s="1"/>
  <c r="J5" i="6" s="1"/>
  <c r="G4" i="6"/>
  <c r="G3" i="6"/>
  <c r="F6" i="6"/>
  <c r="G6" i="6"/>
  <c r="B92" i="6"/>
  <c r="C90" i="6"/>
  <c r="G65" i="6"/>
  <c r="F65" i="6"/>
  <c r="G64" i="6"/>
  <c r="F64" i="6"/>
  <c r="B142" i="6"/>
  <c r="B132" i="6"/>
  <c r="C142" i="6"/>
  <c r="A143" i="6"/>
  <c r="B143" i="6"/>
  <c r="C143" i="6"/>
  <c r="A144" i="6"/>
  <c r="B144" i="6"/>
  <c r="C144" i="6"/>
  <c r="A126" i="6"/>
  <c r="B126" i="6"/>
  <c r="C126" i="6"/>
  <c r="A127" i="6"/>
  <c r="B127" i="6"/>
  <c r="C127" i="6"/>
  <c r="A128" i="6"/>
  <c r="B128" i="6"/>
  <c r="C128" i="6"/>
  <c r="A129" i="6"/>
  <c r="B129" i="6"/>
  <c r="C129" i="6"/>
  <c r="A130" i="6"/>
  <c r="B130" i="6"/>
  <c r="C130" i="6"/>
  <c r="A131" i="6"/>
  <c r="A132" i="6"/>
  <c r="A133" i="6"/>
  <c r="B133" i="6"/>
  <c r="C133" i="6"/>
  <c r="A134" i="6"/>
  <c r="B134" i="6"/>
  <c r="C134" i="6"/>
  <c r="A135" i="6"/>
  <c r="A136" i="6"/>
  <c r="B136" i="6"/>
  <c r="C136" i="6"/>
  <c r="A137" i="6"/>
  <c r="B137" i="6"/>
  <c r="C137" i="6"/>
  <c r="A138" i="6"/>
  <c r="B138" i="6"/>
  <c r="A139" i="6"/>
  <c r="B139" i="6"/>
  <c r="C139" i="6"/>
  <c r="A140" i="6"/>
  <c r="B140" i="6"/>
  <c r="C140" i="6"/>
  <c r="A141" i="6"/>
  <c r="B141" i="6"/>
  <c r="C141" i="6"/>
  <c r="A142" i="6"/>
  <c r="C125" i="6"/>
  <c r="B115" i="6"/>
  <c r="B116" i="6"/>
  <c r="B117" i="6"/>
  <c r="J138" i="6"/>
  <c r="C138" i="6" s="1"/>
  <c r="J132" i="6"/>
  <c r="C132" i="6" s="1"/>
  <c r="J131" i="6"/>
  <c r="C131" i="6" s="1"/>
  <c r="F118" i="6"/>
  <c r="F131" i="6"/>
  <c r="B131" i="6" s="1"/>
  <c r="J135" i="6"/>
  <c r="C135" i="6" s="1"/>
  <c r="F135" i="6"/>
  <c r="B135" i="6" s="1"/>
  <c r="C104" i="6"/>
  <c r="A112" i="6"/>
  <c r="B112" i="6"/>
  <c r="C112" i="6"/>
  <c r="A113" i="6"/>
  <c r="B113" i="6"/>
  <c r="A114" i="6"/>
  <c r="B114" i="6"/>
  <c r="C114" i="6"/>
  <c r="A116" i="6"/>
  <c r="C116" i="6"/>
  <c r="A117" i="6"/>
  <c r="C117" i="6"/>
  <c r="J113" i="6"/>
  <c r="C113" i="6" s="1"/>
  <c r="J112" i="6"/>
  <c r="J13" i="6" l="1"/>
  <c r="G5" i="6"/>
  <c r="H18" i="6"/>
  <c r="J18" i="6" s="1"/>
  <c r="F5" i="6"/>
  <c r="J145" i="6"/>
  <c r="J15" i="6"/>
  <c r="J17" i="6"/>
  <c r="C15" i="6"/>
  <c r="B17" i="6"/>
  <c r="B18" i="6" s="1"/>
  <c r="D13" i="6"/>
  <c r="C16" i="6"/>
  <c r="D16" i="6" s="1"/>
  <c r="D17" i="6" s="1"/>
  <c r="C13" i="6"/>
  <c r="F145" i="6"/>
  <c r="J118" i="6"/>
  <c r="C17" i="6" l="1"/>
  <c r="C18" i="6" s="1"/>
  <c r="D15" i="6"/>
  <c r="D18" i="6" s="1"/>
  <c r="B125" i="6"/>
  <c r="A125" i="6"/>
  <c r="A105" i="6"/>
  <c r="B105" i="6"/>
  <c r="C105" i="6"/>
  <c r="A106" i="6"/>
  <c r="B106" i="6"/>
  <c r="C106" i="6"/>
  <c r="A107" i="6"/>
  <c r="B107" i="6"/>
  <c r="C107" i="6"/>
  <c r="A108" i="6"/>
  <c r="B108" i="6"/>
  <c r="C108" i="6"/>
  <c r="A109" i="6"/>
  <c r="B109" i="6"/>
  <c r="C109" i="6"/>
  <c r="A110" i="6"/>
  <c r="B110" i="6"/>
  <c r="C110" i="6"/>
  <c r="A111" i="6"/>
  <c r="B111" i="6"/>
  <c r="C111" i="6"/>
  <c r="B104" i="6"/>
  <c r="A104" i="6"/>
  <c r="B39" i="6"/>
  <c r="B40" i="6"/>
  <c r="B41" i="6"/>
  <c r="B42" i="6"/>
  <c r="B43" i="6"/>
  <c r="B44" i="6"/>
  <c r="B45" i="6"/>
  <c r="B46" i="6"/>
  <c r="B47" i="6"/>
  <c r="B48" i="6"/>
  <c r="B49" i="6"/>
  <c r="B50" i="6"/>
  <c r="B38" i="6"/>
  <c r="D51" i="6"/>
  <c r="C51" i="6"/>
  <c r="B32" i="6"/>
  <c r="C32" i="6"/>
  <c r="D20" i="1" l="1"/>
  <c r="C20" i="1"/>
  <c r="D23" i="3" l="1"/>
  <c r="D18" i="3"/>
  <c r="D10" i="3"/>
  <c r="D14" i="3"/>
  <c r="F25" i="3"/>
  <c r="K33" i="3"/>
  <c r="D21" i="3"/>
  <c r="D20" i="3"/>
  <c r="K42" i="3"/>
  <c r="D19" i="3"/>
  <c r="D65" i="3"/>
  <c r="D72" i="3"/>
  <c r="D71" i="3"/>
  <c r="D68" i="3"/>
  <c r="E19" i="3"/>
  <c r="E18" i="3"/>
  <c r="E15" i="3"/>
  <c r="E14" i="3"/>
  <c r="E10" i="3"/>
  <c r="E8" i="3" l="1"/>
  <c r="E9" i="2"/>
  <c r="E18" i="2"/>
  <c r="C26" i="1"/>
  <c r="C9" i="1"/>
  <c r="C29" i="1"/>
  <c r="C25" i="1" l="1"/>
  <c r="C23" i="1"/>
  <c r="D37" i="1"/>
  <c r="D34" i="1"/>
  <c r="D31" i="1"/>
  <c r="C177" i="6" s="1"/>
  <c r="C178" i="6" s="1"/>
  <c r="D21" i="1"/>
  <c r="D7" i="1"/>
  <c r="D38" i="1" l="1"/>
  <c r="E16" i="2"/>
  <c r="E17" i="2" l="1"/>
  <c r="C36" i="1" l="1"/>
  <c r="C35" i="1"/>
  <c r="C28" i="1"/>
  <c r="C27" i="1"/>
  <c r="C24" i="1"/>
  <c r="C19" i="1"/>
  <c r="C18" i="1"/>
  <c r="C16" i="1"/>
  <c r="C15" i="1"/>
  <c r="C13" i="1"/>
  <c r="C12" i="1"/>
  <c r="C11" i="1"/>
  <c r="E12" i="2"/>
  <c r="E14" i="2"/>
  <c r="E11" i="2"/>
  <c r="E10" i="2"/>
  <c r="F8" i="2"/>
  <c r="F13" i="2" s="1"/>
  <c r="K21" i="3"/>
  <c r="D42" i="3"/>
  <c r="D62" i="3"/>
  <c r="D82" i="3"/>
  <c r="D69" i="3"/>
  <c r="P54" i="3"/>
  <c r="P55" i="3" s="1"/>
  <c r="K46" i="3"/>
  <c r="K50" i="3"/>
  <c r="D8" i="3"/>
  <c r="E8" i="2" l="1"/>
  <c r="E13" i="2" s="1"/>
  <c r="D78" i="3"/>
  <c r="B64" i="6" l="1"/>
  <c r="E51" i="6"/>
  <c r="E37" i="6" s="1"/>
  <c r="F51" i="6"/>
  <c r="G51" i="6"/>
  <c r="E52" i="6"/>
  <c r="B51" i="6" l="1"/>
  <c r="B37" i="6" s="1"/>
  <c r="B52" i="6" l="1"/>
  <c r="K31" i="3" l="1"/>
  <c r="K15" i="3"/>
  <c r="B26" i="4"/>
  <c r="I26" i="4" s="1"/>
  <c r="B46" i="4"/>
  <c r="I33" i="4"/>
  <c r="C14" i="1" l="1"/>
  <c r="E5" i="3" l="1"/>
  <c r="D5" i="3"/>
  <c r="C64" i="6" l="1"/>
  <c r="C65" i="6"/>
  <c r="C146" i="6" l="1"/>
  <c r="C119" i="6"/>
  <c r="B98" i="6"/>
  <c r="C99" i="6"/>
  <c r="C98" i="6"/>
  <c r="C92" i="6"/>
  <c r="B91" i="6"/>
  <c r="C91" i="6"/>
  <c r="C77" i="6"/>
  <c r="C76" i="6"/>
  <c r="B69" i="6"/>
  <c r="C69" i="6"/>
  <c r="C70" i="6"/>
  <c r="B57" i="6"/>
  <c r="C57" i="6"/>
  <c r="C58" i="6"/>
  <c r="B31" i="6"/>
  <c r="C31" i="6"/>
  <c r="E13" i="6"/>
  <c r="C7" i="6"/>
  <c r="C6" i="6"/>
  <c r="B146" i="6"/>
  <c r="B99" i="6"/>
  <c r="K28" i="3"/>
  <c r="F15" i="2" l="1"/>
  <c r="F19" i="2" s="1"/>
  <c r="C145" i="6"/>
  <c r="B145" i="6"/>
  <c r="B118" i="6"/>
  <c r="C118" i="6"/>
  <c r="C120" i="6" s="1"/>
  <c r="F21" i="2" l="1"/>
  <c r="F23" i="2" s="1"/>
  <c r="F44" i="2" s="1"/>
  <c r="B119" i="6"/>
  <c r="D41" i="1"/>
  <c r="B65" i="6"/>
  <c r="B70" i="6"/>
  <c r="B58" i="6"/>
  <c r="C31" i="1" l="1"/>
  <c r="E18" i="6"/>
  <c r="B4" i="6"/>
  <c r="C10" i="1"/>
  <c r="B5" i="6" s="1"/>
  <c r="C8" i="1"/>
  <c r="B3" i="6" s="1"/>
  <c r="A3" i="3"/>
  <c r="A1" i="4"/>
  <c r="A1" i="3"/>
  <c r="A1" i="2"/>
  <c r="B6" i="6" l="1"/>
  <c r="C7" i="1"/>
  <c r="D83" i="3" s="1"/>
  <c r="C34" i="1"/>
  <c r="D81" i="3" l="1"/>
  <c r="C21" i="1"/>
  <c r="C37" i="1"/>
  <c r="B75" i="6"/>
  <c r="B76" i="6" s="1"/>
  <c r="B7" i="6"/>
  <c r="I53" i="4"/>
  <c r="I54" i="4"/>
  <c r="I55" i="4"/>
  <c r="I56" i="4"/>
  <c r="I57" i="4"/>
  <c r="I58" i="4"/>
  <c r="I59" i="4"/>
  <c r="I60" i="4"/>
  <c r="I61" i="4"/>
  <c r="I62" i="4"/>
  <c r="I63" i="4"/>
  <c r="I64" i="4"/>
  <c r="I65" i="4"/>
  <c r="I66" i="4"/>
  <c r="I67" i="4"/>
  <c r="I68" i="4"/>
  <c r="I69" i="4"/>
  <c r="I70" i="4"/>
  <c r="I71" i="4"/>
  <c r="I72" i="4"/>
  <c r="I73" i="4"/>
  <c r="I74" i="4"/>
  <c r="I75" i="4"/>
  <c r="C38" i="1" l="1"/>
  <c r="B77" i="6"/>
  <c r="E15" i="2"/>
  <c r="E19" i="2" s="1"/>
  <c r="E21" i="2" s="1"/>
  <c r="C41" i="1" l="1"/>
  <c r="C50" i="4" l="1"/>
  <c r="D50" i="4"/>
  <c r="E50" i="4"/>
  <c r="B83" i="4"/>
  <c r="E81" i="3"/>
  <c r="E69" i="3"/>
  <c r="E62" i="3"/>
  <c r="E28" i="3"/>
  <c r="E42" i="3"/>
  <c r="J48" i="4"/>
  <c r="F48" i="4" l="1"/>
  <c r="B50" i="4"/>
  <c r="E60" i="3"/>
  <c r="E78" i="3"/>
  <c r="E26" i="3" l="1"/>
  <c r="E16" i="3" s="1"/>
  <c r="E25" i="3" s="1"/>
  <c r="D84" i="3"/>
  <c r="I48" i="4"/>
  <c r="F50" i="4"/>
  <c r="I50" i="4" s="1"/>
  <c r="J83" i="4" l="1"/>
  <c r="F12" i="4" l="1"/>
  <c r="B12" i="4"/>
  <c r="D28" i="3" l="1"/>
  <c r="D60" i="3" s="1"/>
  <c r="D26" i="3" s="1"/>
  <c r="D16" i="3" s="1"/>
  <c r="E23" i="2" l="1"/>
  <c r="E44" i="2" s="1"/>
  <c r="F14" i="4"/>
  <c r="I12" i="4"/>
  <c r="I10" i="4"/>
  <c r="I14" i="4" l="1"/>
  <c r="F13" i="4"/>
  <c r="F46" i="4" s="1"/>
  <c r="I46" i="4" s="1"/>
  <c r="F52" i="4"/>
  <c r="F51" i="4" s="1"/>
  <c r="I51" i="4" s="1"/>
  <c r="D25" i="3"/>
  <c r="F83" i="4" l="1"/>
  <c r="I83" i="4" s="1"/>
  <c r="I52" i="4"/>
  <c r="I13" i="4"/>
</calcChain>
</file>

<file path=xl/comments1.xml><?xml version="1.0" encoding="utf-8"?>
<comments xmlns="http://schemas.openxmlformats.org/spreadsheetml/2006/main">
  <authors>
    <author>User</author>
    <author>Irina</author>
  </authors>
  <commentList>
    <comment ref="D18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 45 со сч. 3212 красное
</t>
        </r>
      </text>
    </comment>
    <comment ref="D29" authorId="1" shapeId="0">
      <text>
        <r>
          <rPr>
            <b/>
            <sz val="9"/>
            <color indexed="81"/>
            <rFont val="Tahoma"/>
            <family val="2"/>
            <charset val="204"/>
          </rPr>
          <t>Irina:</t>
        </r>
        <r>
          <rPr>
            <sz val="9"/>
            <color indexed="81"/>
            <rFont val="Tahoma"/>
            <family val="2"/>
            <charset val="204"/>
          </rPr>
          <t xml:space="preserve">
(3510 сч.) 5830 + (3200 сч.) 19 + 45 внутри красное</t>
        </r>
      </text>
    </comment>
  </commentList>
</comments>
</file>

<file path=xl/comments2.xml><?xml version="1.0" encoding="utf-8"?>
<comments xmlns="http://schemas.openxmlformats.org/spreadsheetml/2006/main">
  <authors>
    <author>User</author>
    <author>Irina</author>
  </authors>
  <commentList>
    <comment ref="A10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счета 1284, 1110 и 2010</t>
        </r>
      </text>
    </comment>
    <comment ref="A14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1270.23
из анализа счета 3510 берем 1270.29  1280,09 и 1270.25 и  2100</t>
        </r>
      </text>
    </comment>
    <comment ref="A15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счета:    
1430
3393
</t>
        </r>
      </text>
    </comment>
    <comment ref="A18" authorId="1" shapeId="0">
      <text>
        <r>
          <rPr>
            <b/>
            <sz val="9"/>
            <color indexed="81"/>
            <rFont val="Tahoma"/>
            <family val="2"/>
            <charset val="204"/>
          </rPr>
          <t>Irina:</t>
        </r>
        <r>
          <rPr>
            <sz val="9"/>
            <color indexed="81"/>
            <rFont val="Tahoma"/>
            <family val="2"/>
            <charset val="204"/>
          </rPr>
          <t xml:space="preserve">
Счет 3310 + поставщики с анализа 1610 - приобретенные ОС</t>
        </r>
      </text>
    </comment>
    <comment ref="A19" authorId="1" shapeId="0">
      <text>
        <r>
          <rPr>
            <b/>
            <sz val="9"/>
            <color indexed="81"/>
            <rFont val="Tahoma"/>
            <family val="2"/>
            <charset val="204"/>
          </rPr>
          <t>Irina:</t>
        </r>
        <r>
          <rPr>
            <sz val="9"/>
            <color indexed="81"/>
            <rFont val="Tahoma"/>
            <family val="2"/>
            <charset val="204"/>
          </rPr>
          <t xml:space="preserve">
1100 + выплата 1284 +2000</t>
        </r>
      </text>
    </comment>
    <comment ref="A20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3350 по Кт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3380 по Кт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3100+1400</t>
        </r>
      </text>
    </comment>
    <comment ref="A24" authorId="1" shapeId="0">
      <text>
        <r>
          <rPr>
            <b/>
            <sz val="9"/>
            <color indexed="81"/>
            <rFont val="Tahoma"/>
            <family val="2"/>
            <charset val="204"/>
          </rPr>
          <t>Irina:</t>
        </r>
        <r>
          <rPr>
            <sz val="9"/>
            <color indexed="81"/>
            <rFont val="Tahoma"/>
            <family val="2"/>
            <charset val="204"/>
          </rPr>
          <t xml:space="preserve">
Со счета 1610 авансы</t>
        </r>
      </text>
    </comment>
    <comment ref="A44" authorId="0" shape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счет 2410 по дт</t>
        </r>
      </text>
    </comment>
    <comment ref="A65" authorId="1" shapeId="0">
      <text>
        <r>
          <rPr>
            <b/>
            <sz val="9"/>
            <color indexed="81"/>
            <rFont val="Tahoma"/>
            <family val="2"/>
            <charset val="204"/>
          </rPr>
          <t>Irina:</t>
        </r>
        <r>
          <rPr>
            <sz val="9"/>
            <color indexed="81"/>
            <rFont val="Tahoma"/>
            <family val="2"/>
            <charset val="204"/>
          </rPr>
          <t xml:space="preserve">
3050+4010
</t>
        </r>
      </text>
    </comment>
  </commentList>
</comments>
</file>

<file path=xl/comments3.xml><?xml version="1.0" encoding="utf-8"?>
<comments xmlns="http://schemas.openxmlformats.org/spreadsheetml/2006/main">
  <authors>
    <author>Irina</author>
  </authors>
  <commentList>
    <comment ref="E35" authorId="0" shapeId="0">
      <text>
        <r>
          <rPr>
            <b/>
            <sz val="9"/>
            <color indexed="81"/>
            <rFont val="Tahoma"/>
            <family val="2"/>
            <charset val="204"/>
          </rPr>
          <t>Irina: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<sst xmlns="http://schemas.openxmlformats.org/spreadsheetml/2006/main" count="1468" uniqueCount="513">
  <si>
    <t>в тысячах тенге</t>
  </si>
  <si>
    <t>Активы</t>
  </si>
  <si>
    <t>1</t>
  </si>
  <si>
    <t>2</t>
  </si>
  <si>
    <t>3</t>
  </si>
  <si>
    <t>4</t>
  </si>
  <si>
    <t>-</t>
  </si>
  <si>
    <t>Запасы</t>
  </si>
  <si>
    <t>Основные средства</t>
  </si>
  <si>
    <t>Нематериальные активы</t>
  </si>
  <si>
    <t>Отложенные налоговые активы</t>
  </si>
  <si>
    <t>Отложенные налоговые обязательства</t>
  </si>
  <si>
    <t>Уставный (акционерный) капитал</t>
  </si>
  <si>
    <t>Эмиссионный доход</t>
  </si>
  <si>
    <t>Компоненты прочего совокупного дохода</t>
  </si>
  <si>
    <t>Прочий капитал</t>
  </si>
  <si>
    <t>Руководитель</t>
  </si>
  <si>
    <t>Машанло С. Г.</t>
  </si>
  <si>
    <t>(фамилия, имя, отчество (при его наличии))</t>
  </si>
  <si>
    <t>(подпись)</t>
  </si>
  <si>
    <t>Главный бухгалтер</t>
  </si>
  <si>
    <t>Место печати</t>
  </si>
  <si>
    <t>(при наличии)</t>
  </si>
  <si>
    <t>Наименование показателей</t>
  </si>
  <si>
    <t>За отчетный период</t>
  </si>
  <si>
    <t xml:space="preserve">Административные расходы </t>
  </si>
  <si>
    <t xml:space="preserve"> </t>
  </si>
  <si>
    <t>Прочие доходы</t>
  </si>
  <si>
    <t xml:space="preserve">Прибыль (убыток) после налогообложения от прекращенной деятельности </t>
  </si>
  <si>
    <t xml:space="preserve">         собственников материнской организации</t>
  </si>
  <si>
    <t xml:space="preserve">         долю неконтролирующих собственников</t>
  </si>
  <si>
    <t>Прочий совокупный доход, всего (сумма 420 и 440):</t>
  </si>
  <si>
    <t>в том числе:</t>
  </si>
  <si>
    <t>переоценка долговых финансовых инструментов, оцениваемых по справедливой стоимости через прочий совокупный доход</t>
  </si>
  <si>
    <t>доля в прочем совокупном доходе (убытке) ассоциированных организаций и совместной деятельности, учитываемых по методу долевого участия</t>
  </si>
  <si>
    <t xml:space="preserve">эффект изменения в ставке подоходного налога на отсроченный налог </t>
  </si>
  <si>
    <t>хеджирование денежных потоков</t>
  </si>
  <si>
    <t>курсовая разница по инвестициям в зарубежные организации</t>
  </si>
  <si>
    <t>хеджирование чистых инвестиций в зарубежные операции</t>
  </si>
  <si>
    <t>прочие компоненты прочего совокупного дохода</t>
  </si>
  <si>
    <t>корректировка при реклассификации в составе прибыли (убытка)</t>
  </si>
  <si>
    <t>налоговый эффект компонентов прочего совокупного дохода</t>
  </si>
  <si>
    <t>Итого прочий совокупный доход, подлежащий реклассификации в доходы или расходы в последующие периоды (за вычетом налога на прибыль) (сумма строк с 410 по 418)</t>
  </si>
  <si>
    <t>переоценка основных средств и нематериальных активов</t>
  </si>
  <si>
    <t>актуарные прибыли (убытки) по пенсионным обязательствам</t>
  </si>
  <si>
    <t>переоценка долевых финансовых инструментов, оцениваемых по справедливой стоимости через прочий совокупный доход</t>
  </si>
  <si>
    <t>Итого прочий совокупный доход не подлежащий реклассификации в доходы или расходы в последующие периоды (за вычетом налога на прибыль) (сумма строк с 431 по 435)</t>
  </si>
  <si>
    <t>Общий совокупный доход (строка 300 + строка 400)</t>
  </si>
  <si>
    <t>I. Движение денежных средств от операционной деятельности</t>
  </si>
  <si>
    <t xml:space="preserve">            прочая выручка</t>
  </si>
  <si>
    <t xml:space="preserve">            авансы, полученные от покупателей, заказчиков</t>
  </si>
  <si>
    <t xml:space="preserve">            поступления по договорам страхования</t>
  </si>
  <si>
    <t xml:space="preserve">            полученные вознаграждения</t>
  </si>
  <si>
    <t xml:space="preserve">            прочие поступления</t>
  </si>
  <si>
    <t xml:space="preserve">            платежи поставщикам за товары и услуги</t>
  </si>
  <si>
    <t xml:space="preserve">            выплаты по оплате труда</t>
  </si>
  <si>
    <t xml:space="preserve">            выплата вознаграждения</t>
  </si>
  <si>
    <t xml:space="preserve">            выплаты по договорам страхования</t>
  </si>
  <si>
    <t xml:space="preserve">            подоходный налог и другие платежи в бюджет</t>
  </si>
  <si>
    <t xml:space="preserve">            прочие выплаты</t>
  </si>
  <si>
    <t>II. Движение денежных средств от инвестиционной деятельности</t>
  </si>
  <si>
    <t xml:space="preserve">            реализация основных средств</t>
  </si>
  <si>
    <t xml:space="preserve">            реализация нематериальных активов</t>
  </si>
  <si>
    <t xml:space="preserve">            реализация других долгосрочных активов</t>
  </si>
  <si>
    <t xml:space="preserve">            реализация долевых инструментов других организаций (кроме дочерних) и долей участия в совместном предпринимательстве</t>
  </si>
  <si>
    <t xml:space="preserve">            реализация долговых инструментов других организаций</t>
  </si>
  <si>
    <t xml:space="preserve">            возмещение при потере контроля над дочерними организациями</t>
  </si>
  <si>
    <t xml:space="preserve">            изъятие денежных вкладов</t>
  </si>
  <si>
    <t xml:space="preserve">            реализация прочих финансовых активов</t>
  </si>
  <si>
    <t xml:space="preserve">            фьючерсные и форвардные контракты, опционы и свопы</t>
  </si>
  <si>
    <t xml:space="preserve">            полученные дивиденды</t>
  </si>
  <si>
    <t xml:space="preserve">            приобретение основных средств</t>
  </si>
  <si>
    <t xml:space="preserve">            приобретение нематериальных активов</t>
  </si>
  <si>
    <t xml:space="preserve">            приобретение других долгосрочных активов</t>
  </si>
  <si>
    <t xml:space="preserve">            приобретение долевых инструментов других организаций (кроме дочерних) и долей участия в совместном предпринимательстве</t>
  </si>
  <si>
    <t xml:space="preserve">            приобретение долговых инструментов других организаций</t>
  </si>
  <si>
    <t xml:space="preserve">            приобретение контроля над дочерними организациями</t>
  </si>
  <si>
    <t xml:space="preserve">            размещение денежных вкладов</t>
  </si>
  <si>
    <t>ТОО "МФО "Капиталинвест""</t>
  </si>
  <si>
    <t>Выводимые данные:</t>
  </si>
  <si>
    <t>БУ (данные бухгалтерского учета)</t>
  </si>
  <si>
    <t>Счет</t>
  </si>
  <si>
    <t>Кор. Счет</t>
  </si>
  <si>
    <t>Дебет</t>
  </si>
  <si>
    <t>Кредит</t>
  </si>
  <si>
    <t>1000</t>
  </si>
  <si>
    <t>Начальное сальдо</t>
  </si>
  <si>
    <t>1030</t>
  </si>
  <si>
    <t>1050</t>
  </si>
  <si>
    <t>1110 21</t>
  </si>
  <si>
    <t>1270.23</t>
  </si>
  <si>
    <t>1284</t>
  </si>
  <si>
    <t>1430</t>
  </si>
  <si>
    <t>1610</t>
  </si>
  <si>
    <t>2010 21</t>
  </si>
  <si>
    <t>3120</t>
  </si>
  <si>
    <t>3150</t>
  </si>
  <si>
    <t>3211</t>
  </si>
  <si>
    <t>3212</t>
  </si>
  <si>
    <t>3213</t>
  </si>
  <si>
    <t>3220</t>
  </si>
  <si>
    <t>3310</t>
  </si>
  <si>
    <t>3350</t>
  </si>
  <si>
    <t>3380</t>
  </si>
  <si>
    <t>3510</t>
  </si>
  <si>
    <t>Оборот</t>
  </si>
  <si>
    <t>Конечное сальдо</t>
  </si>
  <si>
    <t xml:space="preserve">            приобретение прочих финансовых активов</t>
  </si>
  <si>
    <t xml:space="preserve">            предоставление займов</t>
  </si>
  <si>
    <t xml:space="preserve">            инвестиции в ассоциированные и дочерние организации</t>
  </si>
  <si>
    <t>3. Чистая сумма денежных средств от инвестиционной деятельности (строка 040 – строка 060)</t>
  </si>
  <si>
    <t>III. Движение денежных средств от финансовой деятельности</t>
  </si>
  <si>
    <t xml:space="preserve">            эмиссия акций и других финансовых инструментов</t>
  </si>
  <si>
    <t xml:space="preserve">            получение займов</t>
  </si>
  <si>
    <t xml:space="preserve">            полученные вознаграждения </t>
  </si>
  <si>
    <t xml:space="preserve">            погашение займов</t>
  </si>
  <si>
    <t xml:space="preserve">            выплата дивидендов</t>
  </si>
  <si>
    <t xml:space="preserve">            выплаты собственникам по акциям организации</t>
  </si>
  <si>
    <t xml:space="preserve">            прочие выбытия</t>
  </si>
  <si>
    <t>4. Влияние обменных курсов валют к тенге</t>
  </si>
  <si>
    <t>5. Влияние изменения балансовой стоимости денежных средств и их эквивалентов</t>
  </si>
  <si>
    <t>7. Денежные средства и их эквиваленты на начало отчетного периода</t>
  </si>
  <si>
    <t>8. Денежные средства и их эквиваленты на конец отчетного периода</t>
  </si>
  <si>
    <t>Наименование компонентов</t>
  </si>
  <si>
    <t>Капитал, относимый на собственников</t>
  </si>
  <si>
    <t>Доля неконтроли- рующих собственников</t>
  </si>
  <si>
    <t>Итого капитал</t>
  </si>
  <si>
    <t xml:space="preserve">Выкупленные собственные долевые инструменты </t>
  </si>
  <si>
    <t>Нераспределен- ная прибыль</t>
  </si>
  <si>
    <t>5</t>
  </si>
  <si>
    <t>6</t>
  </si>
  <si>
    <t>7</t>
  </si>
  <si>
    <t>8</t>
  </si>
  <si>
    <t>9</t>
  </si>
  <si>
    <t>10</t>
  </si>
  <si>
    <t>Изменение в учетной политике</t>
  </si>
  <si>
    <t>переоценка долговых финансовых инструментов, оцениваемых по справедливой стоимости через прочий совокупный доход (за минусом налогового эффекта)</t>
  </si>
  <si>
    <t>переоценка долевых финансовых инструментов, оцениваемых по справедливой стоимости через прочий совокупный доход (за минусом налогового эффекта)</t>
  </si>
  <si>
    <t>переоценка основных средств и нематериальных активов (за минусом налогового эффекта)</t>
  </si>
  <si>
    <t>эффект изменения в ставке подоходного налога на отсроченный налог</t>
  </si>
  <si>
    <t>хеджирование денежных потоков (за минусом налогового эффекта)</t>
  </si>
  <si>
    <t>курсовая разница по инвестициям в зарубежные 
организации</t>
  </si>
  <si>
    <t>Вознаграждения работников акциями:</t>
  </si>
  <si>
    <t>стоимость услуг работников</t>
  </si>
  <si>
    <t>выпуск акций по схеме вознаграждения работников акциями</t>
  </si>
  <si>
    <t>налоговая выгода в отношении схемы вознаграждения работников акциями</t>
  </si>
  <si>
    <t>Взносы собственников</t>
  </si>
  <si>
    <t>Выпуск собственных долевых инструментов (акций)</t>
  </si>
  <si>
    <t>Выпуск долевых инструментов связанный с объединением бизнеса</t>
  </si>
  <si>
    <t>Долевой компонент конвертируемых инструментов (за минусом налогового эффекта)</t>
  </si>
  <si>
    <t>Выплата дивидендов</t>
  </si>
  <si>
    <t>Прочие распределения в пользу собственников</t>
  </si>
  <si>
    <t xml:space="preserve">Прочие операции с собственниками </t>
  </si>
  <si>
    <t>Изменения в доле участия в дочерних организациях, не приводящей к потере контроля</t>
  </si>
  <si>
    <t>Прочие операции</t>
  </si>
  <si>
    <t xml:space="preserve">хеджирование чистых инвестиций в зарубежные операции </t>
  </si>
  <si>
    <t>Вознаграждения работников акциями</t>
  </si>
  <si>
    <t>Общий совокупный доход, всего</t>
  </si>
  <si>
    <t>Прочий совокупный доход, всего</t>
  </si>
  <si>
    <t>Операции с собственниками, всего</t>
  </si>
  <si>
    <t>Операции с собственниками всего</t>
  </si>
  <si>
    <t xml:space="preserve">            погашение представленных займов</t>
  </si>
  <si>
    <t xml:space="preserve">            поступление погашенных займов</t>
  </si>
  <si>
    <t>6. Увеличение +/- уменьшение денежных средств</t>
  </si>
  <si>
    <t>3. Чистая сумма денежных средств от финансовой деятельности</t>
  </si>
  <si>
    <t>2. Выбытие денежных средств, всего</t>
  </si>
  <si>
    <t>1. Поступление денежных средств, всего</t>
  </si>
  <si>
    <t>3. Чистая сумма денежных средств от операционной деятельности</t>
  </si>
  <si>
    <t>Примечание</t>
  </si>
  <si>
    <t>Наименование статьи</t>
  </si>
  <si>
    <t>Прим.</t>
  </si>
  <si>
    <t>Денежные средства на текущих банковских счетах</t>
  </si>
  <si>
    <t>Вклады размещенные</t>
  </si>
  <si>
    <t>Кредиты клиентам</t>
  </si>
  <si>
    <t>Дебиторская задолженность по вознаграждениям по размещенным вкладам</t>
  </si>
  <si>
    <t>Текущие налоговые активы</t>
  </si>
  <si>
    <t>Прочие активы</t>
  </si>
  <si>
    <t xml:space="preserve">Итого активов </t>
  </si>
  <si>
    <t>Обязательства</t>
  </si>
  <si>
    <t>Займы</t>
  </si>
  <si>
    <t>Выпущенные долговые ценные бумаги</t>
  </si>
  <si>
    <t>Краткосрочные оценочные обязательства по вознаграждениям работников</t>
  </si>
  <si>
    <t>Обязательства по налогам и другим обязательным платежам в бюджет</t>
  </si>
  <si>
    <t>Прочие обязательства</t>
  </si>
  <si>
    <t xml:space="preserve">Итого обязательств </t>
  </si>
  <si>
    <t>Капитал</t>
  </si>
  <si>
    <t>Нераспределенная прибыль (непокрытый убыток), в том числе:</t>
  </si>
  <si>
    <t>предыдущих лет</t>
  </si>
  <si>
    <t>отчетного периода</t>
  </si>
  <si>
    <t>Всего обязательства и капитал</t>
  </si>
  <si>
    <t>1100</t>
  </si>
  <si>
    <t>1110</t>
  </si>
  <si>
    <t>1200</t>
  </si>
  <si>
    <t>1270</t>
  </si>
  <si>
    <t>1280</t>
  </si>
  <si>
    <t>1400</t>
  </si>
  <si>
    <t>1600</t>
  </si>
  <si>
    <t>2000</t>
  </si>
  <si>
    <t>2010</t>
  </si>
  <si>
    <t>3100</t>
  </si>
  <si>
    <t>3200</t>
  </si>
  <si>
    <t>3210</t>
  </si>
  <si>
    <t>3300</t>
  </si>
  <si>
    <t>3500</t>
  </si>
  <si>
    <t>4000</t>
  </si>
  <si>
    <t>4030</t>
  </si>
  <si>
    <t>4100</t>
  </si>
  <si>
    <t>4160</t>
  </si>
  <si>
    <t xml:space="preserve">            представление кредитов клиентам</t>
  </si>
  <si>
    <t xml:space="preserve">            выдача авансов поставщикам</t>
  </si>
  <si>
    <t xml:space="preserve">            проценты полученные по кредитам клиентов и прочие вознаграждения</t>
  </si>
  <si>
    <t xml:space="preserve">            поступления от выпуска долговых ценных бумаг</t>
  </si>
  <si>
    <t>Эквиваленты денежных средств</t>
  </si>
  <si>
    <t xml:space="preserve">            поступления от погашения кредитов (займов) предоставленых клиентам</t>
  </si>
  <si>
    <t xml:space="preserve">           выкуп облигаций</t>
  </si>
  <si>
    <t xml:space="preserve">Пересчитанное сальдо </t>
  </si>
  <si>
    <t>Процентные доходы, рассчитанные с использованием эффективной ставки</t>
  </si>
  <si>
    <t>Чистый процентный доход</t>
  </si>
  <si>
    <t>Чистый доход/расход от восстановления /создания резервов на возможные потери по финансовым активам</t>
  </si>
  <si>
    <t>Чистый процентный доход после расходов по кредитным убыткам</t>
  </si>
  <si>
    <t>Расходы по реализации продукции и оказанию услуг</t>
  </si>
  <si>
    <t>Прибыль (убыток) до налогообложения</t>
  </si>
  <si>
    <t>Расходы по корпоративному подоходному налогу</t>
  </si>
  <si>
    <t>Прибыль (убыток) за год</t>
  </si>
  <si>
    <t>Прибыль за год относимая на:</t>
  </si>
  <si>
    <t>Денежные средства и их эквиваленты</t>
  </si>
  <si>
    <t>Прочая краткосрочная дебиторская задолженность</t>
  </si>
  <si>
    <t>Краткосрочная кредиторская задолженность</t>
  </si>
  <si>
    <t xml:space="preserve">            выплата вознаграждения (купона)</t>
  </si>
  <si>
    <t>Счет, Наименование</t>
  </si>
  <si>
    <t>Сальдо на начало периода</t>
  </si>
  <si>
    <t>Обороты за период</t>
  </si>
  <si>
    <t>Сальдо на конец периода</t>
  </si>
  <si>
    <t>1000, Денежные средства</t>
  </si>
  <si>
    <t>1030, Денежные средства на текущих банковских счетах</t>
  </si>
  <si>
    <t>1050, Денежные средства на сберегательных счетах</t>
  </si>
  <si>
    <t>1060, Прочие денежные средства</t>
  </si>
  <si>
    <t>1100, Краткосрочные финансовые инвестиции</t>
  </si>
  <si>
    <t>1110, Краткосрочные предоставленные займы</t>
  </si>
  <si>
    <t>1110 22, Просроченная задолжность клиентов по предоставленным займам</t>
  </si>
  <si>
    <t>1110 21, Краткосрочные займы, предоставленные клиентам</t>
  </si>
  <si>
    <t>1200, Краткосрочная дебиторская задолженность</t>
  </si>
  <si>
    <t>1270, Краткосрочные вознаграждения к получению</t>
  </si>
  <si>
    <t>1270 29, Просроченные доходы в виде вознаграждения</t>
  </si>
  <si>
    <t>1270 25, Начисленные доходы в виде вознаграждения по займам, предоставленным клиентам</t>
  </si>
  <si>
    <t>1270.23, Начисленные доходы в виде вознаграждения по срочным вкладам</t>
  </si>
  <si>
    <t>1280, Прочая краткосрочная дебиторская задолженность</t>
  </si>
  <si>
    <t>1280 09, Начисленная неустойка (штраф, пеня)</t>
  </si>
  <si>
    <t>1282, Задолженность по претензиям</t>
  </si>
  <si>
    <t>1284, Прочая краткосрочная дебиторская задолженность</t>
  </si>
  <si>
    <t>1290, Резерв по сомнительным требованиям</t>
  </si>
  <si>
    <t>1290 21, Резервы (провизии) на покрытие убытков по займам, предоставленным клиентам</t>
  </si>
  <si>
    <t>1300, Запасы</t>
  </si>
  <si>
    <t>1310, Сырье и материалы</t>
  </si>
  <si>
    <t>1400, Текущие налоговые активы</t>
  </si>
  <si>
    <t>1410, Корпоративный подоходный налог</t>
  </si>
  <si>
    <t>1430, Прочие налоги и другие обязательные платежи в бюджет</t>
  </si>
  <si>
    <t>1600, Прочие краткосрочные активы</t>
  </si>
  <si>
    <t>1610, Краткосрочные авансы выданные</t>
  </si>
  <si>
    <t>1620, Краткосрочные расходы будущих периодов</t>
  </si>
  <si>
    <t>1640, 2019 Оценочный резерв под убытки от обесценения краткосрочных активов по договорам</t>
  </si>
  <si>
    <t>2000, Долгосрочные финансовые инвестиции</t>
  </si>
  <si>
    <t>2010, Долгосрочные предоставленные займы</t>
  </si>
  <si>
    <t>2010 21, Долгосрочные займы, предоставленные клиентам</t>
  </si>
  <si>
    <t>2100, Долгосрочная дебиторская задолженность</t>
  </si>
  <si>
    <t>2170, Долгосрочные вознаграждения к получению</t>
  </si>
  <si>
    <t>2170 25, Долгосрочные вознаграждения к получению</t>
  </si>
  <si>
    <t>2400, Основные средства</t>
  </si>
  <si>
    <t>2410, Основные средства</t>
  </si>
  <si>
    <t>2420, Амортизация основных средств</t>
  </si>
  <si>
    <t>2700, Нематериальные активы</t>
  </si>
  <si>
    <t>2730, Прочие нематериальные активы</t>
  </si>
  <si>
    <t>2740, Амортизация прочих нематериальных активов</t>
  </si>
  <si>
    <t>2800, Отложенные налоговые активы</t>
  </si>
  <si>
    <t>2810, Отложенные налоговые активы по корпоративному подоходному налогу</t>
  </si>
  <si>
    <t>3000, Краткосрочные финансовые обязательства</t>
  </si>
  <si>
    <t>3030, Краткосрочная кредиторская задолженность по дивидендам и доходам участников 3040</t>
  </si>
  <si>
    <t>3100, Обязательства по налогам</t>
  </si>
  <si>
    <t>3110, Корпоративный подоходный налог подлежащий уплате</t>
  </si>
  <si>
    <t>3120, Индивидуальный подоходный налог</t>
  </si>
  <si>
    <t>3150, Социальный налог</t>
  </si>
  <si>
    <t>3200, Обязательства по другим обязательным и добровольным платежам</t>
  </si>
  <si>
    <t>3210, Обязательства по социальному страхованию</t>
  </si>
  <si>
    <t>3211, Обязательства по социальным отчислениям</t>
  </si>
  <si>
    <t>3212, Обязательства по взносам на социальное медицинское страхование</t>
  </si>
  <si>
    <t>3213, Обязательства по отчислениям на социальное медицинское страхование</t>
  </si>
  <si>
    <t>3220, Обязательства по пенсионным отчислениям</t>
  </si>
  <si>
    <t>3300, Краткосрочная кредиторская задолженность</t>
  </si>
  <si>
    <t>3310, Краткосрочная задолженность поставщикам и подрядчикам</t>
  </si>
  <si>
    <t>3350, Краткосрочная задолженность по оплате труда</t>
  </si>
  <si>
    <t>3380, Краткосрочные вознаграждения к выплате 3050</t>
  </si>
  <si>
    <t>3390, Прочая краткосрочная кредиторская задолженность</t>
  </si>
  <si>
    <t>3393, Задолженность по ошибочно зачисленным суммам на счетах в банках</t>
  </si>
  <si>
    <t>3397, Прочая краткосрочная кредиторская задолженность</t>
  </si>
  <si>
    <t>3400, Краткосрочные оценочные обязательства</t>
  </si>
  <si>
    <t>3430, Краткосрочные оценочные обязательства по вознаграждениям работникам</t>
  </si>
  <si>
    <t>3500, Прочие краткосрочные обязательства</t>
  </si>
  <si>
    <t>3510, Краткосрочные авансы полученные</t>
  </si>
  <si>
    <t>4000, Долгосрочные финансовые обязательства</t>
  </si>
  <si>
    <t>4010, Долгосрочные финансовые обязательства, оцениваемые по амортизированной стоимости</t>
  </si>
  <si>
    <t>4030, Прочие долгосрочные финансовые обязательства 4060</t>
  </si>
  <si>
    <t>4100, Долгосрочная кредиторская задолженность</t>
  </si>
  <si>
    <t>4160, Долгосрочные вознаграждения к выплате 4050</t>
  </si>
  <si>
    <t>5000, Уставный капитал</t>
  </si>
  <si>
    <t>5030, Вклады и паи</t>
  </si>
  <si>
    <t>5500, Нераспределенная прибыль непокрытый убыток</t>
  </si>
  <si>
    <t>5510, Нераспределенная прибыль непокрытый убыток отчетного года</t>
  </si>
  <si>
    <t>5520, Нераспределенная прибыль непокрытый убыток предыдущих лет</t>
  </si>
  <si>
    <t>5600, Итоговая прибыль итоговый убыток</t>
  </si>
  <si>
    <t>5610, Итоговая прибыль итоговый убыток</t>
  </si>
  <si>
    <t>6100, Доходы от финансирования</t>
  </si>
  <si>
    <t>6110, Доходы по вознаграждениям</t>
  </si>
  <si>
    <t>6110 32, Доходы, связанные с получением вознаграждения по займам</t>
  </si>
  <si>
    <t>6112, Доходы по вознаграждениям от размещенных депозитов</t>
  </si>
  <si>
    <t>6160, Прочие доходы от финансирования</t>
  </si>
  <si>
    <t>6200, Прочие доходы</t>
  </si>
  <si>
    <t>6280, Прочие доходы</t>
  </si>
  <si>
    <t>6280 08, Неустойка (штраф, пеня)</t>
  </si>
  <si>
    <t>7100, Расходы по реализации продукции и оказанию услуг</t>
  </si>
  <si>
    <t>7110, Расходы по реализации продукции и оказанию услуг</t>
  </si>
  <si>
    <t>7200, Административные расходы</t>
  </si>
  <si>
    <t>7210, Административные расходы</t>
  </si>
  <si>
    <t>7220, Административные расходы невычитаемые</t>
  </si>
  <si>
    <t>7300, Расходы на финансирование</t>
  </si>
  <si>
    <t>7310, Расходы по вознаграждениям</t>
  </si>
  <si>
    <t>7400, Прочие расходы</t>
  </si>
  <si>
    <t>7440, Расходы по обесценению дебиторской задолженности</t>
  </si>
  <si>
    <t>7440 21, Расходы по формированию резервов (провизий) по предоставленным займам</t>
  </si>
  <si>
    <t>Итого</t>
  </si>
  <si>
    <t>1060</t>
  </si>
  <si>
    <t>3390</t>
  </si>
  <si>
    <t>4010</t>
  </si>
  <si>
    <t>2100</t>
  </si>
  <si>
    <t>2170</t>
  </si>
  <si>
    <t>Аванс</t>
  </si>
  <si>
    <t>3397</t>
  </si>
  <si>
    <t>Поставщики</t>
  </si>
  <si>
    <t>Прочие</t>
  </si>
  <si>
    <t>Авансы выданные</t>
  </si>
  <si>
    <t>Расходы будущих периодов</t>
  </si>
  <si>
    <t>Оценочный резерв под убытки от обесценения краткосрочных активов по договорам</t>
  </si>
  <si>
    <t xml:space="preserve">Итого </t>
  </si>
  <si>
    <t>Долгосрочные кредиты</t>
  </si>
  <si>
    <t>Долгосрочные займы банка АО "Банк ЦентрКредит"</t>
  </si>
  <si>
    <t>Выпущенные купонные облигации</t>
  </si>
  <si>
    <t>Начисленные купонные вознаграждения</t>
  </si>
  <si>
    <t>Краткосрочная задолженность поставщикам и подрядчикам</t>
  </si>
  <si>
    <t>Прочая кредиторская задолженность</t>
  </si>
  <si>
    <t>Уставный капитал</t>
  </si>
  <si>
    <t>Нераспределенная прибыль</t>
  </si>
  <si>
    <t>Всего капитал</t>
  </si>
  <si>
    <t>Доля %</t>
  </si>
  <si>
    <t>Колесниченко Иван Геннадьевич</t>
  </si>
  <si>
    <t>Машанло Рахим Исхарович</t>
  </si>
  <si>
    <t>Машанло Сергей Геннадьевич</t>
  </si>
  <si>
    <t>Процентные доходы, в том числе:</t>
  </si>
  <si>
    <t>связанные с получением вознаграждения по предоставленным займам</t>
  </si>
  <si>
    <t>связанные с получением вознаграждения по размещенным депозитам</t>
  </si>
  <si>
    <t>прочие доходы связанные с финансированием</t>
  </si>
  <si>
    <t>Доходы от восстановления убытка от обесценения по нефинансовым активам</t>
  </si>
  <si>
    <t>Расходы по признанию резерва под кредитные убытки</t>
  </si>
  <si>
    <t>Чистый расход от создания резерва под ожидаемые кредитные убытки</t>
  </si>
  <si>
    <r>
      <t>1.</t>
    </r>
    <r>
      <rPr>
        <b/>
        <sz val="7"/>
        <color rgb="FF000000"/>
        <rFont val="Times New Roman"/>
        <family val="1"/>
        <charset val="204"/>
      </rPr>
      <t xml:space="preserve">              </t>
    </r>
    <r>
      <rPr>
        <b/>
        <sz val="11"/>
        <color rgb="FF000000"/>
        <rFont val="Times New Roman"/>
        <family val="1"/>
        <charset val="204"/>
      </rPr>
      <t>Расходы по реализации</t>
    </r>
  </si>
  <si>
    <t>Аренда</t>
  </si>
  <si>
    <t>Материальные расходы</t>
  </si>
  <si>
    <t>Расходы по настройке/обслуживанию программного обеспечения</t>
  </si>
  <si>
    <t>Расходы по оплате труда</t>
  </si>
  <si>
    <t>Расходы связи (интернет)</t>
  </si>
  <si>
    <t>Социальные отчисления</t>
  </si>
  <si>
    <t>Социальный налог</t>
  </si>
  <si>
    <t>Страхование залогового имущества</t>
  </si>
  <si>
    <t>Услуги Депозитария</t>
  </si>
  <si>
    <t>Услуги кредитного бюро</t>
  </si>
  <si>
    <r>
      <t>1.</t>
    </r>
    <r>
      <rPr>
        <b/>
        <sz val="7"/>
        <color rgb="FF000000"/>
        <rFont val="Times New Roman"/>
        <family val="1"/>
        <charset val="204"/>
      </rPr>
      <t xml:space="preserve">              </t>
    </r>
    <r>
      <rPr>
        <b/>
        <sz val="11"/>
        <color rgb="FF000000"/>
        <rFont val="Times New Roman"/>
        <family val="1"/>
        <charset val="204"/>
      </rPr>
      <t>Общехозяйственные и административные расходы</t>
    </r>
  </si>
  <si>
    <t>Амортизация ФА</t>
  </si>
  <si>
    <t>Аудит</t>
  </si>
  <si>
    <t>Обучение</t>
  </si>
  <si>
    <t>Обязательные пенсионные взносы работодателя</t>
  </si>
  <si>
    <t>Отчисления ОСМС</t>
  </si>
  <si>
    <t>Поиск вакансий</t>
  </si>
  <si>
    <t>Списание материалов</t>
  </si>
  <si>
    <t>услуги банка</t>
  </si>
  <si>
    <t>членский взнос</t>
  </si>
  <si>
    <r>
      <t>1.</t>
    </r>
    <r>
      <rPr>
        <b/>
        <sz val="7"/>
        <color theme="1"/>
        <rFont val="Times New Roman"/>
        <family val="1"/>
        <charset val="204"/>
      </rPr>
      <t xml:space="preserve">              </t>
    </r>
    <r>
      <rPr>
        <b/>
        <sz val="11"/>
        <color rgb="FF000000"/>
        <rFont val="Times New Roman"/>
        <family val="1"/>
        <charset val="204"/>
      </rPr>
      <t>Выручка</t>
    </r>
  </si>
  <si>
    <r>
      <t>1.</t>
    </r>
    <r>
      <rPr>
        <b/>
        <sz val="7"/>
        <color theme="1"/>
        <rFont val="Times New Roman"/>
        <family val="1"/>
        <charset val="204"/>
      </rPr>
      <t xml:space="preserve">              </t>
    </r>
    <r>
      <rPr>
        <b/>
        <sz val="11"/>
        <color rgb="FF000000"/>
        <rFont val="Times New Roman"/>
        <family val="1"/>
        <charset val="204"/>
      </rPr>
      <t>Чистая сумма созданного резерва под ожидаемые кредитные убытки</t>
    </r>
  </si>
  <si>
    <t>Охрана и сигнадизация</t>
  </si>
  <si>
    <t>Услуги оценки</t>
  </si>
  <si>
    <t>услуги перевода</t>
  </si>
  <si>
    <t>услуги рекламы</t>
  </si>
  <si>
    <t>Расходы на выпуск ценных бумаг</t>
  </si>
  <si>
    <t>Расходы на содержание ценных бумаг</t>
  </si>
  <si>
    <t>Страхование работников</t>
  </si>
  <si>
    <t>Корпоративный подоходный налог подлежащий уплате</t>
  </si>
  <si>
    <t>1110 22</t>
  </si>
  <si>
    <t>1270 29</t>
  </si>
  <si>
    <t>1270 25</t>
  </si>
  <si>
    <t>1280 09</t>
  </si>
  <si>
    <t>2170 25</t>
  </si>
  <si>
    <t>ОД</t>
  </si>
  <si>
    <t>%%</t>
  </si>
  <si>
    <t>2900, Прочие долгосрочные активы</t>
  </si>
  <si>
    <t>2990, 2019 2940 Долгосрочные активы по договорам</t>
  </si>
  <si>
    <t>3396, Задолженность перед подотчетными лицами</t>
  </si>
  <si>
    <t>Сальдо на 31 декабря 2023 года</t>
  </si>
  <si>
    <t>Прибыль (убыток) за 2024</t>
  </si>
  <si>
    <t>Сальдо на 31 декабря 2024 года</t>
  </si>
  <si>
    <t>2900</t>
  </si>
  <si>
    <t>2990</t>
  </si>
  <si>
    <t>рассчитанныес использованием метода эффективной процентной ставки</t>
  </si>
  <si>
    <t>прочие доходы связанные с получением вознаграждения</t>
  </si>
  <si>
    <t>Процентные расходы</t>
  </si>
  <si>
    <t>Пересчитанное сальдо на 1 января 2024 года</t>
  </si>
  <si>
    <t>Начислено дивидендов</t>
  </si>
  <si>
    <t>3250, Обязательства по обязательным пенсионным взносам работодателя</t>
  </si>
  <si>
    <t>Прочие финансовые обязательства</t>
  </si>
  <si>
    <t>Пересчитанное сальдо на 1 января 2025 года</t>
  </si>
  <si>
    <t>Прибыль (убыток) за 2025</t>
  </si>
  <si>
    <t>Сальдо на 31 декабря 2025 года</t>
  </si>
  <si>
    <t>31 марта 2025                   (не аудировано)</t>
  </si>
  <si>
    <t>31 декабря 2024                    (аудировано)</t>
  </si>
  <si>
    <t>Промежуточный сокращенный Отчет о финансовом положении</t>
  </si>
  <si>
    <t>по состоянию на 31 марта 2025 года</t>
  </si>
  <si>
    <t>ТОО "Микрофинансовая организация "Капиталинвест"" 
Промежуточная финансовая отчетность за период с 01.01.2025 г. по 31.03.2025 г.
в тыс. тенге</t>
  </si>
  <si>
    <t>Промежуточный сокращенный Отчет о прибыли или убытке и прочем совокупном доходе</t>
  </si>
  <si>
    <t>За три месяца, закончившихся 31 марта 2024 года (не аудировано)</t>
  </si>
  <si>
    <t>за три месяца, закончившихся 31 марта 2025 года</t>
  </si>
  <si>
    <t>За три месяца, закончившихся 31 марта 2025 года (не аудировано)</t>
  </si>
  <si>
    <t>Промежуточный сокращенный Отчет об изменениях в собственном капитале</t>
  </si>
  <si>
    <t>Оборотно-сальдовая ведомость  за 1 квартал 2025 г.</t>
  </si>
  <si>
    <t>Анализ счета 1000  за 1 квартал 2025 г.</t>
  </si>
  <si>
    <t>3250</t>
  </si>
  <si>
    <t>Анализ счета 3510  за 1 квартал 2025 г.</t>
  </si>
  <si>
    <t>Валюта</t>
  </si>
  <si>
    <t>KZT</t>
  </si>
  <si>
    <t>за период, закончившийся 31 марта 2025 года</t>
  </si>
  <si>
    <t xml:space="preserve"> Расходы будущих периодов</t>
  </si>
  <si>
    <t>31 декабря 2024                     (аудировано)</t>
  </si>
  <si>
    <t>31 марта 2025                    (не аудировано)</t>
  </si>
  <si>
    <t>31 марта 2025 года (не аудировано)</t>
  </si>
  <si>
    <t>31 марта 2025                                      (не аудировано)</t>
  </si>
  <si>
    <t>Восток Инвест Group ТОО - Гарантийный взнос</t>
  </si>
  <si>
    <t>Договор №  AQ5/2023/U/S/213534/0025L от 28.02.2025</t>
  </si>
  <si>
    <t>Договор № AQ5/2023/U/S/213534/0020L от 13.02.2025</t>
  </si>
  <si>
    <t xml:space="preserve">Договор № AQ5/2023/U/S/213534/0021L от 14.02.2025 </t>
  </si>
  <si>
    <t>Договор № AQ5/2023/U/S/213534/0022L от 17.02.2025</t>
  </si>
  <si>
    <t>Договор № AQ5/2023/U/S/213534/0023L от 20.02.2025</t>
  </si>
  <si>
    <t>Договор № AQ5/2023/U/S/213534/0024L от 25.02.2025</t>
  </si>
  <si>
    <t>Договор № AQ5/2023/U/S/213534/0026L от 05.03.2025</t>
  </si>
  <si>
    <t>Договор № AQ5/2023/U/S/213534/0027L  от 28.03.2025</t>
  </si>
  <si>
    <t>Договор № AQ5/2023/U/S/229770/0025L от 05.03.2025</t>
  </si>
  <si>
    <t>Договор № AQ5/2023/U/S/229770/0027L от 11.03.2025</t>
  </si>
  <si>
    <t>Договор № AQ5/2023/U/S/229770/0028L  от 18.03.2025</t>
  </si>
  <si>
    <t>Договор № AQ5/2023/U/S/229770/0029L от 31.03.2025</t>
  </si>
  <si>
    <t>Договор № AQ5/2023/U/S/229770/0030L от 31.03.2025</t>
  </si>
  <si>
    <t>31 декабря 2024 (аудировано)</t>
  </si>
  <si>
    <t>За три месяца, закончившихся 31 марта 2025 (не аудировано)</t>
  </si>
  <si>
    <t>За три месяца, закончившихся 31 марта 2024 (не аудировано)</t>
  </si>
  <si>
    <t>Статьи затрат</t>
  </si>
  <si>
    <t>7110</t>
  </si>
  <si>
    <t>&lt;...&gt;</t>
  </si>
  <si>
    <t>7200</t>
  </si>
  <si>
    <t>Списание процентов по займам</t>
  </si>
  <si>
    <t>Отчисления ОСМС, ОПВР</t>
  </si>
  <si>
    <t>Охрана и сигнализация</t>
  </si>
  <si>
    <t>Прочие расходы</t>
  </si>
  <si>
    <t>Расходы на выпуск и содержание ценных бумаг</t>
  </si>
  <si>
    <t>Страхование работников и залогового имущества</t>
  </si>
  <si>
    <t>ИПН</t>
  </si>
  <si>
    <t>Пошлина в суд</t>
  </si>
  <si>
    <t>Прочие налоги и платежи</t>
  </si>
  <si>
    <t>Дебиторская задолженность на дату 31 марта 2025года представлена следующим образом:</t>
  </si>
  <si>
    <t>Компьютеры</t>
  </si>
  <si>
    <t xml:space="preserve">Прочие основные средства </t>
  </si>
  <si>
    <t>Первоначальная стоимость на 31.12.2024</t>
  </si>
  <si>
    <t>Накопленная амортизация на 31.12.2024</t>
  </si>
  <si>
    <t>Балансовая стоимость на 31.12.2024</t>
  </si>
  <si>
    <t>Поступление в течении 2025 года</t>
  </si>
  <si>
    <t>Начислена амортизация  за 2025 год</t>
  </si>
  <si>
    <t>Программное обеспечение</t>
  </si>
  <si>
    <t>Лицензии</t>
  </si>
  <si>
    <t>Первоначальная стоимость на 31.03.2025</t>
  </si>
  <si>
    <t>Накопленная амортизация на 31.03.2025</t>
  </si>
  <si>
    <t>Балансовая стоимость на 31.03.2025</t>
  </si>
  <si>
    <t>FIRST HEARTLAND JUSAN INVEST АО</t>
  </si>
  <si>
    <t>Headhunter.kz ТОО</t>
  </si>
  <si>
    <t>Lux-telekom ТОО</t>
  </si>
  <si>
    <t>V-Soft ТОО</t>
  </si>
  <si>
    <t>АУДИТ-МЕЧТА ТОО</t>
  </si>
  <si>
    <t>АФ АО "Казпочта" "Алматинский почтамп"</t>
  </si>
  <si>
    <t>Информационно-учетный центр АО</t>
  </si>
  <si>
    <t>Казахстанская фондовая биржа АО</t>
  </si>
  <si>
    <t>Мобайл Телеком-Сервис ТОО</t>
  </si>
  <si>
    <t>ОЮЛ Ассоциация Микрофинансовых организаций Казахст</t>
  </si>
  <si>
    <t>Первое Кредитное Бюро</t>
  </si>
  <si>
    <t>ЧУ "Офис микрофинансового омбудсмана"</t>
  </si>
  <si>
    <t>Резерв</t>
  </si>
  <si>
    <t>Авансы от заемщиков</t>
  </si>
  <si>
    <t>Обязательства по другим обязательным и добровольным платежам</t>
  </si>
  <si>
    <t>Тыс. казахстанских тенге</t>
  </si>
  <si>
    <t>31 декабря 2024 года</t>
  </si>
  <si>
    <t>Средняя годовая процентная ставка</t>
  </si>
  <si>
    <t>Ссуда работнику(учредителю)</t>
  </si>
  <si>
    <t>31 марта 2025 года</t>
  </si>
  <si>
    <t>Прочая дебиторская задолженность</t>
  </si>
  <si>
    <t xml:space="preserve">Итого финансовые активы </t>
  </si>
  <si>
    <t>Тыс. тенге</t>
  </si>
  <si>
    <t>Итого собственный капитал</t>
  </si>
  <si>
    <t>Итого активов</t>
  </si>
  <si>
    <t>Норматив достаточности капитала 1 уровня</t>
  </si>
  <si>
    <t>Совокупные обязательства</t>
  </si>
  <si>
    <t>Краткосрочные оценочные обязательства по вознаграждениям работников - резерв по отпускам</t>
  </si>
  <si>
    <t>АО "Банк ЦентрКредит" - вознаграждения по кредиту</t>
  </si>
  <si>
    <t>Купон по ЦБ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</si>
</sst>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,"/>
    <numFmt numFmtId="165" formatCode="#,##0.00;[Red]\-#,##0.00"/>
  </numFmts>
  <fonts count="53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1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7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</font>
    <font>
      <sz val="8"/>
      <color rgb="FFFF0000"/>
      <name val="Arial"/>
      <family val="2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9"/>
      <color indexed="21"/>
      <name val="Arial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sz val="7"/>
      <color rgb="FF000000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Arial"/>
      <family val="2"/>
      <charset val="204"/>
    </font>
    <font>
      <sz val="9"/>
      <color indexed="21"/>
      <name val="Arial"/>
      <family val="2"/>
      <charset val="204"/>
    </font>
    <font>
      <sz val="9"/>
      <name val="Arial"/>
      <family val="2"/>
      <charset val="204"/>
    </font>
    <font>
      <b/>
      <sz val="10"/>
      <color indexed="10"/>
      <name val="Arial"/>
      <family val="2"/>
    </font>
    <font>
      <sz val="9"/>
      <color indexed="10"/>
      <name val="Arial"/>
      <family val="2"/>
      <charset val="204"/>
    </font>
    <font>
      <sz val="9"/>
      <color indexed="21"/>
      <name val="Arial"/>
      <family val="2"/>
      <charset val="204"/>
    </font>
    <font>
      <i/>
      <sz val="10"/>
      <color rgb="FF000000"/>
      <name val="Times New Roman"/>
      <family val="1"/>
      <charset val="204"/>
    </font>
    <font>
      <sz val="9"/>
      <color indexed="21"/>
      <name val="Arial"/>
      <family val="2"/>
      <charset val="204"/>
    </font>
    <font>
      <sz val="9"/>
      <name val="Arial"/>
      <family val="2"/>
      <charset val="204"/>
    </font>
    <font>
      <i/>
      <sz val="11"/>
      <color theme="1"/>
      <name val="Times New Roman"/>
      <family val="1"/>
      <charset val="204"/>
    </font>
    <font>
      <sz val="9"/>
      <color theme="1"/>
      <name val="Arial"/>
      <family val="2"/>
      <charset val="204"/>
    </font>
    <font>
      <sz val="11"/>
      <color rgb="FFFF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indexed="2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9"/>
      <color indexed="21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  <border>
      <left style="thin">
        <color indexed="60"/>
      </left>
      <right style="thin">
        <color indexed="60"/>
      </right>
      <top/>
      <bottom style="thin">
        <color indexed="60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indexed="22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98">
    <xf numFmtId="0" fontId="0" fillId="0" borderId="0" xfId="0"/>
    <xf numFmtId="0" fontId="1" fillId="0" borderId="1" xfId="1" applyFont="1" applyFill="1" applyBorder="1"/>
    <xf numFmtId="0" fontId="5" fillId="0" borderId="0" xfId="1" applyNumberFormat="1" applyFont="1" applyFill="1" applyAlignment="1">
      <alignment horizontal="center" vertical="top"/>
    </xf>
    <xf numFmtId="0" fontId="1" fillId="0" borderId="1" xfId="1" applyFont="1" applyFill="1" applyBorder="1" applyAlignment="1">
      <alignment horizontal="center"/>
    </xf>
    <xf numFmtId="0" fontId="4" fillId="0" borderId="0" xfId="1" applyNumberFormat="1" applyFont="1" applyFill="1" applyBorder="1" applyAlignment="1">
      <alignment vertical="top" wrapText="1"/>
    </xf>
    <xf numFmtId="0" fontId="2" fillId="0" borderId="0" xfId="1" applyNumberFormat="1" applyFont="1" applyFill="1" applyAlignment="1"/>
    <xf numFmtId="0" fontId="3" fillId="0" borderId="0" xfId="1" applyNumberFormat="1" applyFont="1" applyFill="1" applyAlignment="1"/>
    <xf numFmtId="0" fontId="4" fillId="0" borderId="0" xfId="1" applyFont="1" applyFill="1"/>
    <xf numFmtId="0" fontId="4" fillId="0" borderId="1" xfId="1" applyNumberFormat="1" applyFont="1" applyFill="1" applyBorder="1" applyAlignment="1"/>
    <xf numFmtId="0" fontId="4" fillId="0" borderId="1" xfId="1" applyNumberFormat="1" applyFont="1" applyFill="1" applyBorder="1" applyAlignment="1">
      <alignment wrapText="1"/>
    </xf>
    <xf numFmtId="0" fontId="5" fillId="0" borderId="0" xfId="1" applyNumberFormat="1" applyFont="1" applyFill="1" applyAlignment="1">
      <alignment vertical="top"/>
    </xf>
    <xf numFmtId="0" fontId="4" fillId="0" borderId="0" xfId="1" applyNumberFormat="1" applyFont="1" applyFill="1" applyAlignment="1">
      <alignment horizontal="left"/>
    </xf>
    <xf numFmtId="0" fontId="1" fillId="0" borderId="0" xfId="1" applyFont="1" applyFill="1"/>
    <xf numFmtId="0" fontId="8" fillId="0" borderId="0" xfId="0" applyFont="1" applyFill="1"/>
    <xf numFmtId="0" fontId="9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right" vertical="center" wrapText="1"/>
    </xf>
    <xf numFmtId="0" fontId="10" fillId="0" borderId="2" xfId="0" applyFont="1" applyFill="1" applyBorder="1" applyAlignment="1">
      <alignment vertical="center" wrapText="1"/>
    </xf>
    <xf numFmtId="3" fontId="9" fillId="0" borderId="2" xfId="0" applyNumberFormat="1" applyFont="1" applyFill="1" applyBorder="1" applyAlignment="1">
      <alignment horizontal="right" vertical="center" wrapText="1"/>
    </xf>
    <xf numFmtId="3" fontId="11" fillId="0" borderId="2" xfId="0" applyNumberFormat="1" applyFont="1" applyFill="1" applyBorder="1" applyAlignment="1">
      <alignment horizontal="right" vertical="center" wrapText="1"/>
    </xf>
    <xf numFmtId="3" fontId="10" fillId="0" borderId="2" xfId="0" applyNumberFormat="1" applyFont="1" applyFill="1" applyBorder="1" applyAlignment="1">
      <alignment horizontal="right" vertical="center" wrapText="1"/>
    </xf>
    <xf numFmtId="3" fontId="8" fillId="0" borderId="0" xfId="0" applyNumberFormat="1" applyFont="1" applyFill="1"/>
    <xf numFmtId="3" fontId="9" fillId="0" borderId="2" xfId="0" applyNumberFormat="1" applyFont="1" applyFill="1" applyBorder="1" applyAlignment="1">
      <alignment horizontal="right" vertical="top" wrapText="1"/>
    </xf>
    <xf numFmtId="0" fontId="13" fillId="0" borderId="0" xfId="0" applyFont="1" applyAlignment="1">
      <alignment vertical="top" wrapText="1"/>
    </xf>
    <xf numFmtId="0" fontId="13" fillId="0" borderId="0" xfId="0" applyFont="1" applyBorder="1" applyAlignment="1">
      <alignment vertical="top" wrapText="1"/>
    </xf>
    <xf numFmtId="0" fontId="10" fillId="0" borderId="0" xfId="4" applyFont="1" applyAlignment="1">
      <alignment vertical="top" wrapText="1"/>
    </xf>
    <xf numFmtId="0" fontId="10" fillId="0" borderId="0" xfId="1" applyNumberFormat="1" applyFont="1" applyAlignment="1"/>
    <xf numFmtId="0" fontId="10" fillId="0" borderId="0" xfId="1" applyNumberFormat="1" applyFont="1" applyAlignment="1">
      <alignment horizontal="center"/>
    </xf>
    <xf numFmtId="0" fontId="9" fillId="0" borderId="2" xfId="4" applyNumberFormat="1" applyFont="1" applyBorder="1" applyAlignment="1">
      <alignment horizontal="center" vertical="top" wrapText="1"/>
    </xf>
    <xf numFmtId="0" fontId="10" fillId="0" borderId="2" xfId="4" applyNumberFormat="1" applyFont="1" applyBorder="1" applyAlignment="1">
      <alignment horizontal="center" vertical="top" wrapText="1"/>
    </xf>
    <xf numFmtId="0" fontId="9" fillId="0" borderId="2" xfId="4" applyNumberFormat="1" applyFont="1" applyBorder="1" applyAlignment="1">
      <alignment horizontal="left" vertical="top" wrapText="1"/>
    </xf>
    <xf numFmtId="3" fontId="9" fillId="2" borderId="2" xfId="4" applyNumberFormat="1" applyFont="1" applyFill="1" applyBorder="1" applyAlignment="1">
      <alignment horizontal="right" vertical="top" wrapText="1"/>
    </xf>
    <xf numFmtId="3" fontId="9" fillId="2" borderId="2" xfId="4" applyNumberFormat="1" applyFont="1" applyFill="1" applyBorder="1" applyAlignment="1">
      <alignment vertical="top" wrapText="1"/>
    </xf>
    <xf numFmtId="3" fontId="9" fillId="0" borderId="2" xfId="4" applyNumberFormat="1" applyFont="1" applyBorder="1" applyAlignment="1">
      <alignment horizontal="right" vertical="top" wrapText="1"/>
    </xf>
    <xf numFmtId="0" fontId="10" fillId="0" borderId="2" xfId="4" applyNumberFormat="1" applyFont="1" applyBorder="1" applyAlignment="1">
      <alignment horizontal="left" vertical="top" wrapText="1"/>
    </xf>
    <xf numFmtId="3" fontId="10" fillId="2" borderId="2" xfId="4" applyNumberFormat="1" applyFont="1" applyFill="1" applyBorder="1" applyAlignment="1">
      <alignment horizontal="right" vertical="top" wrapText="1"/>
    </xf>
    <xf numFmtId="3" fontId="10" fillId="2" borderId="2" xfId="4" applyNumberFormat="1" applyFont="1" applyFill="1" applyBorder="1" applyAlignment="1">
      <alignment vertical="top" wrapText="1"/>
    </xf>
    <xf numFmtId="3" fontId="9" fillId="0" borderId="2" xfId="4" applyNumberFormat="1" applyFont="1" applyBorder="1" applyAlignment="1">
      <alignment vertical="top" wrapText="1"/>
    </xf>
    <xf numFmtId="3" fontId="10" fillId="0" borderId="2" xfId="4" applyNumberFormat="1" applyFont="1" applyBorder="1" applyAlignment="1">
      <alignment horizontal="right" vertical="top" wrapText="1"/>
    </xf>
    <xf numFmtId="0" fontId="10" fillId="0" borderId="2" xfId="4" applyNumberFormat="1" applyFont="1" applyBorder="1" applyAlignment="1">
      <alignment horizontal="left" vertical="center" wrapText="1"/>
    </xf>
    <xf numFmtId="3" fontId="10" fillId="2" borderId="2" xfId="4" applyNumberFormat="1" applyFont="1" applyFill="1" applyBorder="1" applyAlignment="1">
      <alignment horizontal="right" vertical="center" wrapText="1"/>
    </xf>
    <xf numFmtId="3" fontId="10" fillId="2" borderId="2" xfId="4" applyNumberFormat="1" applyFont="1" applyFill="1" applyBorder="1" applyAlignment="1">
      <alignment vertical="center" wrapText="1"/>
    </xf>
    <xf numFmtId="3" fontId="9" fillId="0" borderId="2" xfId="4" applyNumberFormat="1" applyFont="1" applyBorder="1" applyAlignment="1">
      <alignment vertical="center" wrapText="1"/>
    </xf>
    <xf numFmtId="0" fontId="10" fillId="0" borderId="0" xfId="4" applyFont="1"/>
    <xf numFmtId="3" fontId="10" fillId="2" borderId="2" xfId="4" applyNumberFormat="1" applyFont="1" applyFill="1" applyBorder="1" applyAlignment="1">
      <alignment horizontal="right" vertical="center"/>
    </xf>
    <xf numFmtId="3" fontId="10" fillId="2" borderId="2" xfId="4" applyNumberFormat="1" applyFont="1" applyFill="1" applyBorder="1" applyAlignment="1">
      <alignment vertical="center"/>
    </xf>
    <xf numFmtId="3" fontId="9" fillId="0" borderId="2" xfId="4" applyNumberFormat="1" applyFont="1" applyBorder="1" applyAlignment="1">
      <alignment vertical="center"/>
    </xf>
    <xf numFmtId="3" fontId="9" fillId="0" borderId="2" xfId="4" applyNumberFormat="1" applyFont="1" applyBorder="1" applyAlignment="1">
      <alignment horizontal="right" vertical="center"/>
    </xf>
    <xf numFmtId="0" fontId="10" fillId="0" borderId="0" xfId="4" applyFont="1" applyBorder="1"/>
    <xf numFmtId="3" fontId="10" fillId="0" borderId="2" xfId="4" applyNumberFormat="1" applyFont="1" applyBorder="1" applyAlignment="1">
      <alignment horizontal="center" vertical="center" wrapText="1"/>
    </xf>
    <xf numFmtId="0" fontId="10" fillId="0" borderId="2" xfId="4" applyNumberFormat="1" applyFont="1" applyBorder="1" applyAlignment="1">
      <alignment horizontal="center" vertical="center"/>
    </xf>
    <xf numFmtId="3" fontId="10" fillId="0" borderId="2" xfId="4" applyNumberFormat="1" applyFont="1" applyBorder="1" applyAlignment="1">
      <alignment horizontal="center" vertical="center"/>
    </xf>
    <xf numFmtId="3" fontId="10" fillId="0" borderId="2" xfId="4" applyNumberFormat="1" applyFont="1" applyBorder="1" applyAlignment="1">
      <alignment horizontal="center"/>
    </xf>
    <xf numFmtId="0" fontId="9" fillId="0" borderId="2" xfId="4" applyNumberFormat="1" applyFont="1" applyBorder="1" applyAlignment="1">
      <alignment horizontal="left" vertical="center" wrapText="1"/>
    </xf>
    <xf numFmtId="3" fontId="9" fillId="0" borderId="2" xfId="4" applyNumberFormat="1" applyFont="1" applyBorder="1" applyAlignment="1">
      <alignment horizontal="right" vertical="center" wrapText="1"/>
    </xf>
    <xf numFmtId="3" fontId="10" fillId="0" borderId="0" xfId="4" applyNumberFormat="1" applyFont="1"/>
    <xf numFmtId="3" fontId="9" fillId="2" borderId="2" xfId="4" applyNumberFormat="1" applyFont="1" applyFill="1" applyBorder="1" applyAlignment="1">
      <alignment vertical="center"/>
    </xf>
    <xf numFmtId="0" fontId="9" fillId="0" borderId="0" xfId="4" applyFont="1"/>
    <xf numFmtId="0" fontId="9" fillId="2" borderId="1" xfId="4" applyNumberFormat="1" applyFont="1" applyFill="1" applyBorder="1" applyAlignment="1"/>
    <xf numFmtId="0" fontId="10" fillId="0" borderId="1" xfId="4" applyFont="1" applyBorder="1"/>
    <xf numFmtId="0" fontId="10" fillId="0" borderId="0" xfId="4" applyNumberFormat="1" applyFont="1" applyAlignment="1">
      <alignment vertical="top"/>
    </xf>
    <xf numFmtId="0" fontId="10" fillId="0" borderId="0" xfId="4" applyNumberFormat="1" applyFont="1" applyAlignment="1">
      <alignment horizontal="center" vertical="top"/>
    </xf>
    <xf numFmtId="0" fontId="9" fillId="0" borderId="0" xfId="4" applyNumberFormat="1" applyFont="1" applyAlignment="1">
      <alignment horizontal="left"/>
    </xf>
    <xf numFmtId="0" fontId="9" fillId="2" borderId="1" xfId="4" applyNumberFormat="1" applyFont="1" applyFill="1" applyBorder="1" applyAlignment="1">
      <alignment wrapText="1"/>
    </xf>
    <xf numFmtId="0" fontId="10" fillId="0" borderId="0" xfId="1" applyFont="1" applyFill="1"/>
    <xf numFmtId="0" fontId="10" fillId="0" borderId="0" xfId="1" applyNumberFormat="1" applyFont="1" applyFill="1" applyAlignment="1">
      <alignment horizontal="right" indent="5"/>
    </xf>
    <xf numFmtId="0" fontId="0" fillId="0" borderId="0" xfId="0" applyAlignment="1"/>
    <xf numFmtId="0" fontId="0" fillId="0" borderId="0" xfId="0" applyAlignment="1">
      <alignment wrapText="1"/>
    </xf>
    <xf numFmtId="0" fontId="14" fillId="0" borderId="0" xfId="0" applyFont="1" applyFill="1"/>
    <xf numFmtId="3" fontId="10" fillId="6" borderId="2" xfId="0" applyNumberFormat="1" applyFont="1" applyFill="1" applyBorder="1" applyAlignment="1">
      <alignment horizontal="right" vertical="center" wrapText="1"/>
    </xf>
    <xf numFmtId="3" fontId="19" fillId="0" borderId="0" xfId="1" applyNumberFormat="1" applyFont="1" applyFill="1"/>
    <xf numFmtId="0" fontId="19" fillId="0" borderId="0" xfId="1" applyFont="1" applyFill="1"/>
    <xf numFmtId="0" fontId="21" fillId="0" borderId="0" xfId="2" applyFont="1" applyAlignment="1">
      <alignment vertical="top"/>
    </xf>
    <xf numFmtId="0" fontId="22" fillId="0" borderId="0" xfId="0" applyFont="1" applyAlignment="1">
      <alignment vertical="top"/>
    </xf>
    <xf numFmtId="0" fontId="22" fillId="0" borderId="0" xfId="0" applyFont="1" applyAlignment="1">
      <alignment horizontal="left" vertical="top" wrapText="1"/>
    </xf>
    <xf numFmtId="0" fontId="21" fillId="0" borderId="0" xfId="2" applyFont="1" applyAlignment="1">
      <alignment horizontal="left" vertical="top" wrapText="1"/>
    </xf>
    <xf numFmtId="0" fontId="23" fillId="0" borderId="2" xfId="2" applyNumberFormat="1" applyFont="1" applyBorder="1" applyAlignment="1">
      <alignment horizontal="centerContinuous" vertical="top" wrapText="1"/>
    </xf>
    <xf numFmtId="0" fontId="23" fillId="0" borderId="2" xfId="2" applyNumberFormat="1" applyFont="1" applyBorder="1" applyAlignment="1">
      <alignment horizontal="center" vertical="top" wrapText="1"/>
    </xf>
    <xf numFmtId="3" fontId="21" fillId="2" borderId="2" xfId="2" applyNumberFormat="1" applyFont="1" applyFill="1" applyBorder="1" applyAlignment="1">
      <alignment horizontal="left" vertical="top" wrapText="1"/>
    </xf>
    <xf numFmtId="0" fontId="22" fillId="0" borderId="2" xfId="0" applyFont="1" applyBorder="1" applyAlignment="1">
      <alignment vertical="top"/>
    </xf>
    <xf numFmtId="3" fontId="20" fillId="0" borderId="2" xfId="0" applyNumberFormat="1" applyFont="1" applyBorder="1" applyAlignment="1">
      <alignment horizontal="left" vertical="top"/>
    </xf>
    <xf numFmtId="3" fontId="21" fillId="0" borderId="2" xfId="2" applyNumberFormat="1" applyFont="1" applyFill="1" applyBorder="1" applyAlignment="1">
      <alignment horizontal="left" vertical="top" wrapText="1"/>
    </xf>
    <xf numFmtId="3" fontId="23" fillId="0" borderId="2" xfId="2" applyNumberFormat="1" applyFont="1" applyBorder="1" applyAlignment="1">
      <alignment horizontal="left" vertical="top" wrapText="1"/>
    </xf>
    <xf numFmtId="3" fontId="21" fillId="0" borderId="2" xfId="2" applyNumberFormat="1" applyFont="1" applyBorder="1" applyAlignment="1">
      <alignment horizontal="left" vertical="top" wrapText="1"/>
    </xf>
    <xf numFmtId="0" fontId="23" fillId="0" borderId="0" xfId="2" applyNumberFormat="1" applyFont="1" applyBorder="1" applyAlignment="1">
      <alignment horizontal="left" vertical="top" wrapText="1"/>
    </xf>
    <xf numFmtId="0" fontId="23" fillId="0" borderId="0" xfId="2" applyNumberFormat="1" applyFont="1" applyBorder="1" applyAlignment="1">
      <alignment horizontal="center" vertical="top" wrapText="1"/>
    </xf>
    <xf numFmtId="164" fontId="23" fillId="0" borderId="0" xfId="2" applyNumberFormat="1" applyFont="1" applyBorder="1" applyAlignment="1">
      <alignment horizontal="left" vertical="top" wrapText="1"/>
    </xf>
    <xf numFmtId="0" fontId="21" fillId="0" borderId="0" xfId="3" applyNumberFormat="1" applyFont="1" applyBorder="1" applyAlignment="1">
      <alignment vertical="top"/>
    </xf>
    <xf numFmtId="0" fontId="21" fillId="0" borderId="0" xfId="3" applyNumberFormat="1" applyFont="1" applyBorder="1" applyAlignment="1">
      <alignment horizontal="center" vertical="top"/>
    </xf>
    <xf numFmtId="0" fontId="23" fillId="2" borderId="0" xfId="3" applyNumberFormat="1" applyFont="1" applyFill="1" applyBorder="1" applyAlignment="1">
      <alignment vertical="top" wrapText="1"/>
    </xf>
    <xf numFmtId="0" fontId="21" fillId="0" borderId="0" xfId="3" applyFont="1" applyAlignment="1">
      <alignment vertical="top"/>
    </xf>
    <xf numFmtId="0" fontId="23" fillId="0" borderId="0" xfId="3" applyNumberFormat="1" applyFont="1" applyAlignment="1">
      <alignment vertical="top"/>
    </xf>
    <xf numFmtId="0" fontId="21" fillId="0" borderId="0" xfId="3" applyFont="1" applyAlignment="1">
      <alignment vertical="top" wrapText="1"/>
    </xf>
    <xf numFmtId="0" fontId="21" fillId="0" borderId="0" xfId="3" applyFont="1" applyFill="1" applyAlignment="1">
      <alignment vertical="top"/>
    </xf>
    <xf numFmtId="0" fontId="21" fillId="0" borderId="0" xfId="3" applyNumberFormat="1" applyFont="1" applyFill="1" applyAlignment="1">
      <alignment horizontal="left" vertical="top"/>
    </xf>
    <xf numFmtId="0" fontId="21" fillId="0" borderId="2" xfId="3" applyNumberFormat="1" applyFont="1" applyFill="1" applyBorder="1" applyAlignment="1">
      <alignment horizontal="center" vertical="top"/>
    </xf>
    <xf numFmtId="3" fontId="23" fillId="0" borderId="2" xfId="3" applyNumberFormat="1" applyFont="1" applyFill="1" applyBorder="1" applyAlignment="1">
      <alignment horizontal="right" vertical="top"/>
    </xf>
    <xf numFmtId="0" fontId="23" fillId="0" borderId="0" xfId="3" applyFont="1" applyAlignment="1">
      <alignment vertical="top"/>
    </xf>
    <xf numFmtId="0" fontId="20" fillId="0" borderId="0" xfId="0" applyFont="1" applyAlignment="1">
      <alignment vertical="top"/>
    </xf>
    <xf numFmtId="3" fontId="21" fillId="0" borderId="2" xfId="3" applyNumberFormat="1" applyFont="1" applyFill="1" applyBorder="1" applyAlignment="1">
      <alignment horizontal="right" vertical="top"/>
    </xf>
    <xf numFmtId="4" fontId="22" fillId="0" borderId="0" xfId="0" applyNumberFormat="1" applyFont="1" applyAlignment="1">
      <alignment vertical="top"/>
    </xf>
    <xf numFmtId="164" fontId="21" fillId="0" borderId="0" xfId="3" applyNumberFormat="1" applyFont="1" applyAlignment="1">
      <alignment vertical="top"/>
    </xf>
    <xf numFmtId="4" fontId="22" fillId="5" borderId="0" xfId="0" applyNumberFormat="1" applyFont="1" applyFill="1" applyAlignment="1">
      <alignment vertical="top"/>
    </xf>
    <xf numFmtId="3" fontId="23" fillId="0" borderId="5" xfId="3" applyNumberFormat="1" applyFont="1" applyFill="1" applyBorder="1" applyAlignment="1">
      <alignment horizontal="right" vertical="top"/>
    </xf>
    <xf numFmtId="4" fontId="20" fillId="0" borderId="0" xfId="0" applyNumberFormat="1" applyFont="1" applyAlignment="1">
      <alignment vertical="top"/>
    </xf>
    <xf numFmtId="3" fontId="21" fillId="0" borderId="5" xfId="3" applyNumberFormat="1" applyFont="1" applyFill="1" applyBorder="1" applyAlignment="1">
      <alignment horizontal="right" vertical="top"/>
    </xf>
    <xf numFmtId="4" fontId="22" fillId="4" borderId="0" xfId="0" applyNumberFormat="1" applyFont="1" applyFill="1" applyAlignment="1">
      <alignment vertical="top"/>
    </xf>
    <xf numFmtId="3" fontId="22" fillId="0" borderId="0" xfId="0" applyNumberFormat="1" applyFont="1" applyAlignment="1">
      <alignment vertical="top"/>
    </xf>
    <xf numFmtId="3" fontId="21" fillId="0" borderId="6" xfId="3" applyNumberFormat="1" applyFont="1" applyFill="1" applyBorder="1" applyAlignment="1">
      <alignment horizontal="right" vertical="top"/>
    </xf>
    <xf numFmtId="3" fontId="22" fillId="0" borderId="5" xfId="0" applyNumberFormat="1" applyFont="1" applyFill="1" applyBorder="1" applyAlignment="1">
      <alignment vertical="top"/>
    </xf>
    <xf numFmtId="3" fontId="21" fillId="0" borderId="0" xfId="3" applyNumberFormat="1" applyFont="1" applyFill="1" applyAlignment="1">
      <alignment vertical="top"/>
    </xf>
    <xf numFmtId="3" fontId="21" fillId="0" borderId="2" xfId="3" applyNumberFormat="1" applyFont="1" applyFill="1" applyBorder="1" applyAlignment="1">
      <alignment horizontal="center" vertical="top"/>
    </xf>
    <xf numFmtId="3" fontId="21" fillId="0" borderId="3" xfId="3" applyNumberFormat="1" applyFont="1" applyFill="1" applyBorder="1" applyAlignment="1">
      <alignment horizontal="right" vertical="top"/>
    </xf>
    <xf numFmtId="0" fontId="23" fillId="0" borderId="0" xfId="3" applyNumberFormat="1" applyFont="1" applyAlignment="1">
      <alignment horizontal="left" vertical="top"/>
    </xf>
    <xf numFmtId="0" fontId="22" fillId="0" borderId="0" xfId="0" applyFont="1" applyAlignment="1">
      <alignment vertical="top" wrapText="1"/>
    </xf>
    <xf numFmtId="0" fontId="22" fillId="0" borderId="0" xfId="0" applyFont="1" applyFill="1" applyAlignment="1">
      <alignment vertical="top"/>
    </xf>
    <xf numFmtId="0" fontId="15" fillId="0" borderId="0" xfId="3" applyNumberFormat="1" applyFont="1" applyAlignment="1">
      <alignment wrapText="1"/>
    </xf>
    <xf numFmtId="0" fontId="1" fillId="0" borderId="0" xfId="3"/>
    <xf numFmtId="0" fontId="25" fillId="2" borderId="11" xfId="3" applyNumberFormat="1" applyFont="1" applyFill="1" applyBorder="1" applyAlignment="1">
      <alignment vertical="top" wrapText="1"/>
    </xf>
    <xf numFmtId="0" fontId="25" fillId="2" borderId="12" xfId="3" applyNumberFormat="1" applyFont="1" applyFill="1" applyBorder="1" applyAlignment="1">
      <alignment vertical="top"/>
    </xf>
    <xf numFmtId="0" fontId="25" fillId="2" borderId="12" xfId="3" applyNumberFormat="1" applyFont="1" applyFill="1" applyBorder="1" applyAlignment="1">
      <alignment vertical="top" wrapText="1"/>
    </xf>
    <xf numFmtId="4" fontId="25" fillId="2" borderId="12" xfId="3" applyNumberFormat="1" applyFont="1" applyFill="1" applyBorder="1" applyAlignment="1">
      <alignment horizontal="right" vertical="top" wrapText="1"/>
    </xf>
    <xf numFmtId="0" fontId="25" fillId="2" borderId="12" xfId="3" applyNumberFormat="1" applyFont="1" applyFill="1" applyBorder="1" applyAlignment="1">
      <alignment horizontal="right" vertical="top" wrapText="1"/>
    </xf>
    <xf numFmtId="0" fontId="3" fillId="0" borderId="12" xfId="3" applyNumberFormat="1" applyFont="1" applyBorder="1" applyAlignment="1">
      <alignment vertical="top" indent="2"/>
    </xf>
    <xf numFmtId="0" fontId="3" fillId="0" borderId="12" xfId="3" applyNumberFormat="1" applyFont="1" applyBorder="1" applyAlignment="1">
      <alignment vertical="top" indent="4"/>
    </xf>
    <xf numFmtId="0" fontId="3" fillId="0" borderId="12" xfId="3" applyNumberFormat="1" applyFont="1" applyBorder="1" applyAlignment="1">
      <alignment vertical="top" indent="6"/>
    </xf>
    <xf numFmtId="0" fontId="16" fillId="0" borderId="0" xfId="3" applyNumberFormat="1" applyFont="1" applyAlignment="1"/>
    <xf numFmtId="0" fontId="1" fillId="0" borderId="0" xfId="3" applyAlignment="1"/>
    <xf numFmtId="0" fontId="17" fillId="0" borderId="0" xfId="3" applyNumberFormat="1" applyFont="1" applyAlignment="1">
      <alignment vertical="top"/>
    </xf>
    <xf numFmtId="3" fontId="22" fillId="4" borderId="0" xfId="0" applyNumberFormat="1" applyFont="1" applyFill="1" applyAlignment="1">
      <alignment vertical="top"/>
    </xf>
    <xf numFmtId="3" fontId="20" fillId="0" borderId="0" xfId="0" applyNumberFormat="1" applyFont="1" applyAlignment="1">
      <alignment vertical="top"/>
    </xf>
    <xf numFmtId="0" fontId="22" fillId="4" borderId="0" xfId="0" applyFont="1" applyFill="1" applyAlignment="1">
      <alignment vertical="top"/>
    </xf>
    <xf numFmtId="3" fontId="21" fillId="0" borderId="0" xfId="3" applyNumberFormat="1" applyFont="1" applyAlignment="1">
      <alignment vertical="top"/>
    </xf>
    <xf numFmtId="0" fontId="30" fillId="0" borderId="0" xfId="0" applyFont="1" applyAlignment="1">
      <alignment vertical="center" wrapText="1"/>
    </xf>
    <xf numFmtId="4" fontId="3" fillId="0" borderId="12" xfId="6" applyNumberFormat="1" applyFont="1" applyBorder="1" applyAlignment="1">
      <alignment horizontal="right" vertical="top" wrapText="1"/>
    </xf>
    <xf numFmtId="3" fontId="30" fillId="0" borderId="0" xfId="0" applyNumberFormat="1" applyFont="1" applyAlignment="1">
      <alignment horizontal="right" vertical="center" wrapText="1"/>
    </xf>
    <xf numFmtId="0" fontId="26" fillId="0" borderId="0" xfId="0" applyFont="1" applyAlignment="1">
      <alignment vertical="center" wrapText="1"/>
    </xf>
    <xf numFmtId="0" fontId="30" fillId="0" borderId="0" xfId="0" applyFont="1" applyAlignment="1">
      <alignment horizontal="right" vertical="center" wrapText="1"/>
    </xf>
    <xf numFmtId="3" fontId="28" fillId="0" borderId="18" xfId="0" applyNumberFormat="1" applyFont="1" applyBorder="1" applyAlignment="1">
      <alignment horizontal="right" vertical="center" wrapText="1"/>
    </xf>
    <xf numFmtId="3" fontId="28" fillId="7" borderId="18" xfId="0" applyNumberFormat="1" applyFont="1" applyFill="1" applyBorder="1" applyAlignment="1">
      <alignment horizontal="right" vertical="center" wrapText="1"/>
    </xf>
    <xf numFmtId="14" fontId="9" fillId="0" borderId="1" xfId="1" applyNumberFormat="1" applyFont="1" applyFill="1" applyBorder="1" applyAlignment="1">
      <alignment horizontal="center" vertical="top" wrapText="1"/>
    </xf>
    <xf numFmtId="0" fontId="12" fillId="0" borderId="1" xfId="0" applyFont="1" applyBorder="1" applyAlignment="1">
      <alignment horizontal="right" vertical="center" wrapText="1"/>
    </xf>
    <xf numFmtId="0" fontId="12" fillId="0" borderId="0" xfId="0" applyFont="1" applyAlignment="1">
      <alignment horizontal="center" vertical="center" wrapText="1"/>
    </xf>
    <xf numFmtId="0" fontId="30" fillId="7" borderId="0" xfId="0" applyFont="1" applyFill="1" applyAlignment="1">
      <alignment horizontal="right" vertical="center" wrapText="1"/>
    </xf>
    <xf numFmtId="0" fontId="28" fillId="7" borderId="18" xfId="0" applyFont="1" applyFill="1" applyBorder="1" applyAlignment="1">
      <alignment horizontal="right" vertical="center" wrapText="1"/>
    </xf>
    <xf numFmtId="4" fontId="25" fillId="2" borderId="11" xfId="6" applyNumberFormat="1" applyFont="1" applyFill="1" applyBorder="1" applyAlignment="1">
      <alignment horizontal="right" vertical="top" wrapText="1"/>
    </xf>
    <xf numFmtId="0" fontId="3" fillId="0" borderId="12" xfId="6" applyNumberFormat="1" applyFont="1" applyBorder="1" applyAlignment="1">
      <alignment vertical="top" wrapText="1"/>
    </xf>
    <xf numFmtId="0" fontId="28" fillId="0" borderId="0" xfId="0" applyFont="1" applyAlignment="1">
      <alignment vertical="center" wrapText="1"/>
    </xf>
    <xf numFmtId="0" fontId="9" fillId="0" borderId="2" xfId="0" applyFont="1" applyFill="1" applyBorder="1" applyAlignment="1">
      <alignment vertical="top" wrapText="1"/>
    </xf>
    <xf numFmtId="0" fontId="0" fillId="0" borderId="0" xfId="0" applyAlignment="1">
      <alignment vertical="top"/>
    </xf>
    <xf numFmtId="0" fontId="10" fillId="0" borderId="2" xfId="0" applyFont="1" applyFill="1" applyBorder="1" applyAlignment="1">
      <alignment vertical="top" wrapText="1"/>
    </xf>
    <xf numFmtId="3" fontId="10" fillId="0" borderId="2" xfId="0" applyNumberFormat="1" applyFont="1" applyFill="1" applyBorder="1" applyAlignment="1">
      <alignment horizontal="right" vertical="top" wrapText="1"/>
    </xf>
    <xf numFmtId="3" fontId="0" fillId="0" borderId="0" xfId="0" applyNumberFormat="1" applyAlignment="1">
      <alignment vertical="top"/>
    </xf>
    <xf numFmtId="0" fontId="0" fillId="0" borderId="0" xfId="0" applyFill="1" applyBorder="1" applyAlignment="1">
      <alignment vertical="top"/>
    </xf>
    <xf numFmtId="3" fontId="0" fillId="0" borderId="0" xfId="0" applyNumberFormat="1" applyFill="1" applyBorder="1" applyAlignment="1">
      <alignment vertical="top"/>
    </xf>
    <xf numFmtId="0" fontId="12" fillId="0" borderId="1" xfId="0" applyFont="1" applyBorder="1" applyAlignment="1">
      <alignment vertical="top" wrapText="1"/>
    </xf>
    <xf numFmtId="0" fontId="30" fillId="0" borderId="0" xfId="0" applyFont="1" applyAlignment="1">
      <alignment vertical="top" wrapText="1"/>
    </xf>
    <xf numFmtId="3" fontId="30" fillId="0" borderId="0" xfId="0" applyNumberFormat="1" applyFont="1" applyBorder="1" applyAlignment="1">
      <alignment vertical="top" wrapText="1"/>
    </xf>
    <xf numFmtId="3" fontId="30" fillId="0" borderId="0" xfId="0" applyNumberFormat="1" applyFont="1" applyAlignment="1">
      <alignment horizontal="right" vertical="top" wrapText="1"/>
    </xf>
    <xf numFmtId="0" fontId="30" fillId="0" borderId="17" xfId="0" applyFont="1" applyBorder="1" applyAlignment="1">
      <alignment vertical="top" wrapText="1"/>
    </xf>
    <xf numFmtId="0" fontId="28" fillId="0" borderId="0" xfId="0" applyFont="1" applyAlignment="1">
      <alignment vertical="top" wrapText="1"/>
    </xf>
    <xf numFmtId="3" fontId="28" fillId="7" borderId="18" xfId="0" applyNumberFormat="1" applyFont="1" applyFill="1" applyBorder="1" applyAlignment="1">
      <alignment vertical="top" wrapText="1"/>
    </xf>
    <xf numFmtId="3" fontId="30" fillId="7" borderId="0" xfId="0" applyNumberFormat="1" applyFont="1" applyFill="1" applyAlignment="1">
      <alignment horizontal="right" vertical="center" wrapText="1"/>
    </xf>
    <xf numFmtId="0" fontId="27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3" fontId="1" fillId="0" borderId="0" xfId="6" applyNumberFormat="1" applyAlignment="1">
      <alignment vertical="top"/>
    </xf>
    <xf numFmtId="3" fontId="3" fillId="0" borderId="12" xfId="6" applyNumberFormat="1" applyFont="1" applyBorder="1" applyAlignment="1">
      <alignment horizontal="right" vertical="top" wrapText="1"/>
    </xf>
    <xf numFmtId="3" fontId="24" fillId="0" borderId="12" xfId="6" applyNumberFormat="1" applyFont="1" applyBorder="1" applyAlignment="1">
      <alignment horizontal="right" vertical="top" wrapText="1"/>
    </xf>
    <xf numFmtId="0" fontId="12" fillId="0" borderId="17" xfId="0" applyFont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3" fontId="13" fillId="0" borderId="0" xfId="0" applyNumberFormat="1" applyFont="1" applyAlignment="1">
      <alignment horizontal="right" vertical="center" wrapText="1"/>
    </xf>
    <xf numFmtId="10" fontId="13" fillId="0" borderId="0" xfId="0" applyNumberFormat="1" applyFont="1" applyAlignment="1">
      <alignment horizontal="right" vertical="center" wrapText="1"/>
    </xf>
    <xf numFmtId="3" fontId="13" fillId="0" borderId="17" xfId="0" applyNumberFormat="1" applyFont="1" applyBorder="1" applyAlignment="1">
      <alignment horizontal="right" vertical="center" wrapText="1"/>
    </xf>
    <xf numFmtId="10" fontId="13" fillId="0" borderId="17" xfId="0" applyNumberFormat="1" applyFont="1" applyBorder="1" applyAlignment="1">
      <alignment horizontal="right" vertical="center" wrapText="1"/>
    </xf>
    <xf numFmtId="3" fontId="12" fillId="0" borderId="0" xfId="0" applyNumberFormat="1" applyFont="1" applyAlignment="1">
      <alignment horizontal="right" vertical="center" wrapText="1"/>
    </xf>
    <xf numFmtId="9" fontId="12" fillId="0" borderId="0" xfId="0" applyNumberFormat="1" applyFont="1" applyAlignment="1">
      <alignment horizontal="right" vertical="center" wrapText="1"/>
    </xf>
    <xf numFmtId="0" fontId="30" fillId="0" borderId="0" xfId="0" applyFont="1" applyAlignment="1">
      <alignment vertical="center"/>
    </xf>
    <xf numFmtId="0" fontId="29" fillId="0" borderId="0" xfId="0" applyFont="1" applyAlignment="1">
      <alignment vertical="center" wrapText="1"/>
    </xf>
    <xf numFmtId="0" fontId="28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7" borderId="19" xfId="0" applyFont="1" applyFill="1" applyBorder="1" applyAlignment="1">
      <alignment horizontal="right" vertical="center" wrapText="1"/>
    </xf>
    <xf numFmtId="10" fontId="13" fillId="0" borderId="0" xfId="0" applyNumberFormat="1" applyFont="1" applyAlignment="1">
      <alignment vertical="center" wrapText="1"/>
    </xf>
    <xf numFmtId="10" fontId="13" fillId="0" borderId="17" xfId="0" applyNumberFormat="1" applyFont="1" applyBorder="1" applyAlignment="1">
      <alignment vertical="center" wrapText="1"/>
    </xf>
    <xf numFmtId="9" fontId="12" fillId="0" borderId="0" xfId="0" applyNumberFormat="1" applyFont="1" applyAlignment="1">
      <alignment vertical="center" wrapText="1"/>
    </xf>
    <xf numFmtId="0" fontId="3" fillId="0" borderId="0" xfId="6" applyNumberFormat="1" applyFont="1" applyBorder="1" applyAlignment="1">
      <alignment vertical="top" wrapText="1"/>
    </xf>
    <xf numFmtId="0" fontId="4" fillId="0" borderId="12" xfId="6" applyNumberFormat="1" applyFont="1" applyBorder="1" applyAlignment="1">
      <alignment vertical="top" wrapText="1"/>
    </xf>
    <xf numFmtId="4" fontId="4" fillId="0" borderId="12" xfId="6" applyNumberFormat="1" applyFont="1" applyBorder="1" applyAlignment="1">
      <alignment horizontal="right" vertical="top" wrapText="1"/>
    </xf>
    <xf numFmtId="0" fontId="35" fillId="0" borderId="0" xfId="0" applyFont="1" applyAlignment="1">
      <alignment vertical="top"/>
    </xf>
    <xf numFmtId="0" fontId="36" fillId="2" borderId="11" xfId="6" applyNumberFormat="1" applyFont="1" applyFill="1" applyBorder="1" applyAlignment="1">
      <alignment vertical="top"/>
    </xf>
    <xf numFmtId="4" fontId="36" fillId="2" borderId="11" xfId="6" applyNumberFormat="1" applyFont="1" applyFill="1" applyBorder="1" applyAlignment="1">
      <alignment horizontal="right" vertical="top" wrapText="1"/>
    </xf>
    <xf numFmtId="0" fontId="27" fillId="0" borderId="0" xfId="0" applyFont="1" applyAlignment="1">
      <alignment horizontal="right" vertical="center" wrapText="1"/>
    </xf>
    <xf numFmtId="0" fontId="13" fillId="0" borderId="0" xfId="0" applyFont="1" applyAlignment="1">
      <alignment horizontal="justify" vertical="center" wrapText="1"/>
    </xf>
    <xf numFmtId="0" fontId="12" fillId="0" borderId="0" xfId="0" applyFont="1" applyAlignment="1">
      <alignment horizontal="justify" vertical="center" wrapText="1"/>
    </xf>
    <xf numFmtId="0" fontId="10" fillId="0" borderId="12" xfId="6" applyNumberFormat="1" applyFont="1" applyBorder="1" applyAlignment="1">
      <alignment vertical="top" wrapText="1"/>
    </xf>
    <xf numFmtId="3" fontId="30" fillId="7" borderId="0" xfId="0" applyNumberFormat="1" applyFont="1" applyFill="1" applyBorder="1" applyAlignment="1">
      <alignment horizontal="right" vertical="center" wrapText="1"/>
    </xf>
    <xf numFmtId="3" fontId="28" fillId="7" borderId="0" xfId="0" applyNumberFormat="1" applyFont="1" applyFill="1" applyBorder="1" applyAlignment="1">
      <alignment horizontal="right" vertical="center" wrapText="1"/>
    </xf>
    <xf numFmtId="3" fontId="0" fillId="0" borderId="0" xfId="0" applyNumberFormat="1" applyBorder="1" applyAlignment="1">
      <alignment vertical="top"/>
    </xf>
    <xf numFmtId="0" fontId="0" fillId="0" borderId="0" xfId="0" applyBorder="1" applyAlignment="1">
      <alignment vertical="top"/>
    </xf>
    <xf numFmtId="0" fontId="29" fillId="7" borderId="0" xfId="0" applyFont="1" applyFill="1" applyBorder="1" applyAlignment="1">
      <alignment horizontal="right" vertical="center" wrapText="1"/>
    </xf>
    <xf numFmtId="3" fontId="30" fillId="7" borderId="1" xfId="0" applyNumberFormat="1" applyFont="1" applyFill="1" applyBorder="1" applyAlignment="1">
      <alignment horizontal="right" vertical="center" wrapText="1"/>
    </xf>
    <xf numFmtId="0" fontId="10" fillId="0" borderId="21" xfId="6" applyNumberFormat="1" applyFont="1" applyBorder="1" applyAlignment="1">
      <alignment vertical="top" wrapText="1"/>
    </xf>
    <xf numFmtId="0" fontId="12" fillId="0" borderId="1" xfId="0" applyFont="1" applyBorder="1" applyAlignment="1">
      <alignment vertical="top"/>
    </xf>
    <xf numFmtId="3" fontId="30" fillId="0" borderId="0" xfId="0" applyNumberFormat="1" applyFont="1" applyBorder="1" applyAlignment="1">
      <alignment horizontal="right" vertical="top" wrapText="1"/>
    </xf>
    <xf numFmtId="0" fontId="12" fillId="0" borderId="0" xfId="0" applyFont="1" applyAlignment="1">
      <alignment vertical="top" wrapText="1"/>
    </xf>
    <xf numFmtId="3" fontId="28" fillId="0" borderId="0" xfId="0" applyNumberFormat="1" applyFont="1" applyAlignment="1">
      <alignment horizontal="right" vertical="top" wrapText="1"/>
    </xf>
    <xf numFmtId="0" fontId="12" fillId="0" borderId="0" xfId="0" applyFont="1" applyBorder="1" applyAlignment="1">
      <alignment vertical="top"/>
    </xf>
    <xf numFmtId="0" fontId="30" fillId="0" borderId="0" xfId="0" applyFont="1" applyBorder="1" applyAlignment="1">
      <alignment horizontal="right" vertical="center" wrapText="1"/>
    </xf>
    <xf numFmtId="0" fontId="12" fillId="0" borderId="0" xfId="0" applyFont="1" applyBorder="1" applyAlignment="1">
      <alignment vertical="center" wrapText="1"/>
    </xf>
    <xf numFmtId="3" fontId="28" fillId="0" borderId="0" xfId="0" applyNumberFormat="1" applyFont="1" applyBorder="1" applyAlignment="1">
      <alignment horizontal="right" vertical="center" wrapText="1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3" fontId="9" fillId="0" borderId="0" xfId="0" applyNumberFormat="1" applyFont="1" applyFill="1" applyBorder="1" applyAlignment="1">
      <alignment horizontal="right" vertical="center" wrapText="1"/>
    </xf>
    <xf numFmtId="0" fontId="15" fillId="0" borderId="0" xfId="5" applyNumberFormat="1" applyFont="1" applyAlignment="1">
      <alignment wrapText="1"/>
    </xf>
    <xf numFmtId="0" fontId="1" fillId="0" borderId="0" xfId="5"/>
    <xf numFmtId="0" fontId="17" fillId="0" borderId="0" xfId="5" applyNumberFormat="1" applyFont="1" applyAlignment="1">
      <alignment vertical="top" wrapText="1"/>
    </xf>
    <xf numFmtId="3" fontId="3" fillId="0" borderId="2" xfId="3" applyNumberFormat="1" applyFont="1" applyFill="1" applyBorder="1" applyAlignment="1">
      <alignment horizontal="right" vertical="top"/>
    </xf>
    <xf numFmtId="3" fontId="3" fillId="0" borderId="5" xfId="3" applyNumberFormat="1" applyFont="1" applyFill="1" applyBorder="1" applyAlignment="1">
      <alignment horizontal="right" vertical="top"/>
    </xf>
    <xf numFmtId="3" fontId="3" fillId="0" borderId="2" xfId="3" applyNumberFormat="1" applyFont="1" applyFill="1" applyBorder="1" applyAlignment="1">
      <alignment horizontal="right" vertical="center"/>
    </xf>
    <xf numFmtId="4" fontId="22" fillId="8" borderId="0" xfId="0" applyNumberFormat="1" applyFont="1" applyFill="1" applyAlignment="1">
      <alignment vertical="top"/>
    </xf>
    <xf numFmtId="3" fontId="22" fillId="8" borderId="0" xfId="0" applyNumberFormat="1" applyFont="1" applyFill="1" applyAlignment="1">
      <alignment vertical="top"/>
    </xf>
    <xf numFmtId="4" fontId="10" fillId="0" borderId="12" xfId="6" applyNumberFormat="1" applyFont="1" applyBorder="1" applyAlignment="1">
      <alignment horizontal="right" vertical="top" wrapText="1"/>
    </xf>
    <xf numFmtId="0" fontId="3" fillId="0" borderId="12" xfId="6" applyNumberFormat="1" applyFont="1" applyBorder="1" applyAlignment="1">
      <alignment vertical="top" wrapText="1" indent="2"/>
    </xf>
    <xf numFmtId="0" fontId="1" fillId="0" borderId="0" xfId="7"/>
    <xf numFmtId="0" fontId="16" fillId="0" borderId="0" xfId="5" applyNumberFormat="1" applyFont="1" applyAlignment="1"/>
    <xf numFmtId="3" fontId="4" fillId="0" borderId="2" xfId="3" applyNumberFormat="1" applyFont="1" applyFill="1" applyBorder="1" applyAlignment="1">
      <alignment horizontal="right" vertical="top"/>
    </xf>
    <xf numFmtId="3" fontId="4" fillId="0" borderId="5" xfId="3" applyNumberFormat="1" applyFont="1" applyFill="1" applyBorder="1" applyAlignment="1">
      <alignment horizontal="right" vertical="top"/>
    </xf>
    <xf numFmtId="0" fontId="38" fillId="0" borderId="12" xfId="3" applyNumberFormat="1" applyFont="1" applyBorder="1" applyAlignment="1">
      <alignment vertical="top"/>
    </xf>
    <xf numFmtId="4" fontId="38" fillId="0" borderId="12" xfId="3" applyNumberFormat="1" applyFont="1" applyBorder="1" applyAlignment="1">
      <alignment horizontal="right" vertical="top" wrapText="1"/>
    </xf>
    <xf numFmtId="0" fontId="38" fillId="0" borderId="12" xfId="3" applyNumberFormat="1" applyFont="1" applyBorder="1" applyAlignment="1">
      <alignment horizontal="right" vertical="top" wrapText="1"/>
    </xf>
    <xf numFmtId="0" fontId="37" fillId="2" borderId="12" xfId="3" applyNumberFormat="1" applyFont="1" applyFill="1" applyBorder="1" applyAlignment="1">
      <alignment vertical="top" wrapText="1"/>
    </xf>
    <xf numFmtId="4" fontId="37" fillId="2" borderId="12" xfId="3" applyNumberFormat="1" applyFont="1" applyFill="1" applyBorder="1" applyAlignment="1">
      <alignment horizontal="right" vertical="top" wrapText="1"/>
    </xf>
    <xf numFmtId="0" fontId="37" fillId="2" borderId="12" xfId="3" applyNumberFormat="1" applyFont="1" applyFill="1" applyBorder="1" applyAlignment="1">
      <alignment horizontal="right" vertical="top" wrapText="1"/>
    </xf>
    <xf numFmtId="4" fontId="22" fillId="3" borderId="0" xfId="0" applyNumberFormat="1" applyFont="1" applyFill="1" applyAlignment="1">
      <alignment vertical="top"/>
    </xf>
    <xf numFmtId="0" fontId="21" fillId="0" borderId="1" xfId="3" applyFont="1" applyFill="1" applyBorder="1" applyAlignment="1">
      <alignment vertical="top"/>
    </xf>
    <xf numFmtId="0" fontId="21" fillId="0" borderId="0" xfId="3" applyNumberFormat="1" applyFont="1" applyFill="1" applyAlignment="1">
      <alignment horizontal="center" vertical="top"/>
    </xf>
    <xf numFmtId="0" fontId="21" fillId="0" borderId="2" xfId="2" applyNumberFormat="1" applyFont="1" applyBorder="1" applyAlignment="1">
      <alignment horizontal="center" vertical="top" wrapText="1"/>
    </xf>
    <xf numFmtId="0" fontId="21" fillId="0" borderId="0" xfId="3" applyNumberFormat="1" applyFont="1" applyAlignment="1">
      <alignment horizontal="center" vertical="top"/>
    </xf>
    <xf numFmtId="0" fontId="0" fillId="0" borderId="0" xfId="0" applyFill="1" applyAlignment="1"/>
    <xf numFmtId="0" fontId="41" fillId="0" borderId="11" xfId="7" applyNumberFormat="1" applyFont="1" applyFill="1" applyBorder="1" applyAlignment="1">
      <alignment vertical="top" wrapText="1"/>
    </xf>
    <xf numFmtId="4" fontId="0" fillId="0" borderId="0" xfId="0" applyNumberFormat="1" applyFill="1" applyAlignment="1"/>
    <xf numFmtId="3" fontId="21" fillId="2" borderId="2" xfId="2" applyNumberFormat="1" applyFont="1" applyFill="1" applyBorder="1" applyAlignment="1">
      <alignment horizontal="right" vertical="top" wrapText="1"/>
    </xf>
    <xf numFmtId="0" fontId="21" fillId="0" borderId="0" xfId="3" applyFont="1" applyBorder="1" applyAlignment="1">
      <alignment vertical="top"/>
    </xf>
    <xf numFmtId="3" fontId="4" fillId="0" borderId="1" xfId="1" applyNumberFormat="1" applyFont="1" applyFill="1" applyBorder="1" applyAlignment="1">
      <alignment wrapText="1"/>
    </xf>
    <xf numFmtId="0" fontId="18" fillId="0" borderId="12" xfId="8" applyNumberFormat="1" applyFont="1" applyBorder="1" applyAlignment="1">
      <alignment vertical="top" wrapText="1"/>
    </xf>
    <xf numFmtId="4" fontId="18" fillId="0" borderId="12" xfId="8" applyNumberFormat="1" applyFont="1" applyBorder="1" applyAlignment="1">
      <alignment horizontal="right" vertical="top" wrapText="1"/>
    </xf>
    <xf numFmtId="0" fontId="18" fillId="0" borderId="12" xfId="8" applyNumberFormat="1" applyFont="1" applyBorder="1" applyAlignment="1">
      <alignment horizontal="right" vertical="top" wrapText="1"/>
    </xf>
    <xf numFmtId="0" fontId="44" fillId="0" borderId="12" xfId="8" applyNumberFormat="1" applyFont="1" applyBorder="1" applyAlignment="1">
      <alignment vertical="top" wrapText="1" indent="2"/>
    </xf>
    <xf numFmtId="4" fontId="44" fillId="0" borderId="12" xfId="8" applyNumberFormat="1" applyFont="1" applyBorder="1" applyAlignment="1">
      <alignment horizontal="right" vertical="top" wrapText="1"/>
    </xf>
    <xf numFmtId="0" fontId="44" fillId="0" borderId="12" xfId="8" applyNumberFormat="1" applyFont="1" applyBorder="1" applyAlignment="1">
      <alignment horizontal="right" vertical="top" wrapText="1"/>
    </xf>
    <xf numFmtId="0" fontId="44" fillId="0" borderId="12" xfId="8" applyNumberFormat="1" applyFont="1" applyBorder="1" applyAlignment="1">
      <alignment vertical="top" wrapText="1" indent="4"/>
    </xf>
    <xf numFmtId="4" fontId="39" fillId="0" borderId="12" xfId="8" applyNumberFormat="1" applyFont="1" applyBorder="1" applyAlignment="1">
      <alignment horizontal="right" vertical="top" wrapText="1"/>
    </xf>
    <xf numFmtId="0" fontId="43" fillId="2" borderId="11" xfId="8" applyNumberFormat="1" applyFont="1" applyFill="1" applyBorder="1" applyAlignment="1">
      <alignment vertical="top"/>
    </xf>
    <xf numFmtId="165" fontId="43" fillId="2" borderId="11" xfId="8" applyNumberFormat="1" applyFont="1" applyFill="1" applyBorder="1" applyAlignment="1">
      <alignment horizontal="right" vertical="top" wrapText="1"/>
    </xf>
    <xf numFmtId="0" fontId="3" fillId="0" borderId="12" xfId="8" applyNumberFormat="1" applyFont="1" applyBorder="1" applyAlignment="1">
      <alignment horizontal="right" vertical="top" wrapText="1"/>
    </xf>
    <xf numFmtId="4" fontId="3" fillId="0" borderId="12" xfId="8" applyNumberFormat="1" applyFont="1" applyBorder="1" applyAlignment="1">
      <alignment horizontal="right" vertical="top" wrapText="1"/>
    </xf>
    <xf numFmtId="4" fontId="40" fillId="0" borderId="12" xfId="8" applyNumberFormat="1" applyFont="1" applyBorder="1" applyAlignment="1">
      <alignment horizontal="right" vertical="top" wrapText="1"/>
    </xf>
    <xf numFmtId="165" fontId="25" fillId="2" borderId="11" xfId="8" applyNumberFormat="1" applyFont="1" applyFill="1" applyBorder="1" applyAlignment="1">
      <alignment horizontal="right" vertical="top" wrapText="1"/>
    </xf>
    <xf numFmtId="0" fontId="22" fillId="0" borderId="22" xfId="0" applyFont="1" applyBorder="1" applyAlignment="1">
      <alignment horizontal="right" vertical="center"/>
    </xf>
    <xf numFmtId="3" fontId="22" fillId="0" borderId="22" xfId="0" applyNumberFormat="1" applyFont="1" applyBorder="1" applyAlignment="1">
      <alignment horizontal="right" vertical="center"/>
    </xf>
    <xf numFmtId="14" fontId="4" fillId="0" borderId="2" xfId="1" applyNumberFormat="1" applyFont="1" applyFill="1" applyBorder="1" applyAlignment="1">
      <alignment horizontal="center" vertical="top" wrapText="1"/>
    </xf>
    <xf numFmtId="0" fontId="4" fillId="0" borderId="8" xfId="2" applyNumberFormat="1" applyFont="1" applyBorder="1" applyAlignment="1">
      <alignment horizontal="center" vertical="top" wrapText="1"/>
    </xf>
    <xf numFmtId="0" fontId="2" fillId="0" borderId="0" xfId="2" applyNumberFormat="1" applyFont="1" applyAlignment="1">
      <alignment vertical="top"/>
    </xf>
    <xf numFmtId="3" fontId="45" fillId="0" borderId="2" xfId="0" applyNumberFormat="1" applyFont="1" applyBorder="1" applyAlignment="1">
      <alignment horizontal="right" vertical="center" wrapText="1"/>
    </xf>
    <xf numFmtId="0" fontId="45" fillId="0" borderId="2" xfId="0" applyFont="1" applyBorder="1" applyAlignment="1">
      <alignment horizontal="right" vertical="center" wrapText="1"/>
    </xf>
    <xf numFmtId="3" fontId="10" fillId="0" borderId="2" xfId="0" applyNumberFormat="1" applyFont="1" applyBorder="1" applyAlignment="1">
      <alignment horizontal="right" vertical="center"/>
    </xf>
    <xf numFmtId="3" fontId="13" fillId="0" borderId="2" xfId="0" applyNumberFormat="1" applyFont="1" applyBorder="1" applyAlignment="1">
      <alignment horizontal="right" vertical="center"/>
    </xf>
    <xf numFmtId="0" fontId="13" fillId="0" borderId="2" xfId="0" applyFont="1" applyBorder="1" applyAlignment="1">
      <alignment horizontal="right" vertical="center" wrapText="1"/>
    </xf>
    <xf numFmtId="3" fontId="13" fillId="0" borderId="2" xfId="0" applyNumberFormat="1" applyFont="1" applyBorder="1" applyAlignment="1">
      <alignment horizontal="right" vertical="center" wrapText="1"/>
    </xf>
    <xf numFmtId="0" fontId="13" fillId="7" borderId="2" xfId="0" applyFont="1" applyFill="1" applyBorder="1" applyAlignment="1">
      <alignment horizontal="right" vertical="center" wrapText="1"/>
    </xf>
    <xf numFmtId="3" fontId="13" fillId="7" borderId="2" xfId="0" applyNumberFormat="1" applyFont="1" applyFill="1" applyBorder="1" applyAlignment="1">
      <alignment horizontal="right" vertical="center" wrapText="1"/>
    </xf>
    <xf numFmtId="0" fontId="3" fillId="0" borderId="12" xfId="3" applyNumberFormat="1" applyFont="1" applyBorder="1" applyAlignment="1">
      <alignment vertical="top"/>
    </xf>
    <xf numFmtId="4" fontId="3" fillId="0" borderId="12" xfId="3" applyNumberFormat="1" applyFont="1" applyBorder="1" applyAlignment="1">
      <alignment horizontal="right" vertical="top" wrapText="1"/>
    </xf>
    <xf numFmtId="0" fontId="3" fillId="0" borderId="12" xfId="3" applyNumberFormat="1" applyFont="1" applyBorder="1" applyAlignment="1">
      <alignment horizontal="right" vertical="top" wrapText="1"/>
    </xf>
    <xf numFmtId="4" fontId="3" fillId="3" borderId="12" xfId="3" applyNumberFormat="1" applyFont="1" applyFill="1" applyBorder="1" applyAlignment="1">
      <alignment horizontal="right" vertical="top" wrapText="1"/>
    </xf>
    <xf numFmtId="4" fontId="3" fillId="9" borderId="12" xfId="3" applyNumberFormat="1" applyFont="1" applyFill="1" applyBorder="1" applyAlignment="1">
      <alignment horizontal="right" vertical="top" wrapText="1"/>
    </xf>
    <xf numFmtId="0" fontId="25" fillId="2" borderId="12" xfId="3" applyNumberFormat="1" applyFont="1" applyFill="1" applyBorder="1" applyAlignment="1">
      <alignment vertical="top" wrapText="1" indent="2"/>
    </xf>
    <xf numFmtId="0" fontId="3" fillId="0" borderId="12" xfId="3" applyNumberFormat="1" applyFont="1" applyBorder="1" applyAlignment="1">
      <alignment vertical="top" indent="8"/>
    </xf>
    <xf numFmtId="0" fontId="15" fillId="0" borderId="0" xfId="3" applyNumberFormat="1" applyFont="1" applyAlignment="1"/>
    <xf numFmtId="0" fontId="22" fillId="0" borderId="0" xfId="0" applyFont="1" applyFill="1" applyAlignment="1">
      <alignment horizontal="left" vertical="top" wrapText="1"/>
    </xf>
    <xf numFmtId="0" fontId="21" fillId="0" borderId="0" xfId="2" applyNumberFormat="1" applyFont="1" applyFill="1" applyAlignment="1">
      <alignment horizontal="left" vertical="top" wrapText="1"/>
    </xf>
    <xf numFmtId="0" fontId="4" fillId="0" borderId="8" xfId="2" applyNumberFormat="1" applyFont="1" applyFill="1" applyBorder="1" applyAlignment="1">
      <alignment horizontal="center" vertical="top" wrapText="1"/>
    </xf>
    <xf numFmtId="0" fontId="21" fillId="0" borderId="2" xfId="2" applyNumberFormat="1" applyFont="1" applyFill="1" applyBorder="1" applyAlignment="1">
      <alignment horizontal="center" vertical="top" wrapText="1"/>
    </xf>
    <xf numFmtId="3" fontId="20" fillId="0" borderId="2" xfId="0" applyNumberFormat="1" applyFont="1" applyFill="1" applyBorder="1" applyAlignment="1">
      <alignment horizontal="left" vertical="top"/>
    </xf>
    <xf numFmtId="3" fontId="23" fillId="0" borderId="2" xfId="2" applyNumberFormat="1" applyFont="1" applyFill="1" applyBorder="1" applyAlignment="1">
      <alignment horizontal="left" vertical="top" wrapText="1"/>
    </xf>
    <xf numFmtId="164" fontId="23" fillId="0" borderId="0" xfId="2" applyNumberFormat="1" applyFont="1" applyFill="1" applyBorder="1" applyAlignment="1">
      <alignment horizontal="left" vertical="top" wrapText="1"/>
    </xf>
    <xf numFmtId="0" fontId="21" fillId="0" borderId="0" xfId="2" applyFont="1" applyFill="1" applyAlignment="1">
      <alignment horizontal="left" vertical="top" wrapText="1"/>
    </xf>
    <xf numFmtId="0" fontId="32" fillId="0" borderId="0" xfId="0" applyFont="1" applyAlignment="1">
      <alignment vertical="center" wrapText="1"/>
    </xf>
    <xf numFmtId="0" fontId="12" fillId="0" borderId="0" xfId="0" applyFont="1" applyAlignment="1">
      <alignment horizontal="right" vertical="center" wrapText="1"/>
    </xf>
    <xf numFmtId="0" fontId="12" fillId="0" borderId="17" xfId="0" applyFont="1" applyBorder="1" applyAlignment="1">
      <alignment horizontal="right" vertical="center" wrapText="1"/>
    </xf>
    <xf numFmtId="0" fontId="12" fillId="0" borderId="0" xfId="0" applyFont="1" applyAlignment="1">
      <alignment horizontal="center" vertical="top" wrapText="1"/>
    </xf>
    <xf numFmtId="0" fontId="21" fillId="0" borderId="2" xfId="2" applyNumberFormat="1" applyFont="1" applyBorder="1" applyAlignment="1">
      <alignment horizontal="center" vertical="top" wrapText="1"/>
    </xf>
    <xf numFmtId="3" fontId="30" fillId="0" borderId="18" xfId="0" applyNumberFormat="1" applyFont="1" applyBorder="1" applyAlignment="1">
      <alignment horizontal="right" vertical="center" wrapText="1"/>
    </xf>
    <xf numFmtId="14" fontId="9" fillId="0" borderId="3" xfId="1" applyNumberFormat="1" applyFont="1" applyFill="1" applyBorder="1" applyAlignment="1">
      <alignment horizontal="center" vertical="top" wrapText="1"/>
    </xf>
    <xf numFmtId="3" fontId="30" fillId="0" borderId="2" xfId="0" applyNumberFormat="1" applyFont="1" applyBorder="1" applyAlignment="1">
      <alignment horizontal="right" vertical="top" wrapText="1"/>
    </xf>
    <xf numFmtId="0" fontId="30" fillId="0" borderId="2" xfId="0" applyFont="1" applyBorder="1" applyAlignment="1">
      <alignment horizontal="right" vertical="top" wrapText="1"/>
    </xf>
    <xf numFmtId="3" fontId="10" fillId="0" borderId="12" xfId="6" applyNumberFormat="1" applyFont="1" applyBorder="1" applyAlignment="1">
      <alignment horizontal="right" vertical="top" wrapText="1"/>
    </xf>
    <xf numFmtId="0" fontId="3" fillId="0" borderId="12" xfId="6" applyNumberFormat="1" applyFont="1" applyBorder="1" applyAlignment="1">
      <alignment vertical="top" wrapText="1" indent="8"/>
    </xf>
    <xf numFmtId="0" fontId="3" fillId="0" borderId="12" xfId="6" applyNumberFormat="1" applyFont="1" applyBorder="1" applyAlignment="1">
      <alignment horizontal="right" vertical="top" wrapText="1"/>
    </xf>
    <xf numFmtId="0" fontId="25" fillId="2" borderId="11" xfId="6" applyNumberFormat="1" applyFont="1" applyFill="1" applyBorder="1" applyAlignment="1">
      <alignment vertical="top" wrapText="1"/>
    </xf>
    <xf numFmtId="0" fontId="25" fillId="2" borderId="12" xfId="6" applyNumberFormat="1" applyFont="1" applyFill="1" applyBorder="1" applyAlignment="1">
      <alignment vertical="top" wrapText="1"/>
    </xf>
    <xf numFmtId="0" fontId="25" fillId="2" borderId="11" xfId="6" applyNumberFormat="1" applyFont="1" applyFill="1" applyBorder="1" applyAlignment="1">
      <alignment vertical="top"/>
    </xf>
    <xf numFmtId="4" fontId="25" fillId="2" borderId="12" xfId="6" applyNumberFormat="1" applyFont="1" applyFill="1" applyBorder="1" applyAlignment="1">
      <alignment horizontal="right" vertical="top" wrapText="1"/>
    </xf>
    <xf numFmtId="4" fontId="3" fillId="0" borderId="0" xfId="6" applyNumberFormat="1" applyFont="1" applyBorder="1" applyAlignment="1">
      <alignment horizontal="right" vertical="top" wrapText="1"/>
    </xf>
    <xf numFmtId="0" fontId="0" fillId="0" borderId="0" xfId="0" applyAlignment="1">
      <alignment vertical="center" wrapText="1"/>
    </xf>
    <xf numFmtId="3" fontId="28" fillId="0" borderId="0" xfId="0" applyNumberFormat="1" applyFont="1" applyAlignment="1">
      <alignment horizontal="right" vertical="center" wrapText="1"/>
    </xf>
    <xf numFmtId="0" fontId="30" fillId="3" borderId="0" xfId="0" applyFont="1" applyFill="1" applyAlignment="1">
      <alignment horizontal="right" vertical="center" wrapText="1"/>
    </xf>
    <xf numFmtId="4" fontId="3" fillId="3" borderId="12" xfId="6" applyNumberFormat="1" applyFont="1" applyFill="1" applyBorder="1" applyAlignment="1">
      <alignment horizontal="right" vertical="top" wrapText="1"/>
    </xf>
    <xf numFmtId="4" fontId="3" fillId="10" borderId="12" xfId="6" applyNumberFormat="1" applyFont="1" applyFill="1" applyBorder="1" applyAlignment="1">
      <alignment horizontal="right" vertical="top" wrapText="1"/>
    </xf>
    <xf numFmtId="0" fontId="13" fillId="0" borderId="0" xfId="0" applyFont="1" applyAlignment="1">
      <alignment horizontal="right" vertical="center"/>
    </xf>
    <xf numFmtId="4" fontId="0" fillId="0" borderId="0" xfId="0" applyNumberFormat="1" applyAlignment="1">
      <alignment vertical="top"/>
    </xf>
    <xf numFmtId="4" fontId="3" fillId="0" borderId="12" xfId="6" applyNumberFormat="1" applyFont="1" applyFill="1" applyBorder="1" applyAlignment="1">
      <alignment horizontal="right" vertical="top" wrapText="1"/>
    </xf>
    <xf numFmtId="0" fontId="0" fillId="0" borderId="0" xfId="0" applyFill="1" applyAlignment="1">
      <alignment vertical="top"/>
    </xf>
    <xf numFmtId="0" fontId="18" fillId="0" borderId="12" xfId="6" applyNumberFormat="1" applyFont="1" applyBorder="1" applyAlignment="1">
      <alignment vertical="top" wrapText="1"/>
    </xf>
    <xf numFmtId="3" fontId="30" fillId="7" borderId="18" xfId="0" applyNumberFormat="1" applyFont="1" applyFill="1" applyBorder="1" applyAlignment="1">
      <alignment horizontal="right" vertical="center" wrapText="1"/>
    </xf>
    <xf numFmtId="3" fontId="30" fillId="7" borderId="17" xfId="0" applyNumberFormat="1" applyFont="1" applyFill="1" applyBorder="1" applyAlignment="1">
      <alignment horizontal="right" vertical="center" wrapText="1"/>
    </xf>
    <xf numFmtId="3" fontId="12" fillId="7" borderId="0" xfId="0" applyNumberFormat="1" applyFont="1" applyFill="1" applyBorder="1" applyAlignment="1">
      <alignment horizontal="right" vertical="center" wrapText="1"/>
    </xf>
    <xf numFmtId="3" fontId="48" fillId="0" borderId="0" xfId="0" applyNumberFormat="1" applyFont="1" applyFill="1" applyBorder="1" applyAlignment="1">
      <alignment horizontal="right" vertical="top" wrapText="1"/>
    </xf>
    <xf numFmtId="3" fontId="48" fillId="0" borderId="1" xfId="0" applyNumberFormat="1" applyFont="1" applyFill="1" applyBorder="1" applyAlignment="1">
      <alignment horizontal="right" vertical="top" wrapText="1"/>
    </xf>
    <xf numFmtId="3" fontId="30" fillId="0" borderId="0" xfId="0" applyNumberFormat="1" applyFont="1" applyFill="1" applyBorder="1" applyAlignment="1">
      <alignment horizontal="right" vertical="top" wrapText="1"/>
    </xf>
    <xf numFmtId="0" fontId="30" fillId="0" borderId="1" xfId="0" applyFont="1" applyFill="1" applyBorder="1" applyAlignment="1">
      <alignment horizontal="right" vertical="top" wrapText="1"/>
    </xf>
    <xf numFmtId="0" fontId="31" fillId="0" borderId="0" xfId="0" applyFont="1" applyFill="1" applyAlignment="1">
      <alignment horizontal="right" vertical="center" wrapText="1"/>
    </xf>
    <xf numFmtId="0" fontId="11" fillId="0" borderId="2" xfId="0" applyFont="1" applyFill="1" applyBorder="1" applyAlignment="1">
      <alignment horizontal="left" vertical="center" wrapText="1" indent="2"/>
    </xf>
    <xf numFmtId="0" fontId="0" fillId="0" borderId="0" xfId="0" applyAlignment="1">
      <alignment vertical="center"/>
    </xf>
    <xf numFmtId="0" fontId="13" fillId="0" borderId="0" xfId="0" applyFont="1" applyAlignment="1">
      <alignment vertical="center"/>
    </xf>
    <xf numFmtId="3" fontId="13" fillId="0" borderId="1" xfId="0" applyNumberFormat="1" applyFont="1" applyBorder="1" applyAlignment="1">
      <alignment horizontal="right" vertical="center" wrapText="1"/>
    </xf>
    <xf numFmtId="0" fontId="12" fillId="0" borderId="1" xfId="0" applyFont="1" applyBorder="1" applyAlignment="1">
      <alignment vertical="center" wrapText="1"/>
    </xf>
    <xf numFmtId="0" fontId="28" fillId="0" borderId="0" xfId="0" applyFont="1" applyFill="1" applyBorder="1" applyAlignment="1">
      <alignment vertical="top"/>
    </xf>
    <xf numFmtId="3" fontId="28" fillId="0" borderId="0" xfId="0" applyNumberFormat="1" applyFont="1" applyFill="1" applyBorder="1" applyAlignment="1">
      <alignment horizontal="center" vertical="top" wrapText="1"/>
    </xf>
    <xf numFmtId="3" fontId="28" fillId="0" borderId="0" xfId="0" applyNumberFormat="1" applyFont="1" applyFill="1" applyBorder="1" applyAlignment="1">
      <alignment vertical="top" wrapText="1"/>
    </xf>
    <xf numFmtId="3" fontId="28" fillId="0" borderId="0" xfId="0" applyNumberFormat="1" applyFont="1" applyAlignment="1">
      <alignment horizontal="right" vertical="center"/>
    </xf>
    <xf numFmtId="0" fontId="30" fillId="0" borderId="0" xfId="0" applyFont="1" applyAlignment="1">
      <alignment horizontal="right" vertical="center"/>
    </xf>
    <xf numFmtId="0" fontId="28" fillId="0" borderId="0" xfId="0" applyFont="1" applyAlignment="1">
      <alignment horizontal="right" vertical="center"/>
    </xf>
    <xf numFmtId="0" fontId="28" fillId="0" borderId="1" xfId="0" applyFont="1" applyBorder="1" applyAlignment="1">
      <alignment vertical="center" wrapText="1"/>
    </xf>
    <xf numFmtId="0" fontId="28" fillId="0" borderId="1" xfId="0" applyFont="1" applyBorder="1" applyAlignment="1">
      <alignment horizontal="right" vertical="center" wrapText="1"/>
    </xf>
    <xf numFmtId="3" fontId="28" fillId="0" borderId="1" xfId="0" applyNumberFormat="1" applyFont="1" applyBorder="1" applyAlignment="1">
      <alignment horizontal="right" vertical="center"/>
    </xf>
    <xf numFmtId="3" fontId="28" fillId="0" borderId="23" xfId="0" applyNumberFormat="1" applyFont="1" applyBorder="1" applyAlignment="1">
      <alignment horizontal="right" vertical="center" wrapText="1"/>
    </xf>
    <xf numFmtId="3" fontId="28" fillId="0" borderId="23" xfId="0" applyNumberFormat="1" applyFont="1" applyBorder="1" applyAlignment="1">
      <alignment horizontal="right" vertical="center"/>
    </xf>
    <xf numFmtId="3" fontId="28" fillId="0" borderId="1" xfId="0" applyNumberFormat="1" applyFont="1" applyBorder="1" applyAlignment="1">
      <alignment horizontal="right" vertical="center" wrapText="1"/>
    </xf>
    <xf numFmtId="0" fontId="28" fillId="0" borderId="1" xfId="0" applyFont="1" applyFill="1" applyBorder="1" applyAlignment="1">
      <alignment horizontal="right" vertical="center" wrapText="1"/>
    </xf>
    <xf numFmtId="0" fontId="28" fillId="0" borderId="1" xfId="0" applyFont="1" applyFill="1" applyBorder="1" applyAlignment="1">
      <alignment horizontal="right" vertical="center"/>
    </xf>
    <xf numFmtId="14" fontId="9" fillId="0" borderId="1" xfId="1" applyNumberFormat="1" applyFont="1" applyFill="1" applyBorder="1" applyAlignment="1">
      <alignment vertical="top" wrapText="1"/>
    </xf>
    <xf numFmtId="3" fontId="13" fillId="0" borderId="0" xfId="0" applyNumberFormat="1" applyFont="1" applyAlignment="1">
      <alignment vertical="center" wrapText="1"/>
    </xf>
    <xf numFmtId="3" fontId="13" fillId="0" borderId="1" xfId="0" applyNumberFormat="1" applyFont="1" applyBorder="1" applyAlignment="1">
      <alignment vertical="center" wrapText="1"/>
    </xf>
    <xf numFmtId="3" fontId="12" fillId="0" borderId="0" xfId="0" applyNumberFormat="1" applyFont="1" applyAlignment="1">
      <alignment vertical="center" wrapText="1"/>
    </xf>
    <xf numFmtId="4" fontId="3" fillId="0" borderId="12" xfId="6" applyNumberFormat="1" applyFont="1" applyBorder="1" applyAlignment="1">
      <alignment vertical="top" wrapText="1"/>
    </xf>
    <xf numFmtId="4" fontId="36" fillId="2" borderId="11" xfId="6" applyNumberFormat="1" applyFont="1" applyFill="1" applyBorder="1" applyAlignment="1">
      <alignment vertical="top" wrapText="1"/>
    </xf>
    <xf numFmtId="3" fontId="30" fillId="0" borderId="0" xfId="0" applyNumberFormat="1" applyFont="1" applyAlignment="1">
      <alignment vertical="center" wrapText="1"/>
    </xf>
    <xf numFmtId="0" fontId="30" fillId="7" borderId="0" xfId="0" applyFont="1" applyFill="1" applyAlignment="1">
      <alignment vertical="center" wrapText="1"/>
    </xf>
    <xf numFmtId="3" fontId="28" fillId="7" borderId="18" xfId="0" applyNumberFormat="1" applyFont="1" applyFill="1" applyBorder="1" applyAlignment="1">
      <alignment vertical="center" wrapText="1"/>
    </xf>
    <xf numFmtId="4" fontId="25" fillId="2" borderId="12" xfId="6" applyNumberFormat="1" applyFont="1" applyFill="1" applyBorder="1" applyAlignment="1">
      <alignment vertical="top" wrapText="1"/>
    </xf>
    <xf numFmtId="4" fontId="25" fillId="2" borderId="11" xfId="6" applyNumberFormat="1" applyFont="1" applyFill="1" applyBorder="1" applyAlignment="1">
      <alignment vertical="top" wrapText="1"/>
    </xf>
    <xf numFmtId="0" fontId="3" fillId="0" borderId="12" xfId="6" applyNumberFormat="1" applyFont="1" applyFill="1" applyBorder="1" applyAlignment="1">
      <alignment vertical="top" wrapText="1"/>
    </xf>
    <xf numFmtId="0" fontId="49" fillId="2" borderId="12" xfId="6" applyNumberFormat="1" applyFont="1" applyFill="1" applyBorder="1" applyAlignment="1">
      <alignment vertical="top" wrapText="1"/>
    </xf>
    <xf numFmtId="0" fontId="10" fillId="0" borderId="12" xfId="6" applyNumberFormat="1" applyFont="1" applyBorder="1" applyAlignment="1">
      <alignment horizontal="right" vertical="top" wrapText="1"/>
    </xf>
    <xf numFmtId="0" fontId="49" fillId="2" borderId="11" xfId="6" applyNumberFormat="1" applyFont="1" applyFill="1" applyBorder="1" applyAlignment="1">
      <alignment vertical="top"/>
    </xf>
    <xf numFmtId="4" fontId="49" fillId="2" borderId="11" xfId="6" applyNumberFormat="1" applyFont="1" applyFill="1" applyBorder="1" applyAlignment="1">
      <alignment horizontal="right" vertical="top" wrapText="1"/>
    </xf>
    <xf numFmtId="0" fontId="9" fillId="0" borderId="12" xfId="6" applyNumberFormat="1" applyFont="1" applyBorder="1" applyAlignment="1">
      <alignment vertical="top" wrapText="1"/>
    </xf>
    <xf numFmtId="3" fontId="0" fillId="0" borderId="0" xfId="0" applyNumberFormat="1" applyFont="1" applyAlignment="1">
      <alignment vertical="top"/>
    </xf>
    <xf numFmtId="3" fontId="28" fillId="0" borderId="0" xfId="0" applyNumberFormat="1" applyFont="1" applyBorder="1" applyAlignment="1">
      <alignment horizontal="right" vertical="center"/>
    </xf>
    <xf numFmtId="4" fontId="3" fillId="0" borderId="20" xfId="6" applyNumberFormat="1" applyFont="1" applyBorder="1" applyAlignment="1">
      <alignment horizontal="right" vertical="top" wrapText="1"/>
    </xf>
    <xf numFmtId="4" fontId="3" fillId="0" borderId="24" xfId="6" applyNumberFormat="1" applyFont="1" applyBorder="1" applyAlignment="1">
      <alignment vertical="top" wrapText="1"/>
    </xf>
    <xf numFmtId="0" fontId="10" fillId="0" borderId="0" xfId="6" applyNumberFormat="1" applyFont="1" applyBorder="1" applyAlignment="1">
      <alignment vertical="top" wrapText="1"/>
    </xf>
    <xf numFmtId="0" fontId="10" fillId="0" borderId="0" xfId="6" applyNumberFormat="1" applyFont="1" applyFill="1" applyBorder="1" applyAlignment="1">
      <alignment vertical="top" wrapText="1"/>
    </xf>
    <xf numFmtId="0" fontId="10" fillId="0" borderId="0" xfId="6" applyNumberFormat="1" applyFont="1" applyFill="1" applyBorder="1" applyAlignment="1">
      <alignment horizontal="right" vertical="top" wrapText="1"/>
    </xf>
    <xf numFmtId="0" fontId="49" fillId="0" borderId="0" xfId="6" applyNumberFormat="1" applyFont="1" applyFill="1" applyBorder="1" applyAlignment="1">
      <alignment vertical="top"/>
    </xf>
    <xf numFmtId="4" fontId="49" fillId="0" borderId="0" xfId="6" applyNumberFormat="1" applyFont="1" applyFill="1" applyBorder="1" applyAlignment="1">
      <alignment horizontal="right" vertical="top" wrapText="1"/>
    </xf>
    <xf numFmtId="4" fontId="3" fillId="0" borderId="0" xfId="6" applyNumberFormat="1" applyFont="1" applyFill="1" applyBorder="1" applyAlignment="1">
      <alignment vertical="top" wrapText="1"/>
    </xf>
    <xf numFmtId="3" fontId="9" fillId="0" borderId="24" xfId="6" applyNumberFormat="1" applyFont="1" applyBorder="1" applyAlignment="1">
      <alignment horizontal="right" vertical="top" wrapText="1"/>
    </xf>
    <xf numFmtId="3" fontId="10" fillId="0" borderId="25" xfId="6" applyNumberFormat="1" applyFont="1" applyBorder="1" applyAlignment="1">
      <alignment horizontal="right" vertical="top" wrapText="1"/>
    </xf>
    <xf numFmtId="0" fontId="12" fillId="0" borderId="1" xfId="0" applyFont="1" applyBorder="1" applyAlignment="1">
      <alignment horizontal="center" vertical="center" wrapText="1"/>
    </xf>
    <xf numFmtId="3" fontId="30" fillId="0" borderId="1" xfId="0" applyNumberFormat="1" applyFont="1" applyBorder="1" applyAlignment="1">
      <alignment horizontal="right" vertical="center" wrapText="1"/>
    </xf>
    <xf numFmtId="0" fontId="30" fillId="7" borderId="1" xfId="0" applyFont="1" applyFill="1" applyBorder="1" applyAlignment="1">
      <alignment horizontal="right" vertical="center" wrapText="1"/>
    </xf>
    <xf numFmtId="3" fontId="13" fillId="0" borderId="0" xfId="0" applyNumberFormat="1" applyFont="1" applyFill="1" applyAlignment="1">
      <alignment horizontal="right" vertical="center" wrapText="1"/>
    </xf>
    <xf numFmtId="0" fontId="28" fillId="0" borderId="1" xfId="0" applyFont="1" applyFill="1" applyBorder="1" applyAlignment="1">
      <alignment vertical="center"/>
    </xf>
    <xf numFmtId="0" fontId="28" fillId="0" borderId="1" xfId="0" applyFont="1" applyFill="1" applyBorder="1" applyAlignment="1">
      <alignment vertical="center" wrapText="1"/>
    </xf>
    <xf numFmtId="3" fontId="28" fillId="0" borderId="0" xfId="0" applyNumberFormat="1" applyFont="1" applyAlignment="1">
      <alignment vertical="center" wrapText="1"/>
    </xf>
    <xf numFmtId="3" fontId="28" fillId="0" borderId="1" xfId="0" applyNumberFormat="1" applyFont="1" applyBorder="1" applyAlignment="1">
      <alignment vertical="center"/>
    </xf>
    <xf numFmtId="3" fontId="28" fillId="0" borderId="23" xfId="0" applyNumberFormat="1" applyFont="1" applyBorder="1" applyAlignment="1">
      <alignment vertical="center" wrapText="1"/>
    </xf>
    <xf numFmtId="3" fontId="28" fillId="0" borderId="0" xfId="0" applyNumberFormat="1" applyFont="1" applyBorder="1" applyAlignment="1">
      <alignment vertical="center" wrapText="1"/>
    </xf>
    <xf numFmtId="3" fontId="10" fillId="0" borderId="12" xfId="6" applyNumberFormat="1" applyFont="1" applyBorder="1" applyAlignment="1">
      <alignment vertical="top" wrapText="1"/>
    </xf>
    <xf numFmtId="3" fontId="10" fillId="0" borderId="25" xfId="6" applyNumberFormat="1" applyFont="1" applyBorder="1" applyAlignment="1">
      <alignment vertical="top" wrapText="1"/>
    </xf>
    <xf numFmtId="3" fontId="9" fillId="0" borderId="24" xfId="6" applyNumberFormat="1" applyFont="1" applyBorder="1" applyAlignment="1">
      <alignment vertical="top" wrapText="1"/>
    </xf>
    <xf numFmtId="4" fontId="49" fillId="0" borderId="0" xfId="6" applyNumberFormat="1" applyFont="1" applyFill="1" applyBorder="1" applyAlignment="1">
      <alignment vertical="top" wrapText="1"/>
    </xf>
    <xf numFmtId="0" fontId="30" fillId="0" borderId="18" xfId="0" applyFont="1" applyBorder="1" applyAlignment="1">
      <alignment horizontal="right" vertical="center"/>
    </xf>
    <xf numFmtId="3" fontId="30" fillId="0" borderId="0" xfId="0" applyNumberFormat="1" applyFont="1" applyAlignment="1">
      <alignment horizontal="right" vertical="center"/>
    </xf>
    <xf numFmtId="3" fontId="13" fillId="0" borderId="0" xfId="0" applyNumberFormat="1" applyFont="1" applyAlignment="1">
      <alignment horizontal="right" vertical="center"/>
    </xf>
    <xf numFmtId="0" fontId="47" fillId="0" borderId="0" xfId="0" applyFont="1" applyAlignment="1">
      <alignment vertical="center"/>
    </xf>
    <xf numFmtId="0" fontId="47" fillId="0" borderId="0" xfId="0" applyFont="1" applyAlignment="1">
      <alignment horizontal="right" vertical="center"/>
    </xf>
    <xf numFmtId="0" fontId="13" fillId="0" borderId="0" xfId="0" applyFont="1" applyAlignment="1">
      <alignment vertical="top"/>
    </xf>
    <xf numFmtId="4" fontId="13" fillId="0" borderId="0" xfId="0" applyNumberFormat="1" applyFont="1" applyAlignment="1">
      <alignment vertical="top"/>
    </xf>
    <xf numFmtId="3" fontId="13" fillId="0" borderId="0" xfId="0" applyNumberFormat="1" applyFont="1" applyAlignment="1">
      <alignment vertical="top"/>
    </xf>
    <xf numFmtId="0" fontId="10" fillId="0" borderId="12" xfId="6" applyNumberFormat="1" applyFont="1" applyBorder="1" applyAlignment="1">
      <alignment vertical="top" wrapText="1" indent="2"/>
    </xf>
    <xf numFmtId="4" fontId="10" fillId="0" borderId="12" xfId="6" applyNumberFormat="1" applyFont="1" applyFill="1" applyBorder="1" applyAlignment="1">
      <alignment horizontal="right" vertical="top" wrapText="1"/>
    </xf>
    <xf numFmtId="4" fontId="3" fillId="0" borderId="26" xfId="6" applyNumberFormat="1" applyFont="1" applyBorder="1" applyAlignment="1">
      <alignment horizontal="right" vertical="top" wrapText="1"/>
    </xf>
    <xf numFmtId="2" fontId="3" fillId="0" borderId="26" xfId="6" applyNumberFormat="1" applyFont="1" applyBorder="1" applyAlignment="1">
      <alignment horizontal="right" vertical="top" wrapText="1"/>
    </xf>
    <xf numFmtId="0" fontId="3" fillId="0" borderId="27" xfId="6" applyNumberFormat="1" applyFont="1" applyBorder="1" applyAlignment="1">
      <alignment vertical="top" wrapText="1"/>
    </xf>
    <xf numFmtId="0" fontId="50" fillId="0" borderId="0" xfId="0" applyFont="1" applyBorder="1" applyAlignment="1">
      <alignment horizontal="center" vertical="center" wrapText="1"/>
    </xf>
    <xf numFmtId="0" fontId="51" fillId="0" borderId="0" xfId="0" applyFont="1" applyBorder="1" applyAlignment="1">
      <alignment horizontal="justify" vertical="center" wrapText="1"/>
    </xf>
    <xf numFmtId="0" fontId="26" fillId="0" borderId="0" xfId="0" applyFont="1" applyBorder="1" applyAlignment="1">
      <alignment horizontal="justify" vertical="center" wrapText="1"/>
    </xf>
    <xf numFmtId="3" fontId="31" fillId="0" borderId="0" xfId="0" applyNumberFormat="1" applyFont="1" applyBorder="1" applyAlignment="1">
      <alignment horizontal="justify" vertical="center" wrapText="1"/>
    </xf>
    <xf numFmtId="10" fontId="31" fillId="0" borderId="0" xfId="0" applyNumberFormat="1" applyFont="1" applyBorder="1" applyAlignment="1">
      <alignment horizontal="justify" vertical="center" wrapText="1"/>
    </xf>
    <xf numFmtId="0" fontId="51" fillId="0" borderId="23" xfId="0" applyFont="1" applyBorder="1" applyAlignment="1">
      <alignment horizontal="justify" vertical="center" wrapText="1"/>
    </xf>
    <xf numFmtId="0" fontId="51" fillId="0" borderId="28" xfId="0" applyFont="1" applyBorder="1" applyAlignment="1">
      <alignment horizontal="justify" vertical="center" wrapText="1"/>
    </xf>
    <xf numFmtId="3" fontId="31" fillId="0" borderId="1" xfId="0" applyNumberFormat="1" applyFont="1" applyBorder="1" applyAlignment="1">
      <alignment horizontal="justify" vertical="center" wrapText="1"/>
    </xf>
    <xf numFmtId="9" fontId="31" fillId="0" borderId="1" xfId="0" applyNumberFormat="1" applyFont="1" applyBorder="1" applyAlignment="1">
      <alignment horizontal="justify" vertical="center" wrapText="1"/>
    </xf>
    <xf numFmtId="0" fontId="27" fillId="0" borderId="17" xfId="0" applyFont="1" applyBorder="1" applyAlignment="1">
      <alignment horizontal="center" vertical="center" wrapText="1"/>
    </xf>
    <xf numFmtId="0" fontId="31" fillId="0" borderId="0" xfId="0" applyFont="1" applyAlignment="1">
      <alignment vertical="center" wrapText="1"/>
    </xf>
    <xf numFmtId="3" fontId="31" fillId="0" borderId="0" xfId="0" applyNumberFormat="1" applyFont="1" applyAlignment="1">
      <alignment horizontal="right" vertical="center" wrapText="1"/>
    </xf>
    <xf numFmtId="0" fontId="27" fillId="0" borderId="0" xfId="0" applyFont="1" applyAlignment="1">
      <alignment horizontal="justify" vertical="center" wrapText="1"/>
    </xf>
    <xf numFmtId="3" fontId="29" fillId="7" borderId="18" xfId="0" applyNumberFormat="1" applyFont="1" applyFill="1" applyBorder="1" applyAlignment="1">
      <alignment horizontal="right" vertical="center" wrapText="1"/>
    </xf>
    <xf numFmtId="3" fontId="30" fillId="0" borderId="0" xfId="0" applyNumberFormat="1" applyFont="1" applyAlignment="1">
      <alignment horizontal="center"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vertical="center" wrapText="1"/>
    </xf>
    <xf numFmtId="3" fontId="30" fillId="0" borderId="1" xfId="0" applyNumberFormat="1" applyFont="1" applyBorder="1" applyAlignment="1">
      <alignment horizontal="center" vertical="center" wrapText="1"/>
    </xf>
    <xf numFmtId="0" fontId="13" fillId="0" borderId="23" xfId="0" applyFont="1" applyBorder="1" applyAlignment="1">
      <alignment vertical="center" wrapText="1"/>
    </xf>
    <xf numFmtId="0" fontId="30" fillId="0" borderId="23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right" vertical="center" wrapText="1"/>
    </xf>
    <xf numFmtId="0" fontId="13" fillId="0" borderId="0" xfId="0" applyFont="1" applyFill="1" applyBorder="1" applyAlignment="1">
      <alignment horizontal="right" vertical="center" wrapText="1"/>
    </xf>
    <xf numFmtId="0" fontId="13" fillId="0" borderId="0" xfId="0" applyFont="1" applyBorder="1" applyAlignment="1">
      <alignment horizontal="left" vertical="center" wrapText="1" indent="2"/>
    </xf>
    <xf numFmtId="0" fontId="10" fillId="0" borderId="0" xfId="0" applyFont="1" applyFill="1" applyBorder="1" applyAlignment="1">
      <alignment vertical="center" wrapText="1"/>
    </xf>
    <xf numFmtId="3" fontId="0" fillId="0" borderId="1" xfId="0" applyNumberFormat="1" applyBorder="1" applyAlignment="1">
      <alignment vertical="top"/>
    </xf>
    <xf numFmtId="0" fontId="21" fillId="0" borderId="2" xfId="2" applyNumberFormat="1" applyFont="1" applyBorder="1" applyAlignment="1">
      <alignment horizontal="left" vertical="top" wrapText="1"/>
    </xf>
    <xf numFmtId="0" fontId="2" fillId="0" borderId="0" xfId="2" applyNumberFormat="1" applyFont="1" applyAlignment="1">
      <alignment horizontal="center" vertical="top"/>
    </xf>
    <xf numFmtId="0" fontId="21" fillId="0" borderId="2" xfId="2" applyNumberFormat="1" applyFont="1" applyBorder="1" applyAlignment="1">
      <alignment horizontal="center" vertical="top" wrapText="1"/>
    </xf>
    <xf numFmtId="0" fontId="20" fillId="0" borderId="2" xfId="0" applyFont="1" applyBorder="1" applyAlignment="1">
      <alignment horizontal="left" vertical="top" wrapText="1"/>
    </xf>
    <xf numFmtId="0" fontId="24" fillId="0" borderId="0" xfId="2" applyNumberFormat="1" applyFont="1" applyAlignment="1">
      <alignment horizontal="center" vertical="top"/>
    </xf>
    <xf numFmtId="0" fontId="42" fillId="0" borderId="2" xfId="0" applyFont="1" applyBorder="1" applyAlignment="1">
      <alignment horizontal="left" vertical="top" wrapText="1"/>
    </xf>
    <xf numFmtId="0" fontId="23" fillId="0" borderId="2" xfId="2" applyNumberFormat="1" applyFont="1" applyBorder="1" applyAlignment="1">
      <alignment horizontal="left" vertical="top" wrapText="1"/>
    </xf>
    <xf numFmtId="0" fontId="23" fillId="2" borderId="1" xfId="3" applyNumberFormat="1" applyFont="1" applyFill="1" applyBorder="1" applyAlignment="1">
      <alignment horizontal="center" vertical="top" wrapText="1"/>
    </xf>
    <xf numFmtId="0" fontId="21" fillId="0" borderId="14" xfId="3" applyNumberFormat="1" applyFont="1" applyBorder="1" applyAlignment="1">
      <alignment horizontal="center" vertical="top"/>
    </xf>
    <xf numFmtId="0" fontId="25" fillId="2" borderId="15" xfId="3" applyNumberFormat="1" applyFont="1" applyFill="1" applyBorder="1" applyAlignment="1">
      <alignment vertical="top" wrapText="1"/>
    </xf>
    <xf numFmtId="0" fontId="25" fillId="2" borderId="16" xfId="3" applyNumberFormat="1" applyFont="1" applyFill="1" applyBorder="1" applyAlignment="1">
      <alignment vertical="top" wrapText="1"/>
    </xf>
    <xf numFmtId="0" fontId="21" fillId="0" borderId="4" xfId="3" applyNumberFormat="1" applyFont="1" applyBorder="1" applyAlignment="1">
      <alignment horizontal="left" vertical="top" wrapText="1"/>
    </xf>
    <xf numFmtId="0" fontId="21" fillId="0" borderId="0" xfId="3" applyNumberFormat="1" applyFont="1" applyAlignment="1">
      <alignment horizontal="center" vertical="top" wrapText="1"/>
    </xf>
    <xf numFmtId="0" fontId="21" fillId="0" borderId="9" xfId="3" applyNumberFormat="1" applyFont="1" applyBorder="1" applyAlignment="1">
      <alignment horizontal="center" vertical="top" wrapText="1"/>
    </xf>
    <xf numFmtId="0" fontId="21" fillId="0" borderId="6" xfId="3" applyNumberFormat="1" applyFont="1" applyBorder="1" applyAlignment="1">
      <alignment horizontal="left" vertical="top" wrapText="1"/>
    </xf>
    <xf numFmtId="0" fontId="23" fillId="0" borderId="2" xfId="3" applyNumberFormat="1" applyFont="1" applyBorder="1" applyAlignment="1">
      <alignment horizontal="left" vertical="top" wrapText="1"/>
    </xf>
    <xf numFmtId="0" fontId="21" fillId="0" borderId="0" xfId="3" applyNumberFormat="1" applyFont="1" applyAlignment="1">
      <alignment horizontal="center" vertical="top"/>
    </xf>
    <xf numFmtId="0" fontId="21" fillId="0" borderId="7" xfId="3" applyNumberFormat="1" applyFont="1" applyBorder="1" applyAlignment="1">
      <alignment horizontal="center" vertical="top" wrapText="1"/>
    </xf>
    <xf numFmtId="0" fontId="23" fillId="0" borderId="3" xfId="3" applyNumberFormat="1" applyFont="1" applyBorder="1" applyAlignment="1">
      <alignment horizontal="left" vertical="top"/>
    </xf>
    <xf numFmtId="0" fontId="21" fillId="0" borderId="4" xfId="3" applyNumberFormat="1" applyFont="1" applyBorder="1" applyAlignment="1">
      <alignment horizontal="left" vertical="top"/>
    </xf>
    <xf numFmtId="0" fontId="21" fillId="0" borderId="9" xfId="3" applyNumberFormat="1" applyFont="1" applyBorder="1" applyAlignment="1">
      <alignment horizontal="center" vertical="top"/>
    </xf>
    <xf numFmtId="0" fontId="23" fillId="0" borderId="2" xfId="3" applyNumberFormat="1" applyFont="1" applyBorder="1" applyAlignment="1">
      <alignment horizontal="left" vertical="top"/>
    </xf>
    <xf numFmtId="0" fontId="21" fillId="0" borderId="3" xfId="3" applyNumberFormat="1" applyFont="1" applyBorder="1" applyAlignment="1">
      <alignment horizontal="left" vertical="top" wrapText="1"/>
    </xf>
    <xf numFmtId="0" fontId="21" fillId="0" borderId="4" xfId="3" applyFont="1" applyBorder="1" applyAlignment="1">
      <alignment vertical="top" wrapText="1"/>
    </xf>
    <xf numFmtId="0" fontId="21" fillId="0" borderId="4" xfId="3" applyNumberFormat="1" applyFont="1" applyBorder="1" applyAlignment="1">
      <alignment vertical="top" wrapText="1"/>
    </xf>
    <xf numFmtId="0" fontId="21" fillId="0" borderId="10" xfId="3" applyFont="1" applyBorder="1" applyAlignment="1">
      <alignment vertical="top" wrapText="1"/>
    </xf>
    <xf numFmtId="0" fontId="21" fillId="0" borderId="6" xfId="3" applyNumberFormat="1" applyFont="1" applyBorder="1" applyAlignment="1">
      <alignment horizontal="left" vertical="top"/>
    </xf>
    <xf numFmtId="0" fontId="21" fillId="0" borderId="10" xfId="3" applyNumberFormat="1" applyFont="1" applyBorder="1" applyAlignment="1">
      <alignment horizontal="left" vertical="top" wrapText="1"/>
    </xf>
    <xf numFmtId="0" fontId="21" fillId="0" borderId="1" xfId="3" applyNumberFormat="1" applyFont="1" applyBorder="1" applyAlignment="1">
      <alignment horizontal="center" vertical="top" wrapText="1"/>
    </xf>
    <xf numFmtId="0" fontId="21" fillId="0" borderId="13" xfId="3" applyNumberFormat="1" applyFont="1" applyBorder="1" applyAlignment="1">
      <alignment horizontal="center" vertical="top" wrapText="1"/>
    </xf>
    <xf numFmtId="0" fontId="21" fillId="0" borderId="2" xfId="3" applyNumberFormat="1" applyFont="1" applyBorder="1" applyAlignment="1">
      <alignment horizontal="left" vertical="top" wrapText="1"/>
    </xf>
    <xf numFmtId="0" fontId="21" fillId="0" borderId="7" xfId="3" applyNumberFormat="1" applyFont="1" applyBorder="1" applyAlignment="1">
      <alignment horizontal="center" vertical="top"/>
    </xf>
    <xf numFmtId="0" fontId="21" fillId="0" borderId="4" xfId="3" applyFont="1" applyBorder="1" applyAlignment="1">
      <alignment vertical="top"/>
    </xf>
    <xf numFmtId="0" fontId="21" fillId="0" borderId="5" xfId="3" applyNumberFormat="1" applyFont="1" applyBorder="1" applyAlignment="1">
      <alignment horizontal="left" vertical="top" wrapText="1"/>
    </xf>
    <xf numFmtId="0" fontId="23" fillId="0" borderId="6" xfId="3" applyNumberFormat="1" applyFont="1" applyBorder="1" applyAlignment="1">
      <alignment horizontal="left" vertical="top"/>
    </xf>
    <xf numFmtId="0" fontId="9" fillId="0" borderId="0" xfId="4" applyFont="1" applyAlignment="1">
      <alignment horizontal="left" vertical="top" wrapText="1"/>
    </xf>
    <xf numFmtId="3" fontId="10" fillId="0" borderId="2" xfId="4" applyNumberFormat="1" applyFont="1" applyBorder="1" applyAlignment="1">
      <alignment horizontal="center" vertical="center"/>
    </xf>
    <xf numFmtId="0" fontId="10" fillId="0" borderId="2" xfId="4" applyNumberFormat="1" applyFont="1" applyBorder="1" applyAlignment="1">
      <alignment horizontal="center" vertical="center"/>
    </xf>
    <xf numFmtId="3" fontId="10" fillId="0" borderId="2" xfId="4" applyNumberFormat="1" applyFont="1" applyBorder="1" applyAlignment="1">
      <alignment horizontal="center" vertical="top" wrapText="1"/>
    </xf>
    <xf numFmtId="3" fontId="10" fillId="0" borderId="2" xfId="4" applyNumberFormat="1" applyFont="1" applyBorder="1" applyAlignment="1">
      <alignment horizontal="center" vertical="center" wrapText="1"/>
    </xf>
    <xf numFmtId="0" fontId="10" fillId="0" borderId="1" xfId="4" applyNumberFormat="1" applyFont="1" applyBorder="1" applyAlignment="1">
      <alignment horizontal="center" vertical="top" wrapText="1"/>
    </xf>
    <xf numFmtId="0" fontId="2" fillId="0" borderId="0" xfId="4" applyNumberFormat="1" applyFont="1" applyAlignment="1">
      <alignment horizontal="center" vertical="top"/>
    </xf>
    <xf numFmtId="0" fontId="9" fillId="0" borderId="2" xfId="4" applyNumberFormat="1" applyFont="1" applyBorder="1" applyAlignment="1">
      <alignment horizontal="center" vertical="top" wrapText="1"/>
    </xf>
    <xf numFmtId="0" fontId="10" fillId="0" borderId="0" xfId="1" applyNumberFormat="1" applyFont="1" applyAlignment="1">
      <alignment horizontal="center"/>
    </xf>
    <xf numFmtId="0" fontId="41" fillId="0" borderId="15" xfId="7" applyNumberFormat="1" applyFont="1" applyFill="1" applyBorder="1" applyAlignment="1">
      <alignment vertical="top" wrapText="1"/>
    </xf>
    <xf numFmtId="0" fontId="41" fillId="0" borderId="16" xfId="7" applyNumberFormat="1" applyFont="1" applyFill="1" applyBorder="1" applyAlignment="1">
      <alignment vertical="top" wrapText="1"/>
    </xf>
    <xf numFmtId="0" fontId="41" fillId="0" borderId="11" xfId="7" applyNumberFormat="1" applyFont="1" applyFill="1" applyBorder="1" applyAlignment="1">
      <alignment vertical="top" wrapText="1"/>
    </xf>
    <xf numFmtId="0" fontId="25" fillId="2" borderId="15" xfId="6" applyNumberFormat="1" applyFont="1" applyFill="1" applyBorder="1" applyAlignment="1">
      <alignment vertical="top" wrapText="1"/>
    </xf>
    <xf numFmtId="0" fontId="25" fillId="2" borderId="16" xfId="6" applyNumberFormat="1" applyFont="1" applyFill="1" applyBorder="1" applyAlignment="1">
      <alignment vertical="top" wrapText="1"/>
    </xf>
    <xf numFmtId="0" fontId="27" fillId="0" borderId="0" xfId="0" applyFont="1" applyAlignment="1">
      <alignment vertical="top" wrapText="1"/>
    </xf>
    <xf numFmtId="0" fontId="12" fillId="0" borderId="0" xfId="0" applyFont="1" applyAlignment="1">
      <alignment horizontal="center" vertical="top" wrapText="1"/>
    </xf>
    <xf numFmtId="3" fontId="42" fillId="0" borderId="2" xfId="0" applyNumberFormat="1" applyFont="1" applyFill="1" applyBorder="1" applyAlignment="1">
      <alignment horizontal="right" vertical="top" wrapText="1"/>
    </xf>
    <xf numFmtId="3" fontId="46" fillId="0" borderId="2" xfId="0" applyNumberFormat="1" applyFont="1" applyFill="1" applyBorder="1" applyAlignment="1">
      <alignment horizontal="left" vertical="top" wrapText="1"/>
    </xf>
    <xf numFmtId="0" fontId="23" fillId="0" borderId="0" xfId="3" applyFont="1" applyFill="1" applyAlignment="1">
      <alignment vertical="top"/>
    </xf>
    <xf numFmtId="0" fontId="23" fillId="0" borderId="1" xfId="3" applyNumberFormat="1" applyFont="1" applyFill="1" applyBorder="1" applyAlignment="1">
      <alignment horizontal="left" vertical="top" wrapText="1"/>
    </xf>
    <xf numFmtId="0" fontId="21" fillId="0" borderId="0" xfId="3" applyNumberFormat="1" applyFont="1" applyFill="1" applyAlignment="1">
      <alignment horizontal="center" vertical="top"/>
    </xf>
    <xf numFmtId="0" fontId="23" fillId="0" borderId="0" xfId="3" applyNumberFormat="1" applyFont="1" applyFill="1" applyAlignment="1">
      <alignment horizontal="left" vertical="top"/>
    </xf>
    <xf numFmtId="0" fontId="23" fillId="0" borderId="7" xfId="3" applyNumberFormat="1" applyFont="1" applyBorder="1" applyAlignment="1">
      <alignment horizontal="center" vertical="top"/>
    </xf>
    <xf numFmtId="3" fontId="23" fillId="0" borderId="2" xfId="3" applyNumberFormat="1" applyFont="1" applyFill="1" applyBorder="1" applyAlignment="1">
      <alignment horizontal="center" vertical="top" wrapText="1"/>
    </xf>
    <xf numFmtId="0" fontId="4" fillId="0" borderId="12" xfId="3" applyNumberFormat="1" applyFont="1" applyBorder="1" applyAlignment="1">
      <alignment vertical="top" indent="2"/>
    </xf>
    <xf numFmtId="0" fontId="4" fillId="0" borderId="12" xfId="3" applyNumberFormat="1" applyFont="1" applyBorder="1" applyAlignment="1">
      <alignment vertical="top"/>
    </xf>
    <xf numFmtId="2" fontId="4" fillId="0" borderId="12" xfId="3" applyNumberFormat="1" applyFont="1" applyBorder="1" applyAlignment="1">
      <alignment horizontal="right" vertical="top" wrapText="1"/>
    </xf>
    <xf numFmtId="0" fontId="4" fillId="0" borderId="12" xfId="3" applyNumberFormat="1" applyFont="1" applyBorder="1" applyAlignment="1">
      <alignment horizontal="right" vertical="top" wrapText="1"/>
    </xf>
    <xf numFmtId="0" fontId="52" fillId="2" borderId="12" xfId="3" applyNumberFormat="1" applyFont="1" applyFill="1" applyBorder="1" applyAlignment="1">
      <alignment vertical="top"/>
    </xf>
    <xf numFmtId="0" fontId="52" fillId="2" borderId="12" xfId="3" applyNumberFormat="1" applyFont="1" applyFill="1" applyBorder="1" applyAlignment="1">
      <alignment vertical="top" wrapText="1"/>
    </xf>
    <xf numFmtId="4" fontId="52" fillId="2" borderId="12" xfId="3" applyNumberFormat="1" applyFont="1" applyFill="1" applyBorder="1" applyAlignment="1">
      <alignment horizontal="right" vertical="top" wrapText="1"/>
    </xf>
    <xf numFmtId="0" fontId="52" fillId="2" borderId="12" xfId="3" applyNumberFormat="1" applyFont="1" applyFill="1" applyBorder="1" applyAlignment="1">
      <alignment horizontal="right" vertical="top" wrapText="1"/>
    </xf>
    <xf numFmtId="0" fontId="23" fillId="0" borderId="2" xfId="3" applyNumberFormat="1" applyFont="1" applyBorder="1" applyAlignment="1">
      <alignment horizontal="center" vertical="top" wrapText="1"/>
    </xf>
    <xf numFmtId="0" fontId="23" fillId="0" borderId="2" xfId="2" applyNumberFormat="1" applyFont="1" applyFill="1" applyBorder="1" applyAlignment="1">
      <alignment horizontal="center" vertical="top" wrapText="1"/>
    </xf>
    <xf numFmtId="0" fontId="9" fillId="0" borderId="0" xfId="3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9" fillId="0" borderId="0" xfId="1" applyNumberFormat="1" applyFont="1" applyFill="1" applyAlignment="1">
      <alignment horizontal="center"/>
    </xf>
    <xf numFmtId="0" fontId="9" fillId="0" borderId="0" xfId="1" applyNumberFormat="1" applyFont="1" applyFill="1" applyBorder="1" applyAlignment="1">
      <alignment horizontal="left" vertical="top" wrapText="1"/>
    </xf>
    <xf numFmtId="0" fontId="10" fillId="0" borderId="0" xfId="1" applyNumberFormat="1" applyFont="1" applyFill="1" applyAlignment="1">
      <alignment horizontal="center"/>
    </xf>
  </cellXfs>
  <cellStyles count="9">
    <cellStyle name="Обычный" xfId="0" builtinId="0"/>
    <cellStyle name="Обычный_Лист1" xfId="1"/>
    <cellStyle name="Обычный_ОСВ" xfId="8"/>
    <cellStyle name="Обычный_ОСВ 2 кв" xfId="5"/>
    <cellStyle name="Обычный_ОСВ 3 кв" xfId="7"/>
    <cellStyle name="Обычный_Расшифровки" xfId="6"/>
    <cellStyle name="Обычный_Ф2" xfId="2"/>
    <cellStyle name="Обычный_Ф3" xfId="3"/>
    <cellStyle name="Обычный_Ф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72"/>
  <sheetViews>
    <sheetView tabSelected="1" workbookViewId="0">
      <selection activeCell="G6" sqref="G6"/>
    </sheetView>
  </sheetViews>
  <sheetFormatPr defaultColWidth="8.7265625" defaultRowHeight="14.5" x14ac:dyDescent="0.35"/>
  <cols>
    <col min="1" max="1" width="41.453125" style="13" customWidth="1"/>
    <col min="2" max="2" width="8.7265625" style="13"/>
    <col min="3" max="4" width="18.26953125" style="13" customWidth="1"/>
    <col min="5" max="5" width="8.7265625" style="13" customWidth="1"/>
    <col min="6" max="6" width="11.81640625" style="13" customWidth="1"/>
    <col min="7" max="7" width="16.81640625" style="13" customWidth="1"/>
    <col min="8" max="8" width="8.7265625" style="13"/>
    <col min="9" max="9" width="27.1796875" style="13" customWidth="1"/>
    <col min="10" max="16384" width="8.7265625" style="13"/>
  </cols>
  <sheetData>
    <row r="1" spans="1:9" ht="43" customHeight="1" x14ac:dyDescent="0.35">
      <c r="A1" s="496" t="s">
        <v>422</v>
      </c>
      <c r="B1" s="496"/>
      <c r="C1" s="496"/>
      <c r="D1" s="496"/>
      <c r="E1" s="4"/>
      <c r="F1" s="4"/>
      <c r="G1" s="4"/>
      <c r="H1" s="12"/>
      <c r="I1" s="12"/>
    </row>
    <row r="2" spans="1:9" x14ac:dyDescent="0.35">
      <c r="A2" s="495" t="s">
        <v>420</v>
      </c>
      <c r="B2" s="495"/>
      <c r="C2" s="495"/>
      <c r="D2" s="495"/>
      <c r="E2" s="5"/>
      <c r="F2" s="5"/>
      <c r="G2" s="5"/>
      <c r="H2" s="12"/>
      <c r="I2" s="12"/>
    </row>
    <row r="3" spans="1:9" x14ac:dyDescent="0.35">
      <c r="A3" s="497" t="s">
        <v>421</v>
      </c>
      <c r="B3" s="497"/>
      <c r="C3" s="497"/>
      <c r="D3" s="497"/>
      <c r="E3" s="6"/>
      <c r="F3" s="6"/>
      <c r="G3" s="6"/>
      <c r="H3" s="12"/>
      <c r="I3" s="12"/>
    </row>
    <row r="4" spans="1:9" x14ac:dyDescent="0.35">
      <c r="A4" s="65"/>
      <c r="B4" s="65"/>
      <c r="C4" s="65"/>
      <c r="D4" s="66" t="s">
        <v>0</v>
      </c>
      <c r="E4" s="12"/>
      <c r="F4" s="12"/>
      <c r="H4" s="12"/>
      <c r="I4" s="12"/>
    </row>
    <row r="5" spans="1:9" ht="23" x14ac:dyDescent="0.35">
      <c r="A5" s="14" t="s">
        <v>169</v>
      </c>
      <c r="B5" s="15" t="s">
        <v>170</v>
      </c>
      <c r="C5" s="261" t="s">
        <v>418</v>
      </c>
      <c r="D5" s="261" t="s">
        <v>419</v>
      </c>
    </row>
    <row r="6" spans="1:9" x14ac:dyDescent="0.35">
      <c r="A6" s="14" t="s">
        <v>1</v>
      </c>
      <c r="B6" s="16"/>
      <c r="C6" s="17"/>
      <c r="D6" s="17"/>
    </row>
    <row r="7" spans="1:9" x14ac:dyDescent="0.35">
      <c r="A7" s="18" t="s">
        <v>225</v>
      </c>
      <c r="B7" s="16">
        <v>7</v>
      </c>
      <c r="C7" s="19">
        <f>SUM(C8:C10)</f>
        <v>1692</v>
      </c>
      <c r="D7" s="19">
        <f>SUM(D8:D10)</f>
        <v>91398</v>
      </c>
      <c r="E7" s="69"/>
    </row>
    <row r="8" spans="1:9" ht="28" x14ac:dyDescent="0.35">
      <c r="A8" s="323" t="s">
        <v>171</v>
      </c>
      <c r="B8" s="16"/>
      <c r="C8" s="20">
        <f>ROUND('ОСВ '!F9/1000,0)</f>
        <v>1462</v>
      </c>
      <c r="D8" s="264">
        <v>7022</v>
      </c>
    </row>
    <row r="9" spans="1:9" x14ac:dyDescent="0.35">
      <c r="A9" s="323" t="s">
        <v>212</v>
      </c>
      <c r="B9" s="16"/>
      <c r="C9" s="20">
        <f>ROUND('ОСВ '!F11/1000,0)+1</f>
        <v>28</v>
      </c>
      <c r="D9" s="265">
        <v>274</v>
      </c>
    </row>
    <row r="10" spans="1:9" x14ac:dyDescent="0.35">
      <c r="A10" s="323" t="s">
        <v>172</v>
      </c>
      <c r="B10" s="16"/>
      <c r="C10" s="20">
        <f>ROUND('ОСВ '!F10/1000,0)</f>
        <v>202</v>
      </c>
      <c r="D10" s="264">
        <v>84102</v>
      </c>
    </row>
    <row r="11" spans="1:9" x14ac:dyDescent="0.35">
      <c r="A11" s="18" t="s">
        <v>173</v>
      </c>
      <c r="B11" s="16">
        <v>8</v>
      </c>
      <c r="C11" s="266">
        <f>ROUND(('ОСВ '!F12+'ОСВ '!F18+'ОСВ '!F19+'ОСВ '!F23-'ОСВ '!G25+'ОСВ '!F38+'ОСВ '!F41)/1000,0)</f>
        <v>1991134</v>
      </c>
      <c r="D11" s="267">
        <v>1704003</v>
      </c>
      <c r="E11" s="69"/>
    </row>
    <row r="12" spans="1:9" ht="28" x14ac:dyDescent="0.35">
      <c r="A12" s="18" t="s">
        <v>174</v>
      </c>
      <c r="B12" s="16">
        <v>9</v>
      </c>
      <c r="C12" s="21">
        <f>ROUND(('ОСВ '!F20)/1000,0)</f>
        <v>31</v>
      </c>
      <c r="D12" s="268">
        <v>281</v>
      </c>
      <c r="E12" s="69"/>
    </row>
    <row r="13" spans="1:9" ht="28" x14ac:dyDescent="0.35">
      <c r="A13" s="18" t="s">
        <v>226</v>
      </c>
      <c r="B13" s="16">
        <v>9</v>
      </c>
      <c r="C13" s="21">
        <f>ROUND(('ОСВ '!F24)/1000,0)</f>
        <v>151995</v>
      </c>
      <c r="D13" s="269">
        <v>3161</v>
      </c>
      <c r="E13" s="69"/>
    </row>
    <row r="14" spans="1:9" x14ac:dyDescent="0.35">
      <c r="A14" s="18" t="s">
        <v>8</v>
      </c>
      <c r="B14" s="16">
        <v>10</v>
      </c>
      <c r="C14" s="21">
        <f>ROUND(('ОСВ '!F43-'ОСВ '!G44)/1000,0)</f>
        <v>5988</v>
      </c>
      <c r="D14" s="269">
        <v>6220</v>
      </c>
    </row>
    <row r="15" spans="1:9" x14ac:dyDescent="0.35">
      <c r="A15" s="18" t="s">
        <v>9</v>
      </c>
      <c r="B15" s="16">
        <v>11</v>
      </c>
      <c r="C15" s="21">
        <f>ROUND(('ОСВ '!F45)/1000,0)</f>
        <v>67</v>
      </c>
      <c r="D15" s="268">
        <v>78</v>
      </c>
    </row>
    <row r="16" spans="1:9" x14ac:dyDescent="0.35">
      <c r="A16" s="18" t="s">
        <v>7</v>
      </c>
      <c r="B16" s="16">
        <v>12</v>
      </c>
      <c r="C16" s="21">
        <f>ROUND(('ОСВ '!F27)/1000,0)</f>
        <v>183</v>
      </c>
      <c r="D16" s="268">
        <v>209</v>
      </c>
    </row>
    <row r="17" spans="1:6" x14ac:dyDescent="0.35">
      <c r="A17" s="18" t="s">
        <v>435</v>
      </c>
      <c r="B17" s="16">
        <v>15</v>
      </c>
      <c r="C17" s="21">
        <v>358</v>
      </c>
      <c r="D17" s="268">
        <v>330</v>
      </c>
    </row>
    <row r="18" spans="1:6" x14ac:dyDescent="0.35">
      <c r="A18" s="18" t="s">
        <v>175</v>
      </c>
      <c r="B18" s="16">
        <v>13</v>
      </c>
      <c r="C18" s="21">
        <f>ROUND(('ОСВ '!F29)/1000,0)</f>
        <v>1399</v>
      </c>
      <c r="D18" s="269">
        <v>1284</v>
      </c>
    </row>
    <row r="19" spans="1:6" x14ac:dyDescent="0.35">
      <c r="A19" s="18" t="s">
        <v>10</v>
      </c>
      <c r="B19" s="16">
        <v>14</v>
      </c>
      <c r="C19" s="21">
        <f>ROUND(('ОСВ '!F48)/1000,0)</f>
        <v>535</v>
      </c>
      <c r="D19" s="268">
        <v>535</v>
      </c>
    </row>
    <row r="20" spans="1:6" x14ac:dyDescent="0.35">
      <c r="A20" s="18" t="s">
        <v>176</v>
      </c>
      <c r="B20" s="16">
        <v>15</v>
      </c>
      <c r="C20" s="21">
        <f>ROUND(('ОСВ '!F32+'ОСВ '!F50)/1000,0)-C17</f>
        <v>1475</v>
      </c>
      <c r="D20" s="269">
        <f>3827-D17</f>
        <v>3497</v>
      </c>
    </row>
    <row r="21" spans="1:6" x14ac:dyDescent="0.35">
      <c r="A21" s="14" t="s">
        <v>177</v>
      </c>
      <c r="B21" s="15"/>
      <c r="C21" s="19">
        <f>SUM(C11:C20)+C7</f>
        <v>2154857</v>
      </c>
      <c r="D21" s="19">
        <f>SUM(D11:D20)+D7</f>
        <v>1810996</v>
      </c>
      <c r="F21" s="22"/>
    </row>
    <row r="22" spans="1:6" x14ac:dyDescent="0.35">
      <c r="A22" s="14" t="s">
        <v>178</v>
      </c>
      <c r="B22" s="15"/>
      <c r="C22" s="17"/>
      <c r="D22" s="268"/>
    </row>
    <row r="23" spans="1:6" x14ac:dyDescent="0.35">
      <c r="A23" s="18" t="s">
        <v>179</v>
      </c>
      <c r="B23" s="16">
        <v>17</v>
      </c>
      <c r="C23" s="70">
        <f>ROUND(('ОСВ '!G78+'ОСВ '!G68)/1000,0)</f>
        <v>272186</v>
      </c>
      <c r="D23" s="270" t="s">
        <v>6</v>
      </c>
    </row>
    <row r="24" spans="1:6" x14ac:dyDescent="0.35">
      <c r="A24" s="18" t="s">
        <v>180</v>
      </c>
      <c r="B24" s="16">
        <v>16</v>
      </c>
      <c r="C24" s="70">
        <f>ROUND(('ОСВ '!G79+'ОСВ '!G81)/1000,0)</f>
        <v>1235963</v>
      </c>
      <c r="D24" s="271">
        <v>1145324</v>
      </c>
    </row>
    <row r="25" spans="1:6" x14ac:dyDescent="0.35">
      <c r="A25" s="18" t="s">
        <v>414</v>
      </c>
      <c r="B25" s="16">
        <v>17</v>
      </c>
      <c r="C25" s="70">
        <f>ROUND(('ОСВ '!G53)/1000,0)</f>
        <v>113520</v>
      </c>
      <c r="D25" s="271"/>
    </row>
    <row r="26" spans="1:6" x14ac:dyDescent="0.35">
      <c r="A26" s="18" t="s">
        <v>227</v>
      </c>
      <c r="B26" s="16">
        <v>18</v>
      </c>
      <c r="C26" s="70">
        <f>ROUND(('ОСВ '!G66+'ОСВ '!G69)/1000,0)-1</f>
        <v>299</v>
      </c>
      <c r="D26" s="270">
        <v>595</v>
      </c>
    </row>
    <row r="27" spans="1:6" ht="28" x14ac:dyDescent="0.35">
      <c r="A27" s="18" t="s">
        <v>182</v>
      </c>
      <c r="B27" s="16">
        <v>19</v>
      </c>
      <c r="C27" s="70">
        <f>ROUND(('ОСВ '!G54)/1000,0)</f>
        <v>28720</v>
      </c>
      <c r="D27" s="271">
        <v>28328</v>
      </c>
    </row>
    <row r="28" spans="1:6" ht="28" x14ac:dyDescent="0.35">
      <c r="A28" s="18" t="s">
        <v>181</v>
      </c>
      <c r="B28" s="16">
        <v>20</v>
      </c>
      <c r="C28" s="70">
        <f>ROUND(('ОСВ '!G73)/1000,0)</f>
        <v>4312</v>
      </c>
      <c r="D28" s="271">
        <v>4312</v>
      </c>
    </row>
    <row r="29" spans="1:6" x14ac:dyDescent="0.35">
      <c r="A29" s="18" t="s">
        <v>183</v>
      </c>
      <c r="B29" s="16">
        <v>20</v>
      </c>
      <c r="C29" s="70">
        <f>ROUND(('ОСВ '!G75+'ОСВ '!G58)/1000,0)</f>
        <v>21537</v>
      </c>
      <c r="D29" s="271">
        <v>24559</v>
      </c>
    </row>
    <row r="30" spans="1:6" x14ac:dyDescent="0.35">
      <c r="A30" s="18" t="s">
        <v>11</v>
      </c>
      <c r="B30" s="16"/>
      <c r="C30" s="17"/>
      <c r="D30" s="268"/>
    </row>
    <row r="31" spans="1:6" x14ac:dyDescent="0.35">
      <c r="A31" s="14" t="s">
        <v>184</v>
      </c>
      <c r="B31" s="15"/>
      <c r="C31" s="19">
        <f>SUM(C23:C29)</f>
        <v>1676537</v>
      </c>
      <c r="D31" s="19">
        <f>SUM(D23:D29)</f>
        <v>1203118</v>
      </c>
    </row>
    <row r="32" spans="1:6" x14ac:dyDescent="0.35">
      <c r="A32" s="14" t="s">
        <v>185</v>
      </c>
      <c r="B32" s="15"/>
      <c r="C32" s="17"/>
      <c r="D32" s="268"/>
    </row>
    <row r="33" spans="1:9" x14ac:dyDescent="0.35">
      <c r="A33" s="18" t="s">
        <v>12</v>
      </c>
      <c r="B33" s="16">
        <v>21</v>
      </c>
      <c r="C33" s="21">
        <v>200000</v>
      </c>
      <c r="D33" s="269">
        <v>200000</v>
      </c>
    </row>
    <row r="34" spans="1:9" ht="28" x14ac:dyDescent="0.35">
      <c r="A34" s="18" t="s">
        <v>186</v>
      </c>
      <c r="B34" s="16">
        <v>21</v>
      </c>
      <c r="C34" s="23">
        <f>SUM(C35:C36)</f>
        <v>278320</v>
      </c>
      <c r="D34" s="23">
        <f>SUM(D35:D36)</f>
        <v>407878</v>
      </c>
    </row>
    <row r="35" spans="1:9" x14ac:dyDescent="0.35">
      <c r="A35" s="18" t="s">
        <v>187</v>
      </c>
      <c r="B35" s="16"/>
      <c r="C35" s="70">
        <f>ROUND(('ОСВ '!G86)/1000,0)</f>
        <v>294358</v>
      </c>
      <c r="D35" s="271">
        <v>294358</v>
      </c>
    </row>
    <row r="36" spans="1:9" x14ac:dyDescent="0.35">
      <c r="A36" s="18" t="s">
        <v>188</v>
      </c>
      <c r="B36" s="16"/>
      <c r="C36" s="70">
        <f>ROUND(('ОСВ '!G85)/1000,0)</f>
        <v>-16038</v>
      </c>
      <c r="D36" s="271">
        <v>113520</v>
      </c>
    </row>
    <row r="37" spans="1:9" x14ac:dyDescent="0.35">
      <c r="A37" s="14" t="s">
        <v>126</v>
      </c>
      <c r="B37" s="15"/>
      <c r="C37" s="19">
        <f>C33+C34</f>
        <v>478320</v>
      </c>
      <c r="D37" s="19">
        <f>D33+D34</f>
        <v>607878</v>
      </c>
    </row>
    <row r="38" spans="1:9" x14ac:dyDescent="0.35">
      <c r="A38" s="14" t="s">
        <v>189</v>
      </c>
      <c r="B38" s="15"/>
      <c r="C38" s="19">
        <f>C37+C31</f>
        <v>2154857</v>
      </c>
      <c r="D38" s="19">
        <f>D37+D31</f>
        <v>1810996</v>
      </c>
    </row>
    <row r="39" spans="1:9" x14ac:dyDescent="0.35">
      <c r="A39" s="211"/>
      <c r="B39" s="212"/>
      <c r="C39" s="213"/>
      <c r="D39" s="213"/>
    </row>
    <row r="40" spans="1:9" hidden="1" x14ac:dyDescent="0.35">
      <c r="A40" s="211"/>
      <c r="B40" s="212"/>
      <c r="C40" s="213"/>
      <c r="D40" s="213"/>
    </row>
    <row r="41" spans="1:9" hidden="1" x14ac:dyDescent="0.35">
      <c r="A41" s="12"/>
      <c r="B41" s="12"/>
      <c r="C41" s="71" t="b">
        <f>C21=C38</f>
        <v>1</v>
      </c>
      <c r="D41" s="72" t="b">
        <f>D21=D38</f>
        <v>1</v>
      </c>
      <c r="E41" s="12"/>
      <c r="F41" s="12"/>
      <c r="G41" s="12"/>
      <c r="H41" s="12"/>
      <c r="I41" s="12"/>
    </row>
    <row r="42" spans="1:9" x14ac:dyDescent="0.35">
      <c r="A42" s="7" t="s">
        <v>16</v>
      </c>
      <c r="B42" s="8" t="s">
        <v>17</v>
      </c>
      <c r="C42" s="244"/>
      <c r="D42" s="1"/>
      <c r="E42" s="12"/>
      <c r="F42" s="12"/>
    </row>
    <row r="43" spans="1:9" x14ac:dyDescent="0.35">
      <c r="A43" s="12"/>
      <c r="B43" s="10" t="s">
        <v>18</v>
      </c>
      <c r="D43" s="2" t="s">
        <v>19</v>
      </c>
      <c r="E43" s="12"/>
      <c r="F43" s="12"/>
    </row>
    <row r="44" spans="1:9" x14ac:dyDescent="0.35">
      <c r="A44" s="11" t="s">
        <v>20</v>
      </c>
      <c r="B44" s="9"/>
      <c r="C44" s="9"/>
      <c r="D44" s="3"/>
      <c r="E44" s="12"/>
      <c r="F44" s="12"/>
    </row>
    <row r="45" spans="1:9" x14ac:dyDescent="0.35">
      <c r="A45" s="12"/>
      <c r="B45" s="10" t="s">
        <v>18</v>
      </c>
      <c r="D45" s="2" t="s">
        <v>19</v>
      </c>
      <c r="E45" s="12"/>
      <c r="F45" s="12"/>
    </row>
    <row r="46" spans="1:9" x14ac:dyDescent="0.35">
      <c r="A46" s="12" t="s">
        <v>21</v>
      </c>
      <c r="B46" s="12"/>
      <c r="C46" s="12"/>
      <c r="D46" s="12"/>
      <c r="E46" s="12"/>
      <c r="F46" s="12"/>
      <c r="G46" s="12"/>
      <c r="H46" s="12"/>
      <c r="I46" s="12"/>
    </row>
    <row r="47" spans="1:9" x14ac:dyDescent="0.35">
      <c r="A47" s="12" t="s">
        <v>22</v>
      </c>
      <c r="B47" s="12"/>
      <c r="C47" s="12"/>
      <c r="D47" s="12"/>
      <c r="E47" s="12"/>
      <c r="F47" s="12"/>
      <c r="G47" s="12"/>
      <c r="H47" s="12"/>
      <c r="I47" s="12"/>
    </row>
    <row r="48" spans="1:9" x14ac:dyDescent="0.35">
      <c r="A48" s="12"/>
      <c r="B48" s="12"/>
      <c r="C48" s="12"/>
      <c r="D48" s="12"/>
      <c r="E48" s="12"/>
      <c r="F48" s="12"/>
      <c r="G48" s="12"/>
      <c r="H48" s="12"/>
      <c r="I48" s="12"/>
    </row>
    <row r="49" spans="1:9" x14ac:dyDescent="0.35">
      <c r="A49" s="12"/>
      <c r="B49" s="12"/>
      <c r="C49" s="12"/>
      <c r="D49" s="12"/>
      <c r="E49" s="12"/>
      <c r="F49" s="12"/>
      <c r="G49" s="12"/>
      <c r="H49" s="12"/>
      <c r="I49" s="12"/>
    </row>
    <row r="50" spans="1:9" x14ac:dyDescent="0.35">
      <c r="A50" s="12"/>
      <c r="B50" s="12"/>
      <c r="C50" s="12"/>
      <c r="D50" s="12"/>
      <c r="E50" s="12"/>
      <c r="F50" s="12"/>
      <c r="G50" s="12"/>
      <c r="H50" s="12"/>
      <c r="I50" s="12"/>
    </row>
    <row r="51" spans="1:9" x14ac:dyDescent="0.35">
      <c r="A51" s="12"/>
      <c r="B51" s="12"/>
      <c r="C51" s="12"/>
      <c r="D51" s="12"/>
      <c r="E51" s="12"/>
      <c r="F51" s="12"/>
      <c r="G51" s="12"/>
      <c r="H51" s="12"/>
      <c r="I51" s="12"/>
    </row>
    <row r="52" spans="1:9" x14ac:dyDescent="0.35">
      <c r="A52" s="12"/>
      <c r="B52" s="12"/>
      <c r="C52" s="12"/>
      <c r="D52" s="12"/>
      <c r="E52" s="12"/>
      <c r="F52" s="12"/>
      <c r="G52" s="12"/>
      <c r="H52" s="12"/>
      <c r="I52" s="12"/>
    </row>
    <row r="53" spans="1:9" x14ac:dyDescent="0.35">
      <c r="A53" s="12"/>
      <c r="B53" s="12"/>
      <c r="C53" s="12"/>
      <c r="D53" s="12"/>
      <c r="E53" s="12"/>
      <c r="F53" s="12"/>
      <c r="G53" s="12"/>
      <c r="H53" s="12"/>
      <c r="I53" s="12"/>
    </row>
    <row r="54" spans="1:9" x14ac:dyDescent="0.35">
      <c r="A54" s="12"/>
      <c r="B54" s="12"/>
      <c r="C54" s="12"/>
      <c r="D54" s="12"/>
      <c r="E54" s="12"/>
      <c r="F54" s="12"/>
      <c r="G54" s="12"/>
      <c r="H54" s="12"/>
      <c r="I54" s="12"/>
    </row>
    <row r="55" spans="1:9" x14ac:dyDescent="0.35">
      <c r="A55" s="12"/>
      <c r="B55" s="12"/>
      <c r="C55" s="12"/>
      <c r="D55" s="12"/>
      <c r="E55" s="12"/>
      <c r="F55" s="12"/>
      <c r="G55" s="12"/>
      <c r="H55" s="12"/>
      <c r="I55" s="12"/>
    </row>
    <row r="56" spans="1:9" x14ac:dyDescent="0.35">
      <c r="A56" s="12"/>
      <c r="B56" s="12"/>
      <c r="C56" s="12"/>
      <c r="D56" s="12"/>
      <c r="E56" s="12"/>
      <c r="F56" s="12"/>
      <c r="G56" s="12"/>
      <c r="H56" s="12"/>
      <c r="I56" s="12"/>
    </row>
    <row r="57" spans="1:9" x14ac:dyDescent="0.35">
      <c r="A57" s="12"/>
      <c r="B57" s="12"/>
      <c r="C57" s="12"/>
      <c r="D57" s="12"/>
      <c r="E57" s="12"/>
      <c r="F57" s="12"/>
      <c r="G57" s="12"/>
      <c r="H57" s="12"/>
      <c r="I57" s="12"/>
    </row>
    <row r="58" spans="1:9" x14ac:dyDescent="0.35">
      <c r="A58" s="12"/>
      <c r="B58" s="12"/>
      <c r="C58" s="12"/>
      <c r="D58" s="12"/>
      <c r="E58" s="12"/>
      <c r="F58" s="12"/>
      <c r="G58" s="12"/>
      <c r="H58" s="12"/>
      <c r="I58" s="12"/>
    </row>
    <row r="59" spans="1:9" x14ac:dyDescent="0.35">
      <c r="A59" s="12"/>
      <c r="B59" s="12"/>
      <c r="C59" s="12"/>
      <c r="D59" s="12"/>
      <c r="E59" s="12"/>
      <c r="F59" s="12"/>
      <c r="G59" s="12"/>
      <c r="H59" s="12"/>
      <c r="I59" s="12"/>
    </row>
    <row r="60" spans="1:9" x14ac:dyDescent="0.35">
      <c r="A60" s="12"/>
      <c r="B60" s="12"/>
      <c r="C60" s="12"/>
      <c r="D60" s="12"/>
      <c r="E60" s="12"/>
      <c r="F60" s="12"/>
      <c r="G60" s="12"/>
      <c r="H60" s="12"/>
      <c r="I60" s="12"/>
    </row>
    <row r="61" spans="1:9" x14ac:dyDescent="0.35">
      <c r="A61" s="12"/>
      <c r="B61" s="12"/>
      <c r="C61" s="12"/>
      <c r="D61" s="12"/>
      <c r="E61" s="12"/>
      <c r="F61" s="12"/>
      <c r="G61" s="12"/>
      <c r="H61" s="12"/>
      <c r="I61" s="12"/>
    </row>
    <row r="62" spans="1:9" x14ac:dyDescent="0.35">
      <c r="A62" s="12"/>
      <c r="B62" s="12"/>
      <c r="C62" s="12"/>
      <c r="D62" s="12"/>
      <c r="E62" s="12"/>
      <c r="F62" s="12"/>
      <c r="G62" s="12"/>
      <c r="H62" s="12"/>
      <c r="I62" s="12"/>
    </row>
    <row r="63" spans="1:9" x14ac:dyDescent="0.35">
      <c r="A63" s="12"/>
      <c r="B63" s="12"/>
      <c r="C63" s="12"/>
      <c r="D63" s="12"/>
      <c r="E63" s="12"/>
      <c r="F63" s="12"/>
      <c r="G63" s="12"/>
      <c r="H63" s="12"/>
      <c r="I63" s="12"/>
    </row>
    <row r="64" spans="1:9" x14ac:dyDescent="0.35">
      <c r="A64" s="12"/>
      <c r="B64" s="12"/>
      <c r="C64" s="12"/>
      <c r="D64" s="12"/>
      <c r="E64" s="12"/>
      <c r="F64" s="12"/>
      <c r="G64" s="12"/>
      <c r="H64" s="12"/>
      <c r="I64" s="12"/>
    </row>
    <row r="65" spans="1:9" x14ac:dyDescent="0.35">
      <c r="A65" s="12"/>
      <c r="B65" s="12"/>
      <c r="C65" s="12"/>
      <c r="D65" s="12"/>
      <c r="E65" s="12"/>
      <c r="F65" s="12"/>
      <c r="G65" s="12"/>
      <c r="H65" s="12"/>
      <c r="I65" s="12"/>
    </row>
    <row r="66" spans="1:9" x14ac:dyDescent="0.35">
      <c r="A66" s="12"/>
      <c r="B66" s="12"/>
      <c r="C66" s="12"/>
      <c r="D66" s="12"/>
      <c r="E66" s="12"/>
      <c r="F66" s="12"/>
      <c r="G66" s="12"/>
      <c r="H66" s="12"/>
      <c r="I66" s="12"/>
    </row>
    <row r="67" spans="1:9" x14ac:dyDescent="0.35">
      <c r="A67" s="12"/>
      <c r="B67" s="12"/>
      <c r="C67" s="12"/>
      <c r="D67" s="12"/>
      <c r="E67" s="12"/>
      <c r="F67" s="12"/>
      <c r="G67" s="12"/>
      <c r="H67" s="12"/>
      <c r="I67" s="12"/>
    </row>
    <row r="68" spans="1:9" x14ac:dyDescent="0.35">
      <c r="A68" s="12"/>
      <c r="B68" s="12"/>
      <c r="C68" s="12"/>
      <c r="D68" s="12"/>
      <c r="E68" s="12"/>
      <c r="F68" s="12"/>
      <c r="G68" s="12"/>
      <c r="H68" s="12"/>
      <c r="I68" s="12"/>
    </row>
    <row r="69" spans="1:9" x14ac:dyDescent="0.35">
      <c r="A69" s="12"/>
      <c r="B69" s="12"/>
      <c r="C69" s="12"/>
      <c r="D69" s="12"/>
      <c r="E69" s="12"/>
      <c r="F69" s="12"/>
      <c r="G69" s="12"/>
      <c r="H69" s="12"/>
      <c r="I69" s="12"/>
    </row>
    <row r="70" spans="1:9" x14ac:dyDescent="0.35">
      <c r="A70" s="12"/>
      <c r="B70" s="12"/>
      <c r="C70" s="12"/>
      <c r="D70" s="12"/>
      <c r="E70" s="12"/>
      <c r="F70" s="12"/>
      <c r="G70" s="12"/>
      <c r="H70" s="12"/>
      <c r="I70" s="12"/>
    </row>
    <row r="71" spans="1:9" x14ac:dyDescent="0.35">
      <c r="A71" s="12"/>
      <c r="B71" s="12"/>
      <c r="C71" s="12"/>
      <c r="D71" s="12"/>
      <c r="E71" s="12"/>
      <c r="F71" s="12"/>
      <c r="G71" s="12"/>
      <c r="H71" s="12"/>
      <c r="I71" s="12"/>
    </row>
    <row r="72" spans="1:9" x14ac:dyDescent="0.35">
      <c r="A72" s="12"/>
      <c r="B72" s="12"/>
      <c r="C72" s="12"/>
      <c r="D72" s="12"/>
      <c r="E72" s="12"/>
      <c r="F72" s="12"/>
      <c r="G72" s="12"/>
      <c r="I72" s="12"/>
    </row>
  </sheetData>
  <mergeCells count="3">
    <mergeCell ref="A2:D2"/>
    <mergeCell ref="A1:D1"/>
    <mergeCell ref="A3:D3"/>
  </mergeCells>
  <pageMargins left="0.70866141732283472" right="0.70866141732283472" top="0.86614173228346458" bottom="0.27559055118110237" header="0.19685039370078741" footer="0.19685039370078741"/>
  <pageSetup paperSize="9" scale="89" orientation="portrait" verticalDpi="4294967295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2"/>
  <sheetViews>
    <sheetView workbookViewId="0">
      <selection sqref="A1:F1"/>
    </sheetView>
  </sheetViews>
  <sheetFormatPr defaultColWidth="8.7265625" defaultRowHeight="13" x14ac:dyDescent="0.35"/>
  <cols>
    <col min="1" max="1" width="11.1796875" style="74" customWidth="1"/>
    <col min="2" max="2" width="11.54296875" style="74" customWidth="1"/>
    <col min="3" max="3" width="35.1796875" style="74" customWidth="1"/>
    <col min="4" max="4" width="12.453125" style="74" customWidth="1"/>
    <col min="5" max="5" width="17.7265625" style="75" customWidth="1"/>
    <col min="6" max="6" width="17.7265625" style="280" customWidth="1"/>
    <col min="7" max="16384" width="8.7265625" style="74"/>
  </cols>
  <sheetData>
    <row r="1" spans="1:7" ht="42" customHeight="1" x14ac:dyDescent="0.35">
      <c r="A1" s="494" t="str">
        <f>Ф1!A1</f>
        <v>ТОО "Микрофинансовая организация "Капиталинвест"" 
Промежуточная финансовая отчетность за период с 01.01.2025 г. по 31.03.2025 г.
в тыс. тенге</v>
      </c>
      <c r="B1" s="494"/>
      <c r="C1" s="494"/>
      <c r="D1" s="494"/>
      <c r="E1" s="494"/>
      <c r="F1" s="494"/>
      <c r="G1" s="73"/>
    </row>
    <row r="2" spans="1:7" ht="14" x14ac:dyDescent="0.35">
      <c r="A2" s="425" t="s">
        <v>423</v>
      </c>
      <c r="B2" s="425"/>
      <c r="C2" s="425"/>
      <c r="D2" s="425"/>
      <c r="E2" s="425"/>
      <c r="F2" s="425"/>
      <c r="G2" s="73"/>
    </row>
    <row r="3" spans="1:7" x14ac:dyDescent="0.35">
      <c r="A3" s="428" t="s">
        <v>425</v>
      </c>
      <c r="B3" s="428"/>
      <c r="C3" s="428"/>
      <c r="D3" s="428"/>
      <c r="E3" s="428"/>
      <c r="F3" s="428"/>
      <c r="G3" s="73"/>
    </row>
    <row r="4" spans="1:7" x14ac:dyDescent="0.35">
      <c r="G4" s="73"/>
    </row>
    <row r="5" spans="1:7" ht="13.5" thickBot="1" x14ac:dyDescent="0.4">
      <c r="A5" s="73"/>
      <c r="B5" s="73"/>
      <c r="C5" s="73"/>
      <c r="D5" s="73"/>
      <c r="E5" s="76"/>
      <c r="F5" s="281" t="s">
        <v>0</v>
      </c>
      <c r="G5" s="73"/>
    </row>
    <row r="6" spans="1:7" ht="46" x14ac:dyDescent="0.35">
      <c r="A6" s="77" t="s">
        <v>23</v>
      </c>
      <c r="B6" s="77"/>
      <c r="C6" s="77"/>
      <c r="D6" s="78" t="s">
        <v>168</v>
      </c>
      <c r="E6" s="262" t="s">
        <v>426</v>
      </c>
      <c r="F6" s="282" t="s">
        <v>424</v>
      </c>
      <c r="G6" s="73"/>
    </row>
    <row r="7" spans="1:7" x14ac:dyDescent="0.35">
      <c r="A7" s="426" t="s">
        <v>2</v>
      </c>
      <c r="B7" s="426"/>
      <c r="C7" s="426"/>
      <c r="D7" s="237" t="s">
        <v>3</v>
      </c>
      <c r="E7" s="292" t="s">
        <v>4</v>
      </c>
      <c r="F7" s="283" t="s">
        <v>5</v>
      </c>
      <c r="G7" s="73"/>
    </row>
    <row r="8" spans="1:7" ht="26.5" customHeight="1" x14ac:dyDescent="0.35">
      <c r="A8" s="424" t="s">
        <v>216</v>
      </c>
      <c r="B8" s="424"/>
      <c r="C8" s="424"/>
      <c r="D8" s="237">
        <v>22</v>
      </c>
      <c r="E8" s="82">
        <f>SUM(E9:E11)</f>
        <v>103050</v>
      </c>
      <c r="F8" s="82">
        <f>SUM(F9:F11)</f>
        <v>115443</v>
      </c>
      <c r="G8" s="73"/>
    </row>
    <row r="9" spans="1:7" ht="26.5" customHeight="1" x14ac:dyDescent="0.35">
      <c r="A9" s="429" t="s">
        <v>408</v>
      </c>
      <c r="B9" s="429"/>
      <c r="C9" s="429"/>
      <c r="D9" s="237"/>
      <c r="E9" s="242">
        <f>ROUND(('ОСВ '!E91)/1000,0)+1</f>
        <v>101318</v>
      </c>
      <c r="F9" s="475">
        <v>111255</v>
      </c>
      <c r="G9" s="73"/>
    </row>
    <row r="10" spans="1:7" ht="26.5" customHeight="1" x14ac:dyDescent="0.35">
      <c r="A10" s="429" t="s">
        <v>357</v>
      </c>
      <c r="B10" s="429"/>
      <c r="C10" s="429"/>
      <c r="D10" s="237"/>
      <c r="E10" s="242">
        <f>ROUND(('ОСВ '!E92)/1000,0)</f>
        <v>763</v>
      </c>
      <c r="F10" s="475">
        <v>2999</v>
      </c>
      <c r="G10" s="73"/>
    </row>
    <row r="11" spans="1:7" ht="26.5" customHeight="1" x14ac:dyDescent="0.35">
      <c r="A11" s="429" t="s">
        <v>409</v>
      </c>
      <c r="B11" s="429"/>
      <c r="C11" s="429"/>
      <c r="D11" s="237"/>
      <c r="E11" s="242">
        <f>ROUND(('ОСВ '!E97)/1000,0)</f>
        <v>969</v>
      </c>
      <c r="F11" s="475">
        <f>1189</f>
        <v>1189</v>
      </c>
      <c r="G11" s="73"/>
    </row>
    <row r="12" spans="1:7" ht="25" customHeight="1" x14ac:dyDescent="0.35">
      <c r="A12" s="424" t="s">
        <v>410</v>
      </c>
      <c r="B12" s="424"/>
      <c r="C12" s="424"/>
      <c r="D12" s="237">
        <v>27</v>
      </c>
      <c r="E12" s="79">
        <f>ROUND((-'ОСВ '!D103)/1000,0)</f>
        <v>-84017</v>
      </c>
      <c r="F12" s="476">
        <v>-45326</v>
      </c>
      <c r="G12" s="73"/>
    </row>
    <row r="13" spans="1:7" x14ac:dyDescent="0.35">
      <c r="A13" s="427" t="s">
        <v>217</v>
      </c>
      <c r="B13" s="427"/>
      <c r="C13" s="427"/>
      <c r="D13" s="80"/>
      <c r="E13" s="81">
        <f>E8+E12</f>
        <v>19033</v>
      </c>
      <c r="F13" s="284">
        <f>F8+F12</f>
        <v>70117</v>
      </c>
      <c r="G13" s="73"/>
    </row>
    <row r="14" spans="1:7" ht="28.5" customHeight="1" x14ac:dyDescent="0.35">
      <c r="A14" s="424" t="s">
        <v>218</v>
      </c>
      <c r="B14" s="424"/>
      <c r="C14" s="424"/>
      <c r="D14" s="237">
        <v>23</v>
      </c>
      <c r="E14" s="79">
        <f>ROUND(('ОСВ '!E95-'ОСВ '!D107)/1000,0)</f>
        <v>-12754</v>
      </c>
      <c r="F14" s="476">
        <v>-15831</v>
      </c>
      <c r="G14" s="73"/>
    </row>
    <row r="15" spans="1:7" x14ac:dyDescent="0.35">
      <c r="A15" s="427" t="s">
        <v>219</v>
      </c>
      <c r="B15" s="427"/>
      <c r="C15" s="427"/>
      <c r="D15" s="80"/>
      <c r="E15" s="81">
        <f>SUM(E13:E14)</f>
        <v>6279</v>
      </c>
      <c r="F15" s="284">
        <f>SUM(F13:F14)</f>
        <v>54286</v>
      </c>
      <c r="G15" s="73"/>
    </row>
    <row r="16" spans="1:7" x14ac:dyDescent="0.35">
      <c r="A16" s="424" t="s">
        <v>220</v>
      </c>
      <c r="B16" s="424"/>
      <c r="C16" s="424"/>
      <c r="D16" s="237">
        <v>24</v>
      </c>
      <c r="E16" s="79">
        <f>ROUND((-'ОСВ '!D99)/1000,0)</f>
        <v>-8796</v>
      </c>
      <c r="F16" s="476">
        <v>-4507</v>
      </c>
      <c r="G16" s="73"/>
    </row>
    <row r="17" spans="1:7" x14ac:dyDescent="0.35">
      <c r="A17" s="424" t="s">
        <v>25</v>
      </c>
      <c r="B17" s="424"/>
      <c r="C17" s="424"/>
      <c r="D17" s="237">
        <v>25</v>
      </c>
      <c r="E17" s="79">
        <f>ROUND((-'ОСВ '!D100)/1000,0)</f>
        <v>-16066</v>
      </c>
      <c r="F17" s="476">
        <v>-16955</v>
      </c>
      <c r="G17" s="73"/>
    </row>
    <row r="18" spans="1:7" x14ac:dyDescent="0.35">
      <c r="A18" s="424" t="s">
        <v>27</v>
      </c>
      <c r="B18" s="424"/>
      <c r="C18" s="424"/>
      <c r="D18" s="237">
        <v>26</v>
      </c>
      <c r="E18" s="82">
        <f>ROUND(('ОСВ '!E93)/1000,0)</f>
        <v>2545</v>
      </c>
      <c r="F18" s="82">
        <v>830</v>
      </c>
      <c r="G18" s="73"/>
    </row>
    <row r="19" spans="1:7" x14ac:dyDescent="0.35">
      <c r="A19" s="430" t="s">
        <v>221</v>
      </c>
      <c r="B19" s="430"/>
      <c r="C19" s="430"/>
      <c r="D19" s="78"/>
      <c r="E19" s="83">
        <f>SUM(E15:E18)</f>
        <v>-16038</v>
      </c>
      <c r="F19" s="285">
        <f>SUM(F15:F18)</f>
        <v>33654</v>
      </c>
      <c r="G19" s="73"/>
    </row>
    <row r="20" spans="1:7" x14ac:dyDescent="0.35">
      <c r="A20" s="424" t="s">
        <v>222</v>
      </c>
      <c r="B20" s="424"/>
      <c r="C20" s="424"/>
      <c r="D20" s="237"/>
      <c r="E20" s="79"/>
      <c r="F20" s="82"/>
      <c r="G20" s="73"/>
    </row>
    <row r="21" spans="1:7" x14ac:dyDescent="0.35">
      <c r="A21" s="430" t="s">
        <v>223</v>
      </c>
      <c r="B21" s="430"/>
      <c r="C21" s="430"/>
      <c r="D21" s="78"/>
      <c r="E21" s="83">
        <f>E19+E20</f>
        <v>-16038</v>
      </c>
      <c r="F21" s="285">
        <f>F19+F20</f>
        <v>33654</v>
      </c>
      <c r="G21" s="73"/>
    </row>
    <row r="22" spans="1:7" x14ac:dyDescent="0.35">
      <c r="A22" s="424" t="s">
        <v>28</v>
      </c>
      <c r="B22" s="424"/>
      <c r="C22" s="424"/>
      <c r="D22" s="237"/>
      <c r="E22" s="79" t="s">
        <v>6</v>
      </c>
      <c r="F22" s="82" t="s">
        <v>6</v>
      </c>
      <c r="G22" s="73"/>
    </row>
    <row r="23" spans="1:7" hidden="1" x14ac:dyDescent="0.35">
      <c r="A23" s="430" t="s">
        <v>224</v>
      </c>
      <c r="B23" s="430"/>
      <c r="C23" s="430"/>
      <c r="D23" s="78"/>
      <c r="E23" s="83">
        <f>E21</f>
        <v>-16038</v>
      </c>
      <c r="F23" s="285">
        <f>F21</f>
        <v>33654</v>
      </c>
      <c r="G23" s="73"/>
    </row>
    <row r="24" spans="1:7" hidden="1" x14ac:dyDescent="0.35">
      <c r="A24" s="424" t="s">
        <v>29</v>
      </c>
      <c r="B24" s="424"/>
      <c r="C24" s="424"/>
      <c r="D24" s="237"/>
      <c r="E24" s="79" t="s">
        <v>6</v>
      </c>
      <c r="F24" s="82" t="s">
        <v>6</v>
      </c>
      <c r="G24" s="73"/>
    </row>
    <row r="25" spans="1:7" hidden="1" x14ac:dyDescent="0.35">
      <c r="A25" s="424" t="s">
        <v>30</v>
      </c>
      <c r="B25" s="424"/>
      <c r="C25" s="424"/>
      <c r="D25" s="237"/>
      <c r="E25" s="79" t="s">
        <v>6</v>
      </c>
      <c r="F25" s="82" t="s">
        <v>6</v>
      </c>
      <c r="G25" s="73"/>
    </row>
    <row r="26" spans="1:7" hidden="1" x14ac:dyDescent="0.35">
      <c r="A26" s="430" t="s">
        <v>31</v>
      </c>
      <c r="B26" s="430"/>
      <c r="C26" s="430"/>
      <c r="D26" s="78"/>
      <c r="E26" s="83" t="s">
        <v>6</v>
      </c>
      <c r="F26" s="285" t="s">
        <v>6</v>
      </c>
      <c r="G26" s="73"/>
    </row>
    <row r="27" spans="1:7" hidden="1" x14ac:dyDescent="0.35">
      <c r="A27" s="424" t="s">
        <v>32</v>
      </c>
      <c r="B27" s="424"/>
      <c r="C27" s="424"/>
      <c r="D27" s="237"/>
      <c r="E27" s="84" t="s">
        <v>6</v>
      </c>
      <c r="F27" s="82" t="s">
        <v>6</v>
      </c>
      <c r="G27" s="73"/>
    </row>
    <row r="28" spans="1:7" hidden="1" x14ac:dyDescent="0.35">
      <c r="A28" s="424" t="s">
        <v>33</v>
      </c>
      <c r="B28" s="424"/>
      <c r="C28" s="424"/>
      <c r="D28" s="237"/>
      <c r="E28" s="79" t="s">
        <v>6</v>
      </c>
      <c r="F28" s="82" t="s">
        <v>6</v>
      </c>
      <c r="G28" s="73"/>
    </row>
    <row r="29" spans="1:7" hidden="1" x14ac:dyDescent="0.35">
      <c r="A29" s="424" t="s">
        <v>34</v>
      </c>
      <c r="B29" s="424"/>
      <c r="C29" s="424"/>
      <c r="D29" s="237"/>
      <c r="E29" s="79" t="s">
        <v>6</v>
      </c>
      <c r="F29" s="82" t="s">
        <v>6</v>
      </c>
      <c r="G29" s="73"/>
    </row>
    <row r="30" spans="1:7" hidden="1" x14ac:dyDescent="0.35">
      <c r="A30" s="424" t="s">
        <v>35</v>
      </c>
      <c r="B30" s="424"/>
      <c r="C30" s="424"/>
      <c r="D30" s="237"/>
      <c r="E30" s="79" t="s">
        <v>6</v>
      </c>
      <c r="F30" s="82" t="s">
        <v>6</v>
      </c>
      <c r="G30" s="73"/>
    </row>
    <row r="31" spans="1:7" hidden="1" x14ac:dyDescent="0.35">
      <c r="A31" s="424" t="s">
        <v>36</v>
      </c>
      <c r="B31" s="424"/>
      <c r="C31" s="424"/>
      <c r="D31" s="237"/>
      <c r="E31" s="79" t="s">
        <v>6</v>
      </c>
      <c r="F31" s="82" t="s">
        <v>6</v>
      </c>
      <c r="G31" s="73"/>
    </row>
    <row r="32" spans="1:7" hidden="1" x14ac:dyDescent="0.35">
      <c r="A32" s="424" t="s">
        <v>37</v>
      </c>
      <c r="B32" s="424"/>
      <c r="C32" s="424"/>
      <c r="D32" s="237"/>
      <c r="E32" s="79" t="s">
        <v>6</v>
      </c>
      <c r="F32" s="82" t="s">
        <v>6</v>
      </c>
      <c r="G32" s="73"/>
    </row>
    <row r="33" spans="1:7" hidden="1" x14ac:dyDescent="0.35">
      <c r="A33" s="424" t="s">
        <v>38</v>
      </c>
      <c r="B33" s="424"/>
      <c r="C33" s="424"/>
      <c r="D33" s="237"/>
      <c r="E33" s="79" t="s">
        <v>6</v>
      </c>
      <c r="F33" s="82" t="s">
        <v>6</v>
      </c>
      <c r="G33" s="73"/>
    </row>
    <row r="34" spans="1:7" hidden="1" x14ac:dyDescent="0.35">
      <c r="A34" s="424" t="s">
        <v>39</v>
      </c>
      <c r="B34" s="424"/>
      <c r="C34" s="424"/>
      <c r="D34" s="237"/>
      <c r="E34" s="79" t="s">
        <v>6</v>
      </c>
      <c r="F34" s="82" t="s">
        <v>6</v>
      </c>
      <c r="G34" s="73"/>
    </row>
    <row r="35" spans="1:7" hidden="1" x14ac:dyDescent="0.35">
      <c r="A35" s="424" t="s">
        <v>40</v>
      </c>
      <c r="B35" s="424"/>
      <c r="C35" s="424"/>
      <c r="D35" s="237"/>
      <c r="E35" s="79" t="s">
        <v>6</v>
      </c>
      <c r="F35" s="82" t="s">
        <v>6</v>
      </c>
      <c r="G35" s="73"/>
    </row>
    <row r="36" spans="1:7" hidden="1" x14ac:dyDescent="0.35">
      <c r="A36" s="424" t="s">
        <v>41</v>
      </c>
      <c r="B36" s="424"/>
      <c r="C36" s="424"/>
      <c r="D36" s="237"/>
      <c r="E36" s="79" t="s">
        <v>6</v>
      </c>
      <c r="F36" s="82" t="s">
        <v>6</v>
      </c>
      <c r="G36" s="73"/>
    </row>
    <row r="37" spans="1:7" hidden="1" x14ac:dyDescent="0.35">
      <c r="A37" s="430" t="s">
        <v>42</v>
      </c>
      <c r="B37" s="430"/>
      <c r="C37" s="430"/>
      <c r="D37" s="78"/>
      <c r="E37" s="83" t="s">
        <v>6</v>
      </c>
      <c r="F37" s="285" t="s">
        <v>6</v>
      </c>
      <c r="G37" s="73"/>
    </row>
    <row r="38" spans="1:7" hidden="1" x14ac:dyDescent="0.35">
      <c r="A38" s="424" t="s">
        <v>43</v>
      </c>
      <c r="B38" s="424"/>
      <c r="C38" s="424"/>
      <c r="D38" s="237"/>
      <c r="E38" s="79" t="s">
        <v>6</v>
      </c>
      <c r="F38" s="82" t="s">
        <v>6</v>
      </c>
      <c r="G38" s="73"/>
    </row>
    <row r="39" spans="1:7" hidden="1" x14ac:dyDescent="0.35">
      <c r="A39" s="424" t="s">
        <v>34</v>
      </c>
      <c r="B39" s="424"/>
      <c r="C39" s="424"/>
      <c r="D39" s="237"/>
      <c r="E39" s="79" t="s">
        <v>6</v>
      </c>
      <c r="F39" s="82" t="s">
        <v>6</v>
      </c>
      <c r="G39" s="73"/>
    </row>
    <row r="40" spans="1:7" hidden="1" x14ac:dyDescent="0.35">
      <c r="A40" s="424" t="s">
        <v>44</v>
      </c>
      <c r="B40" s="424"/>
      <c r="C40" s="424"/>
      <c r="D40" s="237"/>
      <c r="E40" s="79" t="s">
        <v>6</v>
      </c>
      <c r="F40" s="82" t="s">
        <v>6</v>
      </c>
      <c r="G40" s="73"/>
    </row>
    <row r="41" spans="1:7" hidden="1" x14ac:dyDescent="0.35">
      <c r="A41" s="424" t="s">
        <v>41</v>
      </c>
      <c r="B41" s="424"/>
      <c r="C41" s="424"/>
      <c r="D41" s="237"/>
      <c r="E41" s="79" t="s">
        <v>6</v>
      </c>
      <c r="F41" s="82" t="s">
        <v>6</v>
      </c>
      <c r="G41" s="73"/>
    </row>
    <row r="42" spans="1:7" hidden="1" x14ac:dyDescent="0.35">
      <c r="A42" s="424" t="s">
        <v>45</v>
      </c>
      <c r="B42" s="424"/>
      <c r="C42" s="424"/>
      <c r="D42" s="237"/>
      <c r="E42" s="79" t="s">
        <v>6</v>
      </c>
      <c r="F42" s="82" t="s">
        <v>6</v>
      </c>
      <c r="G42" s="73"/>
    </row>
    <row r="43" spans="1:7" hidden="1" x14ac:dyDescent="0.35">
      <c r="A43" s="430" t="s">
        <v>46</v>
      </c>
      <c r="B43" s="430"/>
      <c r="C43" s="430"/>
      <c r="D43" s="78"/>
      <c r="E43" s="83" t="s">
        <v>6</v>
      </c>
      <c r="F43" s="285" t="s">
        <v>6</v>
      </c>
      <c r="G43" s="73"/>
    </row>
    <row r="44" spans="1:7" x14ac:dyDescent="0.35">
      <c r="A44" s="430" t="s">
        <v>47</v>
      </c>
      <c r="B44" s="430"/>
      <c r="C44" s="430"/>
      <c r="D44" s="78"/>
      <c r="E44" s="83">
        <f>E23</f>
        <v>-16038</v>
      </c>
      <c r="F44" s="285">
        <f>F23</f>
        <v>33654</v>
      </c>
      <c r="G44" s="73"/>
    </row>
    <row r="45" spans="1:7" x14ac:dyDescent="0.35">
      <c r="A45" s="85"/>
      <c r="B45" s="85"/>
      <c r="C45" s="85"/>
      <c r="D45" s="86"/>
      <c r="E45" s="87"/>
      <c r="F45" s="286"/>
      <c r="G45" s="73"/>
    </row>
    <row r="46" spans="1:7" x14ac:dyDescent="0.35">
      <c r="A46" s="85"/>
      <c r="B46" s="85"/>
      <c r="C46" s="85"/>
      <c r="D46" s="86"/>
      <c r="E46" s="87"/>
      <c r="F46" s="286"/>
      <c r="G46" s="73"/>
    </row>
    <row r="47" spans="1:7" x14ac:dyDescent="0.35">
      <c r="A47" s="85"/>
      <c r="B47" s="85"/>
      <c r="C47" s="85"/>
      <c r="D47" s="86"/>
      <c r="E47" s="87"/>
      <c r="F47" s="286"/>
      <c r="G47" s="73"/>
    </row>
    <row r="48" spans="1:7" x14ac:dyDescent="0.35">
      <c r="A48" s="85"/>
      <c r="B48" s="85"/>
      <c r="C48" s="85"/>
      <c r="D48" s="86"/>
      <c r="E48" s="87"/>
      <c r="F48" s="286"/>
      <c r="G48" s="73"/>
    </row>
    <row r="49" spans="1:7" x14ac:dyDescent="0.35">
      <c r="A49" s="85"/>
      <c r="B49" s="85"/>
      <c r="C49" s="85"/>
      <c r="D49" s="86"/>
      <c r="E49" s="87"/>
      <c r="F49" s="286"/>
      <c r="G49" s="73"/>
    </row>
    <row r="50" spans="1:7" x14ac:dyDescent="0.35">
      <c r="A50" s="73"/>
      <c r="B50" s="73"/>
      <c r="C50" s="73"/>
      <c r="D50" s="73"/>
      <c r="E50" s="76"/>
      <c r="F50" s="287"/>
      <c r="G50" s="73"/>
    </row>
    <row r="51" spans="1:7" x14ac:dyDescent="0.35">
      <c r="A51" s="98" t="s">
        <v>16</v>
      </c>
      <c r="B51" s="91"/>
      <c r="C51" s="431" t="s">
        <v>17</v>
      </c>
      <c r="D51" s="431"/>
      <c r="E51" s="90"/>
      <c r="F51" s="235"/>
      <c r="G51" s="73"/>
    </row>
    <row r="52" spans="1:7" x14ac:dyDescent="0.35">
      <c r="A52" s="91"/>
      <c r="B52" s="91"/>
      <c r="C52" s="432" t="s">
        <v>18</v>
      </c>
      <c r="D52" s="432"/>
      <c r="E52" s="88"/>
      <c r="F52" s="236" t="s">
        <v>19</v>
      </c>
    </row>
    <row r="53" spans="1:7" x14ac:dyDescent="0.35">
      <c r="A53" s="91"/>
      <c r="B53" s="91"/>
      <c r="C53" s="91"/>
      <c r="D53" s="91"/>
      <c r="E53" s="243"/>
      <c r="F53" s="94"/>
    </row>
    <row r="54" spans="1:7" x14ac:dyDescent="0.35">
      <c r="A54" s="114" t="s">
        <v>20</v>
      </c>
      <c r="B54" s="91"/>
      <c r="C54" s="431"/>
      <c r="D54" s="431"/>
      <c r="E54" s="90"/>
      <c r="F54" s="235"/>
    </row>
    <row r="55" spans="1:7" x14ac:dyDescent="0.35">
      <c r="A55" s="91"/>
      <c r="B55" s="91"/>
      <c r="C55" s="432" t="s">
        <v>18</v>
      </c>
      <c r="D55" s="432"/>
      <c r="E55" s="88"/>
      <c r="F55" s="236" t="s">
        <v>19</v>
      </c>
    </row>
    <row r="56" spans="1:7" x14ac:dyDescent="0.35">
      <c r="A56" s="91"/>
      <c r="B56" s="91"/>
      <c r="C56" s="238"/>
      <c r="D56" s="238"/>
      <c r="E56" s="89"/>
      <c r="F56" s="94"/>
    </row>
    <row r="57" spans="1:7" x14ac:dyDescent="0.35">
      <c r="A57" s="91" t="s">
        <v>21</v>
      </c>
      <c r="B57" s="91"/>
      <c r="C57" s="91"/>
      <c r="D57" s="91"/>
      <c r="E57" s="243"/>
      <c r="F57" s="94"/>
      <c r="G57" s="238"/>
    </row>
    <row r="58" spans="1:7" x14ac:dyDescent="0.35">
      <c r="A58" s="91" t="s">
        <v>22</v>
      </c>
      <c r="B58" s="91"/>
      <c r="C58" s="91"/>
      <c r="D58" s="91"/>
      <c r="E58" s="91"/>
      <c r="F58" s="94"/>
      <c r="G58" s="91"/>
    </row>
    <row r="59" spans="1:7" x14ac:dyDescent="0.35">
      <c r="A59" s="73"/>
      <c r="B59" s="73"/>
      <c r="C59" s="73"/>
      <c r="D59" s="73"/>
      <c r="E59" s="76"/>
      <c r="F59" s="287"/>
      <c r="G59" s="91"/>
    </row>
    <row r="60" spans="1:7" x14ac:dyDescent="0.35">
      <c r="A60" s="73"/>
      <c r="B60" s="73"/>
      <c r="C60" s="73"/>
      <c r="D60" s="73"/>
      <c r="E60" s="76"/>
      <c r="F60" s="287"/>
      <c r="G60" s="73"/>
    </row>
    <row r="61" spans="1:7" x14ac:dyDescent="0.35">
      <c r="A61" s="73"/>
      <c r="B61" s="73"/>
      <c r="C61" s="73"/>
      <c r="D61" s="73"/>
      <c r="E61" s="76"/>
      <c r="F61" s="287"/>
      <c r="G61" s="73"/>
    </row>
    <row r="62" spans="1:7" x14ac:dyDescent="0.35">
      <c r="A62" s="73"/>
      <c r="B62" s="73"/>
      <c r="C62" s="73"/>
      <c r="D62" s="73"/>
      <c r="E62" s="76"/>
      <c r="F62" s="287"/>
      <c r="G62" s="73"/>
    </row>
    <row r="63" spans="1:7" x14ac:dyDescent="0.35">
      <c r="A63" s="73"/>
      <c r="B63" s="73"/>
      <c r="C63" s="73"/>
      <c r="D63" s="73"/>
      <c r="E63" s="76"/>
      <c r="F63" s="287"/>
      <c r="G63" s="73"/>
    </row>
    <row r="64" spans="1:7" x14ac:dyDescent="0.35">
      <c r="A64" s="73"/>
      <c r="B64" s="73"/>
      <c r="C64" s="73"/>
      <c r="D64" s="73"/>
      <c r="E64" s="76"/>
      <c r="F64" s="287"/>
      <c r="G64" s="73"/>
    </row>
    <row r="65" spans="1:7" x14ac:dyDescent="0.35">
      <c r="A65" s="73"/>
      <c r="B65" s="73"/>
      <c r="C65" s="73"/>
      <c r="D65" s="73"/>
      <c r="E65" s="76"/>
      <c r="F65" s="287"/>
      <c r="G65" s="73"/>
    </row>
    <row r="66" spans="1:7" x14ac:dyDescent="0.35">
      <c r="A66" s="73"/>
      <c r="B66" s="73"/>
      <c r="C66" s="73"/>
      <c r="D66" s="73"/>
      <c r="E66" s="76"/>
      <c r="F66" s="287"/>
      <c r="G66" s="73"/>
    </row>
    <row r="67" spans="1:7" x14ac:dyDescent="0.35">
      <c r="A67" s="73"/>
      <c r="B67" s="73"/>
      <c r="C67" s="73"/>
      <c r="D67" s="73"/>
      <c r="E67" s="76"/>
      <c r="F67" s="287"/>
      <c r="G67" s="73"/>
    </row>
    <row r="68" spans="1:7" x14ac:dyDescent="0.35">
      <c r="A68" s="73"/>
      <c r="B68" s="73"/>
      <c r="C68" s="73"/>
      <c r="D68" s="73"/>
      <c r="E68" s="76"/>
      <c r="F68" s="287"/>
      <c r="G68" s="73"/>
    </row>
    <row r="69" spans="1:7" x14ac:dyDescent="0.35">
      <c r="A69" s="73"/>
      <c r="B69" s="73"/>
      <c r="C69" s="73"/>
      <c r="D69" s="73"/>
      <c r="E69" s="76"/>
      <c r="F69" s="287"/>
      <c r="G69" s="73"/>
    </row>
    <row r="70" spans="1:7" x14ac:dyDescent="0.35">
      <c r="A70" s="73"/>
      <c r="B70" s="73"/>
      <c r="C70" s="73"/>
      <c r="D70" s="73"/>
      <c r="E70" s="76"/>
      <c r="F70" s="287"/>
      <c r="G70" s="73"/>
    </row>
    <row r="71" spans="1:7" x14ac:dyDescent="0.35">
      <c r="A71" s="73"/>
      <c r="B71" s="73"/>
      <c r="C71" s="73"/>
      <c r="D71" s="73"/>
      <c r="E71" s="76"/>
      <c r="F71" s="287"/>
      <c r="G71" s="73"/>
    </row>
    <row r="72" spans="1:7" x14ac:dyDescent="0.35">
      <c r="A72" s="73"/>
      <c r="B72" s="73"/>
      <c r="C72" s="73"/>
      <c r="D72" s="73"/>
      <c r="E72" s="76"/>
      <c r="F72" s="287"/>
      <c r="G72" s="73"/>
    </row>
    <row r="73" spans="1:7" x14ac:dyDescent="0.35">
      <c r="A73" s="73"/>
      <c r="B73" s="73"/>
      <c r="C73" s="73"/>
      <c r="D73" s="73"/>
      <c r="E73" s="76"/>
      <c r="F73" s="287"/>
      <c r="G73" s="73"/>
    </row>
    <row r="74" spans="1:7" x14ac:dyDescent="0.35">
      <c r="A74" s="73"/>
      <c r="B74" s="73"/>
      <c r="C74" s="73"/>
      <c r="D74" s="73"/>
      <c r="E74" s="76"/>
      <c r="F74" s="287"/>
      <c r="G74" s="73"/>
    </row>
    <row r="75" spans="1:7" x14ac:dyDescent="0.35">
      <c r="A75" s="73"/>
      <c r="B75" s="73"/>
      <c r="C75" s="73"/>
      <c r="D75" s="73"/>
      <c r="E75" s="76"/>
      <c r="F75" s="287"/>
      <c r="G75" s="73"/>
    </row>
    <row r="76" spans="1:7" x14ac:dyDescent="0.35">
      <c r="A76" s="73"/>
      <c r="B76" s="73"/>
      <c r="C76" s="73"/>
      <c r="D76" s="73"/>
      <c r="E76" s="76"/>
      <c r="F76" s="287"/>
      <c r="G76" s="73"/>
    </row>
    <row r="77" spans="1:7" x14ac:dyDescent="0.35">
      <c r="A77" s="73"/>
      <c r="B77" s="73"/>
      <c r="C77" s="73"/>
      <c r="D77" s="73"/>
      <c r="E77" s="76"/>
      <c r="F77" s="287"/>
      <c r="G77" s="73"/>
    </row>
    <row r="78" spans="1:7" x14ac:dyDescent="0.35">
      <c r="A78" s="73"/>
      <c r="B78" s="73"/>
      <c r="C78" s="73"/>
      <c r="D78" s="73"/>
      <c r="E78" s="76"/>
      <c r="F78" s="287"/>
      <c r="G78" s="73"/>
    </row>
    <row r="79" spans="1:7" x14ac:dyDescent="0.35">
      <c r="A79" s="73"/>
      <c r="B79" s="73"/>
      <c r="C79" s="73"/>
      <c r="D79" s="73"/>
      <c r="E79" s="76"/>
      <c r="F79" s="287"/>
      <c r="G79" s="73"/>
    </row>
    <row r="80" spans="1:7" x14ac:dyDescent="0.35">
      <c r="A80" s="73"/>
      <c r="B80" s="73"/>
      <c r="C80" s="73"/>
      <c r="D80" s="73"/>
      <c r="E80" s="76"/>
      <c r="F80" s="287"/>
      <c r="G80" s="73"/>
    </row>
    <row r="81" spans="1:7" x14ac:dyDescent="0.35">
      <c r="A81" s="73"/>
      <c r="B81" s="73"/>
      <c r="C81" s="73"/>
      <c r="D81" s="73"/>
      <c r="E81" s="76"/>
      <c r="F81" s="287"/>
      <c r="G81" s="73"/>
    </row>
    <row r="82" spans="1:7" x14ac:dyDescent="0.35">
      <c r="A82" s="73"/>
      <c r="B82" s="73"/>
      <c r="C82" s="73"/>
      <c r="D82" s="73"/>
      <c r="E82" s="76"/>
      <c r="F82" s="287"/>
      <c r="G82" s="73"/>
    </row>
    <row r="83" spans="1:7" x14ac:dyDescent="0.35">
      <c r="A83" s="73"/>
      <c r="B83" s="73"/>
      <c r="C83" s="73"/>
      <c r="D83" s="73"/>
      <c r="E83" s="76"/>
      <c r="F83" s="287"/>
      <c r="G83" s="73"/>
    </row>
    <row r="84" spans="1:7" x14ac:dyDescent="0.35">
      <c r="A84" s="73"/>
      <c r="B84" s="73"/>
      <c r="C84" s="73"/>
      <c r="D84" s="73"/>
      <c r="E84" s="76"/>
      <c r="F84" s="287"/>
      <c r="G84" s="73"/>
    </row>
    <row r="85" spans="1:7" x14ac:dyDescent="0.35">
      <c r="A85" s="73"/>
      <c r="B85" s="73"/>
      <c r="C85" s="73"/>
      <c r="D85" s="73"/>
      <c r="E85" s="76"/>
      <c r="F85" s="287"/>
      <c r="G85" s="73"/>
    </row>
    <row r="86" spans="1:7" x14ac:dyDescent="0.35">
      <c r="A86" s="73"/>
      <c r="B86" s="73"/>
      <c r="C86" s="73"/>
      <c r="D86" s="73"/>
      <c r="E86" s="76"/>
      <c r="F86" s="287"/>
      <c r="G86" s="73"/>
    </row>
    <row r="87" spans="1:7" x14ac:dyDescent="0.35">
      <c r="A87" s="73"/>
      <c r="B87" s="73"/>
      <c r="C87" s="73"/>
      <c r="D87" s="73"/>
      <c r="E87" s="76"/>
      <c r="F87" s="287"/>
      <c r="G87" s="73"/>
    </row>
    <row r="88" spans="1:7" x14ac:dyDescent="0.35">
      <c r="A88" s="73"/>
      <c r="B88" s="73"/>
      <c r="C88" s="73"/>
      <c r="D88" s="73"/>
      <c r="E88" s="76"/>
      <c r="F88" s="287"/>
      <c r="G88" s="73"/>
    </row>
    <row r="89" spans="1:7" x14ac:dyDescent="0.35">
      <c r="A89" s="73"/>
      <c r="B89" s="73"/>
      <c r="C89" s="73"/>
      <c r="D89" s="73"/>
      <c r="E89" s="76"/>
      <c r="F89" s="287"/>
      <c r="G89" s="73"/>
    </row>
    <row r="90" spans="1:7" x14ac:dyDescent="0.35">
      <c r="A90" s="73"/>
      <c r="B90" s="73"/>
      <c r="C90" s="73"/>
      <c r="D90" s="73"/>
      <c r="E90" s="76"/>
      <c r="F90" s="287"/>
      <c r="G90" s="73"/>
    </row>
    <row r="91" spans="1:7" x14ac:dyDescent="0.35">
      <c r="A91" s="73"/>
      <c r="B91" s="73"/>
      <c r="C91" s="73"/>
      <c r="D91" s="73"/>
      <c r="E91" s="76"/>
      <c r="F91" s="287"/>
      <c r="G91" s="73"/>
    </row>
    <row r="92" spans="1:7" x14ac:dyDescent="0.35">
      <c r="A92" s="73"/>
      <c r="B92" s="73"/>
      <c r="C92" s="73"/>
      <c r="D92" s="73"/>
      <c r="E92" s="76"/>
      <c r="F92" s="287"/>
      <c r="G92" s="73"/>
    </row>
    <row r="93" spans="1:7" x14ac:dyDescent="0.35">
      <c r="A93" s="73"/>
      <c r="B93" s="73"/>
      <c r="C93" s="73"/>
      <c r="D93" s="73"/>
      <c r="E93" s="76"/>
      <c r="F93" s="287"/>
      <c r="G93" s="73"/>
    </row>
    <row r="94" spans="1:7" x14ac:dyDescent="0.35">
      <c r="A94" s="73"/>
      <c r="B94" s="73"/>
      <c r="C94" s="73"/>
      <c r="D94" s="73"/>
      <c r="E94" s="76"/>
      <c r="F94" s="287"/>
      <c r="G94" s="73"/>
    </row>
    <row r="95" spans="1:7" x14ac:dyDescent="0.35">
      <c r="A95" s="73"/>
      <c r="B95" s="73"/>
      <c r="C95" s="73"/>
      <c r="D95" s="73"/>
      <c r="E95" s="76"/>
      <c r="F95" s="287"/>
      <c r="G95" s="73"/>
    </row>
    <row r="96" spans="1:7" x14ac:dyDescent="0.35">
      <c r="A96" s="73"/>
      <c r="B96" s="73"/>
      <c r="C96" s="73"/>
      <c r="D96" s="73"/>
      <c r="E96" s="76"/>
      <c r="F96" s="287"/>
      <c r="G96" s="73"/>
    </row>
    <row r="97" spans="1:7" x14ac:dyDescent="0.35">
      <c r="A97" s="73"/>
      <c r="B97" s="73"/>
      <c r="C97" s="73"/>
      <c r="D97" s="73"/>
      <c r="E97" s="76"/>
      <c r="F97" s="287"/>
      <c r="G97" s="73"/>
    </row>
    <row r="98" spans="1:7" x14ac:dyDescent="0.35">
      <c r="A98" s="73"/>
      <c r="B98" s="73"/>
      <c r="C98" s="73"/>
      <c r="D98" s="73"/>
      <c r="E98" s="76"/>
      <c r="F98" s="287"/>
      <c r="G98" s="73"/>
    </row>
    <row r="99" spans="1:7" x14ac:dyDescent="0.35">
      <c r="A99" s="73"/>
      <c r="B99" s="73"/>
      <c r="C99" s="73"/>
      <c r="D99" s="73"/>
      <c r="E99" s="76"/>
      <c r="F99" s="287"/>
      <c r="G99" s="73"/>
    </row>
    <row r="100" spans="1:7" x14ac:dyDescent="0.35">
      <c r="A100" s="73"/>
      <c r="B100" s="73"/>
      <c r="C100" s="73"/>
      <c r="D100" s="73"/>
      <c r="E100" s="76"/>
      <c r="F100" s="287"/>
      <c r="G100" s="73"/>
    </row>
    <row r="101" spans="1:7" x14ac:dyDescent="0.35">
      <c r="A101" s="73"/>
      <c r="B101" s="73"/>
      <c r="C101" s="73"/>
      <c r="D101" s="73"/>
      <c r="E101" s="76"/>
      <c r="F101" s="287"/>
      <c r="G101" s="73"/>
    </row>
    <row r="102" spans="1:7" x14ac:dyDescent="0.35">
      <c r="G102" s="73"/>
    </row>
  </sheetData>
  <mergeCells count="45">
    <mergeCell ref="A1:F1"/>
    <mergeCell ref="C51:D51"/>
    <mergeCell ref="C52:D52"/>
    <mergeCell ref="C54:D54"/>
    <mergeCell ref="C55:D55"/>
    <mergeCell ref="A39:C39"/>
    <mergeCell ref="A40:C40"/>
    <mergeCell ref="A41:C41"/>
    <mergeCell ref="A42:C42"/>
    <mergeCell ref="A43:C43"/>
    <mergeCell ref="A44:C44"/>
    <mergeCell ref="A36:C36"/>
    <mergeCell ref="A37:C37"/>
    <mergeCell ref="A28:C28"/>
    <mergeCell ref="A29:C29"/>
    <mergeCell ref="A30:C30"/>
    <mergeCell ref="A38:C38"/>
    <mergeCell ref="A27:C27"/>
    <mergeCell ref="A18:C18"/>
    <mergeCell ref="A14:C14"/>
    <mergeCell ref="A19:C19"/>
    <mergeCell ref="A20:C20"/>
    <mergeCell ref="A21:C21"/>
    <mergeCell ref="A22:C22"/>
    <mergeCell ref="A23:C23"/>
    <mergeCell ref="A24:C24"/>
    <mergeCell ref="A25:C25"/>
    <mergeCell ref="A26:C26"/>
    <mergeCell ref="A33:C33"/>
    <mergeCell ref="A34:C34"/>
    <mergeCell ref="A35:C35"/>
    <mergeCell ref="A15:C15"/>
    <mergeCell ref="A31:C31"/>
    <mergeCell ref="A32:C32"/>
    <mergeCell ref="A2:F2"/>
    <mergeCell ref="A12:C12"/>
    <mergeCell ref="A7:C7"/>
    <mergeCell ref="A16:C16"/>
    <mergeCell ref="A13:C13"/>
    <mergeCell ref="A8:C8"/>
    <mergeCell ref="A3:F3"/>
    <mergeCell ref="A17:C17"/>
    <mergeCell ref="A9:C9"/>
    <mergeCell ref="A10:C10"/>
    <mergeCell ref="A11:C11"/>
  </mergeCells>
  <pageMargins left="0.70866141732283472" right="0.70866141732283472" top="0.9055118110236221" bottom="0.74803149606299213" header="0.31496062992125984" footer="0.31496062992125984"/>
  <pageSetup paperSize="9" scale="79" orientation="portrait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110"/>
  <sheetViews>
    <sheetView workbookViewId="0">
      <selection sqref="A1:E1"/>
    </sheetView>
  </sheetViews>
  <sheetFormatPr defaultColWidth="8.7265625" defaultRowHeight="13" x14ac:dyDescent="0.35"/>
  <cols>
    <col min="1" max="2" width="8.7265625" style="115"/>
    <col min="3" max="3" width="37.1796875" style="115" customWidth="1"/>
    <col min="4" max="4" width="17.6328125" style="116" customWidth="1"/>
    <col min="5" max="5" width="17.36328125" style="116" customWidth="1"/>
    <col min="6" max="6" width="8.7265625" style="74" hidden="1" customWidth="1"/>
    <col min="7" max="7" width="9.81640625" style="74" hidden="1" customWidth="1"/>
    <col min="8" max="8" width="8.7265625" style="74" hidden="1" customWidth="1"/>
    <col min="9" max="10" width="16.08984375" style="74" hidden="1" customWidth="1"/>
    <col min="11" max="11" width="11.26953125" style="74" hidden="1" customWidth="1"/>
    <col min="12" max="14" width="8.7265625" style="74" hidden="1" customWidth="1"/>
    <col min="15" max="15" width="14" style="74" hidden="1" customWidth="1"/>
    <col min="16" max="16" width="13.6328125" style="74" hidden="1" customWidth="1"/>
    <col min="17" max="17" width="14.36328125" style="74" hidden="1" customWidth="1"/>
    <col min="18" max="18" width="8.7265625" style="74" hidden="1" customWidth="1"/>
    <col min="19" max="16384" width="8.7265625" style="74"/>
  </cols>
  <sheetData>
    <row r="1" spans="1:17" ht="54" customHeight="1" x14ac:dyDescent="0.35">
      <c r="A1" s="493" t="str">
        <f>Ф1!A1</f>
        <v>ТОО "Микрофинансовая организация "Капиталинвест"" 
Промежуточная финансовая отчетность за период с 01.01.2025 г. по 31.03.2025 г.
в тыс. тенге</v>
      </c>
      <c r="B1" s="493"/>
      <c r="C1" s="493"/>
      <c r="D1" s="493"/>
      <c r="E1" s="493"/>
      <c r="F1" s="90"/>
    </row>
    <row r="2" spans="1:17" ht="14" x14ac:dyDescent="0.35">
      <c r="A2" s="425" t="s">
        <v>423</v>
      </c>
      <c r="B2" s="425"/>
      <c r="C2" s="425"/>
      <c r="D2" s="425"/>
      <c r="E2" s="425"/>
      <c r="F2" s="263"/>
    </row>
    <row r="3" spans="1:17" x14ac:dyDescent="0.35">
      <c r="A3" s="440" t="str">
        <f>Ф2!A3</f>
        <v>за три месяца, закончившихся 31 марта 2025 года</v>
      </c>
      <c r="B3" s="440"/>
      <c r="C3" s="440"/>
      <c r="D3" s="440"/>
      <c r="E3" s="440"/>
      <c r="F3" s="92"/>
    </row>
    <row r="4" spans="1:17" ht="16.5" customHeight="1" x14ac:dyDescent="0.3">
      <c r="A4" s="93"/>
      <c r="B4" s="93"/>
      <c r="C4" s="93"/>
      <c r="D4" s="94"/>
      <c r="E4" s="95" t="s">
        <v>0</v>
      </c>
      <c r="F4" s="91"/>
      <c r="G4" s="117" t="s">
        <v>78</v>
      </c>
      <c r="H4" s="118"/>
      <c r="I4" s="118"/>
      <c r="J4" s="118"/>
      <c r="M4" s="279" t="s">
        <v>78</v>
      </c>
      <c r="N4" s="128"/>
      <c r="O4" s="118"/>
      <c r="P4" s="118"/>
    </row>
    <row r="5" spans="1:17" ht="52" x14ac:dyDescent="0.35">
      <c r="A5" s="491" t="s">
        <v>23</v>
      </c>
      <c r="B5" s="491"/>
      <c r="C5" s="491"/>
      <c r="D5" s="492" t="str">
        <f>Ф2!E6</f>
        <v>За три месяца, закончившихся 31 марта 2025 года (не аудировано)</v>
      </c>
      <c r="E5" s="492" t="str">
        <f>Ф2!F6</f>
        <v>За три месяца, закончившихся 31 марта 2024 года (не аудировано)</v>
      </c>
      <c r="F5" s="91"/>
      <c r="G5" s="127" t="s">
        <v>429</v>
      </c>
      <c r="H5" s="128"/>
      <c r="I5" s="118"/>
      <c r="J5" s="118"/>
      <c r="M5" s="127" t="s">
        <v>431</v>
      </c>
      <c r="N5" s="128"/>
      <c r="O5" s="118"/>
      <c r="P5" s="118"/>
    </row>
    <row r="6" spans="1:17" x14ac:dyDescent="0.2">
      <c r="A6" s="441" t="s">
        <v>2</v>
      </c>
      <c r="B6" s="441"/>
      <c r="C6" s="441"/>
      <c r="D6" s="96" t="s">
        <v>4</v>
      </c>
      <c r="E6" s="96" t="s">
        <v>5</v>
      </c>
      <c r="F6" s="91"/>
      <c r="G6" s="128"/>
      <c r="H6" s="128"/>
      <c r="I6" s="118"/>
      <c r="J6" s="118"/>
      <c r="M6" s="128"/>
      <c r="N6" s="128"/>
      <c r="O6" s="118"/>
      <c r="P6" s="118"/>
    </row>
    <row r="7" spans="1:17" ht="14.5" customHeight="1" x14ac:dyDescent="0.2">
      <c r="A7" s="442" t="s">
        <v>48</v>
      </c>
      <c r="B7" s="442"/>
      <c r="C7" s="442"/>
      <c r="D7" s="442"/>
      <c r="E7" s="442"/>
      <c r="F7" s="91"/>
      <c r="G7" s="129" t="s">
        <v>79</v>
      </c>
      <c r="H7" s="129" t="s">
        <v>80</v>
      </c>
      <c r="I7" s="118"/>
      <c r="J7" s="118"/>
      <c r="M7" s="129" t="s">
        <v>79</v>
      </c>
      <c r="N7" s="129" t="s">
        <v>80</v>
      </c>
      <c r="O7" s="118"/>
      <c r="P7" s="118"/>
    </row>
    <row r="8" spans="1:17" s="99" customFormat="1" ht="14.5" customHeight="1" x14ac:dyDescent="0.2">
      <c r="A8" s="439" t="s">
        <v>166</v>
      </c>
      <c r="B8" s="439"/>
      <c r="C8" s="439"/>
      <c r="D8" s="226">
        <f>SUM(D10:D15)</f>
        <v>210293</v>
      </c>
      <c r="E8" s="226">
        <f>SUM(E10:E15)</f>
        <v>402541</v>
      </c>
      <c r="F8" s="98"/>
      <c r="G8" s="118"/>
      <c r="H8" s="118"/>
      <c r="I8" s="118"/>
      <c r="J8" s="118"/>
      <c r="M8" s="118"/>
      <c r="N8" s="118"/>
      <c r="O8" s="118"/>
      <c r="P8" s="118"/>
    </row>
    <row r="9" spans="1:17" ht="13.5" thickBot="1" x14ac:dyDescent="0.4">
      <c r="A9" s="443" t="s">
        <v>32</v>
      </c>
      <c r="B9" s="440"/>
      <c r="C9" s="444"/>
      <c r="D9" s="100"/>
      <c r="E9" s="259"/>
      <c r="F9" s="91"/>
      <c r="G9" s="119" t="s">
        <v>81</v>
      </c>
      <c r="H9" s="119" t="s">
        <v>82</v>
      </c>
      <c r="I9" s="119" t="s">
        <v>83</v>
      </c>
      <c r="J9" s="119" t="s">
        <v>84</v>
      </c>
      <c r="K9" s="101"/>
      <c r="M9" s="119" t="s">
        <v>81</v>
      </c>
      <c r="N9" s="433" t="s">
        <v>82</v>
      </c>
      <c r="O9" s="433" t="s">
        <v>83</v>
      </c>
      <c r="P9" s="433" t="s">
        <v>84</v>
      </c>
    </row>
    <row r="10" spans="1:17" ht="25.5" customHeight="1" x14ac:dyDescent="0.35">
      <c r="A10" s="435" t="s">
        <v>213</v>
      </c>
      <c r="B10" s="436"/>
      <c r="C10" s="437"/>
      <c r="D10" s="100">
        <f>ROUND((I22+I45-(37110996+52814124))/1000,0)</f>
        <v>119470</v>
      </c>
      <c r="E10" s="217">
        <f>34525+65827+208871</f>
        <v>309223</v>
      </c>
      <c r="F10" s="91"/>
      <c r="G10" s="120" t="s">
        <v>85</v>
      </c>
      <c r="H10" s="121" t="s">
        <v>86</v>
      </c>
      <c r="I10" s="122">
        <v>91397389.079999998</v>
      </c>
      <c r="J10" s="123"/>
      <c r="K10" s="101"/>
      <c r="M10" s="119" t="s">
        <v>432</v>
      </c>
      <c r="N10" s="434"/>
      <c r="O10" s="434"/>
      <c r="P10" s="434"/>
    </row>
    <row r="11" spans="1:17" ht="14.5" customHeight="1" x14ac:dyDescent="0.35">
      <c r="A11" s="435" t="s">
        <v>49</v>
      </c>
      <c r="B11" s="436"/>
      <c r="C11" s="437"/>
      <c r="D11" s="100" t="s">
        <v>6</v>
      </c>
      <c r="E11" s="217" t="s">
        <v>6</v>
      </c>
      <c r="F11" s="102"/>
      <c r="G11" s="124"/>
      <c r="H11" s="272" t="s">
        <v>85</v>
      </c>
      <c r="I11" s="273">
        <v>754662186.49000001</v>
      </c>
      <c r="J11" s="273">
        <v>754662186.49000001</v>
      </c>
      <c r="K11" s="101"/>
      <c r="M11" s="120" t="s">
        <v>104</v>
      </c>
      <c r="N11" s="121" t="s">
        <v>86</v>
      </c>
      <c r="O11" s="123"/>
      <c r="P11" s="122">
        <v>24558505</v>
      </c>
    </row>
    <row r="12" spans="1:17" ht="14.5" customHeight="1" x14ac:dyDescent="0.35">
      <c r="A12" s="435" t="s">
        <v>50</v>
      </c>
      <c r="B12" s="436"/>
      <c r="C12" s="437"/>
      <c r="D12" s="100" t="s">
        <v>6</v>
      </c>
      <c r="E12" s="217" t="s">
        <v>6</v>
      </c>
      <c r="F12" s="91"/>
      <c r="G12" s="125"/>
      <c r="H12" s="272" t="s">
        <v>87</v>
      </c>
      <c r="I12" s="273">
        <v>361669044.14999998</v>
      </c>
      <c r="J12" s="273">
        <v>522843142.33999997</v>
      </c>
      <c r="K12" s="101"/>
      <c r="M12" s="277" t="s">
        <v>433</v>
      </c>
      <c r="N12" s="277" t="s">
        <v>86</v>
      </c>
      <c r="O12" s="123"/>
      <c r="P12" s="122">
        <v>24558505</v>
      </c>
      <c r="Q12" s="101"/>
    </row>
    <row r="13" spans="1:17" ht="14.5" customHeight="1" x14ac:dyDescent="0.35">
      <c r="A13" s="435" t="s">
        <v>51</v>
      </c>
      <c r="B13" s="436"/>
      <c r="C13" s="437"/>
      <c r="D13" s="100" t="s">
        <v>6</v>
      </c>
      <c r="E13" s="217" t="s">
        <v>6</v>
      </c>
      <c r="F13" s="91"/>
      <c r="G13" s="125"/>
      <c r="H13" s="272" t="s">
        <v>88</v>
      </c>
      <c r="I13" s="273">
        <v>316360000</v>
      </c>
      <c r="J13" s="273">
        <v>231800000</v>
      </c>
      <c r="K13" s="101"/>
      <c r="M13" s="125"/>
      <c r="N13" s="272" t="s">
        <v>85</v>
      </c>
      <c r="O13" s="274"/>
      <c r="P13" s="273">
        <v>201395351.47</v>
      </c>
    </row>
    <row r="14" spans="1:17" ht="30.65" customHeight="1" x14ac:dyDescent="0.35">
      <c r="A14" s="435" t="s">
        <v>210</v>
      </c>
      <c r="B14" s="436"/>
      <c r="C14" s="437"/>
      <c r="D14" s="100">
        <f>ROUND((I20+37110996+52814124)/1000,0)</f>
        <v>90823</v>
      </c>
      <c r="E14" s="217">
        <f>364936-(65827+208871)+2930</f>
        <v>93168</v>
      </c>
      <c r="F14" s="91"/>
      <c r="G14" s="125"/>
      <c r="H14" s="272" t="s">
        <v>329</v>
      </c>
      <c r="I14" s="273">
        <v>76633142.340000004</v>
      </c>
      <c r="J14" s="273">
        <v>19044.150000000001</v>
      </c>
      <c r="K14" s="101"/>
      <c r="M14" s="126"/>
      <c r="N14" s="272" t="s">
        <v>87</v>
      </c>
      <c r="O14" s="274"/>
      <c r="P14" s="273">
        <v>201395351.47</v>
      </c>
    </row>
    <row r="15" spans="1:17" x14ac:dyDescent="0.35">
      <c r="A15" s="435" t="s">
        <v>53</v>
      </c>
      <c r="B15" s="436"/>
      <c r="C15" s="437"/>
      <c r="D15" s="100"/>
      <c r="E15" s="217">
        <f>150</f>
        <v>150</v>
      </c>
      <c r="F15" s="91"/>
      <c r="G15" s="124"/>
      <c r="H15" s="272" t="s">
        <v>190</v>
      </c>
      <c r="I15" s="274"/>
      <c r="J15" s="275">
        <v>193300000</v>
      </c>
      <c r="K15" s="221">
        <f>ROUND((J15-I15)/1000,0)</f>
        <v>193300</v>
      </c>
      <c r="M15" s="125"/>
      <c r="N15" s="272" t="s">
        <v>190</v>
      </c>
      <c r="O15" s="273">
        <v>49710581</v>
      </c>
      <c r="P15" s="274"/>
    </row>
    <row r="16" spans="1:17" s="99" customFormat="1" x14ac:dyDescent="0.35">
      <c r="A16" s="439" t="s">
        <v>165</v>
      </c>
      <c r="B16" s="439"/>
      <c r="C16" s="439"/>
      <c r="D16" s="227">
        <f>D26-D8</f>
        <v>-583234</v>
      </c>
      <c r="E16" s="227">
        <f>E26-E8</f>
        <v>-785353</v>
      </c>
      <c r="F16" s="98"/>
      <c r="G16" s="125"/>
      <c r="H16" s="272" t="s">
        <v>191</v>
      </c>
      <c r="I16" s="274"/>
      <c r="J16" s="273">
        <v>193300000</v>
      </c>
      <c r="K16" s="131"/>
      <c r="M16" s="126"/>
      <c r="N16" s="272" t="s">
        <v>191</v>
      </c>
      <c r="O16" s="273">
        <v>49710581</v>
      </c>
      <c r="P16" s="274"/>
    </row>
    <row r="17" spans="1:16" ht="13.5" thickBot="1" x14ac:dyDescent="0.4">
      <c r="A17" s="438" t="s">
        <v>32</v>
      </c>
      <c r="B17" s="438"/>
      <c r="C17" s="438"/>
      <c r="D17" s="100"/>
      <c r="E17" s="259"/>
      <c r="F17" s="91"/>
      <c r="G17" s="126"/>
      <c r="H17" s="272" t="s">
        <v>89</v>
      </c>
      <c r="I17" s="274"/>
      <c r="J17" s="273">
        <v>193300000</v>
      </c>
      <c r="K17" s="108"/>
      <c r="M17" s="278"/>
      <c r="N17" s="272" t="s">
        <v>393</v>
      </c>
      <c r="O17" s="273">
        <v>14384893</v>
      </c>
      <c r="P17" s="274"/>
    </row>
    <row r="18" spans="1:16" x14ac:dyDescent="0.35">
      <c r="A18" s="435" t="s">
        <v>54</v>
      </c>
      <c r="B18" s="436"/>
      <c r="C18" s="437"/>
      <c r="D18" s="100">
        <f>ROUND((J41+J26-I41)/1000*-1,0)-D44-1</f>
        <v>-11157</v>
      </c>
      <c r="E18" s="217">
        <f>-(2262-2246)-6765</f>
        <v>-6781</v>
      </c>
      <c r="F18" s="91"/>
      <c r="G18" s="124"/>
      <c r="H18" s="272" t="s">
        <v>192</v>
      </c>
      <c r="I18" s="273">
        <v>8897960.9100000001</v>
      </c>
      <c r="J18" s="273">
        <v>156833235</v>
      </c>
      <c r="K18" s="108"/>
      <c r="M18" s="278"/>
      <c r="N18" s="272" t="s">
        <v>89</v>
      </c>
      <c r="O18" s="273">
        <v>35325688</v>
      </c>
      <c r="P18" s="274"/>
    </row>
    <row r="19" spans="1:16" ht="14.5" customHeight="1" x14ac:dyDescent="0.35">
      <c r="A19" s="435" t="s">
        <v>208</v>
      </c>
      <c r="B19" s="436"/>
      <c r="C19" s="437"/>
      <c r="D19" s="100">
        <f>(K15+K21+K28)*-1</f>
        <v>-559333</v>
      </c>
      <c r="E19" s="217">
        <f>-(73920+112905+580136)</f>
        <v>-766961</v>
      </c>
      <c r="F19" s="91"/>
      <c r="G19" s="125"/>
      <c r="H19" s="272" t="s">
        <v>193</v>
      </c>
      <c r="I19" s="273">
        <v>897960.91</v>
      </c>
      <c r="J19" s="274"/>
      <c r="K19" s="108"/>
      <c r="M19" s="125"/>
      <c r="N19" s="272" t="s">
        <v>192</v>
      </c>
      <c r="O19" s="276">
        <v>37110996</v>
      </c>
      <c r="P19" s="274"/>
    </row>
    <row r="20" spans="1:16" x14ac:dyDescent="0.35">
      <c r="A20" s="435" t="s">
        <v>55</v>
      </c>
      <c r="B20" s="436"/>
      <c r="C20" s="437"/>
      <c r="D20" s="97">
        <f>-K42</f>
        <v>-8416</v>
      </c>
      <c r="E20" s="217">
        <v>-10383</v>
      </c>
      <c r="F20" s="91"/>
      <c r="G20" s="126"/>
      <c r="H20" s="272" t="s">
        <v>90</v>
      </c>
      <c r="I20" s="276">
        <v>897960.91</v>
      </c>
      <c r="J20" s="274"/>
      <c r="K20" s="108"/>
      <c r="M20" s="126"/>
      <c r="N20" s="272" t="s">
        <v>193</v>
      </c>
      <c r="O20" s="273">
        <v>36141754</v>
      </c>
      <c r="P20" s="274"/>
    </row>
    <row r="21" spans="1:16" ht="14.5" customHeight="1" x14ac:dyDescent="0.35">
      <c r="A21" s="435" t="s">
        <v>56</v>
      </c>
      <c r="B21" s="436"/>
      <c r="C21" s="437"/>
      <c r="D21" s="100">
        <f>ROUND(-J43/1000,0)</f>
        <v>-1882</v>
      </c>
      <c r="E21" s="217"/>
      <c r="F21" s="91" t="s">
        <v>26</v>
      </c>
      <c r="G21" s="125"/>
      <c r="H21" s="272" t="s">
        <v>194</v>
      </c>
      <c r="I21" s="273">
        <v>8000000</v>
      </c>
      <c r="J21" s="275">
        <v>156833235</v>
      </c>
      <c r="K21" s="221">
        <f>ROUND((J21)/1000,0)</f>
        <v>156833</v>
      </c>
      <c r="M21" s="278"/>
      <c r="N21" s="272" t="s">
        <v>394</v>
      </c>
      <c r="O21" s="273">
        <v>14554541</v>
      </c>
      <c r="P21" s="274"/>
    </row>
    <row r="22" spans="1:16" ht="14.5" customHeight="1" x14ac:dyDescent="0.35">
      <c r="A22" s="435" t="s">
        <v>57</v>
      </c>
      <c r="B22" s="436"/>
      <c r="C22" s="437"/>
      <c r="D22" s="100"/>
      <c r="E22" s="217"/>
      <c r="F22" s="91"/>
      <c r="G22" s="126"/>
      <c r="H22" s="272" t="s">
        <v>91</v>
      </c>
      <c r="I22" s="276">
        <v>8000000</v>
      </c>
      <c r="J22" s="273">
        <v>156833235</v>
      </c>
      <c r="K22" s="101"/>
      <c r="M22" s="278"/>
      <c r="N22" s="272" t="s">
        <v>395</v>
      </c>
      <c r="O22" s="273">
        <v>21587213</v>
      </c>
      <c r="P22" s="274"/>
    </row>
    <row r="23" spans="1:16" x14ac:dyDescent="0.35">
      <c r="A23" s="435" t="s">
        <v>58</v>
      </c>
      <c r="B23" s="436"/>
      <c r="C23" s="437"/>
      <c r="D23" s="106">
        <f>ROUND(-(J23+J30)/1000,0)+1-1</f>
        <v>-1178</v>
      </c>
      <c r="E23" s="218">
        <v>-598</v>
      </c>
      <c r="F23" s="91"/>
      <c r="G23" s="124"/>
      <c r="H23" s="272" t="s">
        <v>195</v>
      </c>
      <c r="I23" s="274"/>
      <c r="J23" s="275">
        <v>1000</v>
      </c>
      <c r="K23" s="101"/>
      <c r="M23" s="126"/>
      <c r="N23" s="272" t="s">
        <v>194</v>
      </c>
      <c r="O23" s="273">
        <v>969242</v>
      </c>
      <c r="P23" s="274"/>
    </row>
    <row r="24" spans="1:16" ht="13.5" thickBot="1" x14ac:dyDescent="0.4">
      <c r="A24" s="435" t="s">
        <v>209</v>
      </c>
      <c r="B24" s="436"/>
      <c r="C24" s="437"/>
      <c r="D24" s="106"/>
      <c r="E24" s="260"/>
      <c r="F24" s="91"/>
      <c r="G24" s="125"/>
      <c r="H24" s="272" t="s">
        <v>92</v>
      </c>
      <c r="I24" s="274"/>
      <c r="J24" s="273">
        <v>1000</v>
      </c>
      <c r="K24" s="101"/>
      <c r="M24" s="278"/>
      <c r="N24" s="272" t="s">
        <v>396</v>
      </c>
      <c r="O24" s="273">
        <v>969242</v>
      </c>
      <c r="P24" s="274"/>
    </row>
    <row r="25" spans="1:16" ht="24" customHeight="1" x14ac:dyDescent="0.35">
      <c r="A25" s="435" t="s">
        <v>59</v>
      </c>
      <c r="B25" s="436"/>
      <c r="C25" s="437"/>
      <c r="D25" s="218">
        <f>D16-D18-D20-D23-D19-D21-D24</f>
        <v>-1268</v>
      </c>
      <c r="E25" s="218">
        <f>E16-E18-E20-E23-E19-E21-E24</f>
        <v>-630</v>
      </c>
      <c r="F25" s="133">
        <f>K33</f>
        <v>1268</v>
      </c>
      <c r="G25" s="124"/>
      <c r="H25" s="272" t="s">
        <v>196</v>
      </c>
      <c r="I25" s="274"/>
      <c r="J25" s="273">
        <v>10587571.050000001</v>
      </c>
      <c r="K25" s="103"/>
      <c r="M25" s="125"/>
      <c r="N25" s="272" t="s">
        <v>197</v>
      </c>
      <c r="O25" s="273">
        <v>65089400</v>
      </c>
      <c r="P25" s="274"/>
    </row>
    <row r="26" spans="1:16" ht="25.5" customHeight="1" x14ac:dyDescent="0.35">
      <c r="A26" s="438" t="s">
        <v>167</v>
      </c>
      <c r="B26" s="438"/>
      <c r="C26" s="438"/>
      <c r="D26" s="227">
        <f>D81-D78-D60</f>
        <v>-372941</v>
      </c>
      <c r="E26" s="227">
        <f>E81-E78-E60</f>
        <v>-382812</v>
      </c>
      <c r="F26" s="91"/>
      <c r="G26" s="125"/>
      <c r="H26" s="272" t="s">
        <v>93</v>
      </c>
      <c r="I26" s="274"/>
      <c r="J26" s="275">
        <v>10587571.050000001</v>
      </c>
      <c r="K26" s="101"/>
      <c r="M26" s="126"/>
      <c r="N26" s="272" t="s">
        <v>198</v>
      </c>
      <c r="O26" s="273">
        <v>65089400</v>
      </c>
      <c r="P26" s="274"/>
    </row>
    <row r="27" spans="1:16" ht="26.5" customHeight="1" x14ac:dyDescent="0.35">
      <c r="A27" s="445" t="s">
        <v>60</v>
      </c>
      <c r="B27" s="445"/>
      <c r="C27" s="445"/>
      <c r="D27" s="445"/>
      <c r="E27" s="445"/>
      <c r="F27" s="91"/>
      <c r="G27" s="124"/>
      <c r="H27" s="272" t="s">
        <v>197</v>
      </c>
      <c r="I27" s="274"/>
      <c r="J27" s="273">
        <v>209200000</v>
      </c>
      <c r="K27" s="101"/>
      <c r="M27" s="278"/>
      <c r="N27" s="272" t="s">
        <v>94</v>
      </c>
      <c r="O27" s="273">
        <v>65089400</v>
      </c>
      <c r="P27" s="274"/>
    </row>
    <row r="28" spans="1:16" ht="13" customHeight="1" x14ac:dyDescent="0.35">
      <c r="A28" s="446" t="s">
        <v>166</v>
      </c>
      <c r="B28" s="446"/>
      <c r="C28" s="446"/>
      <c r="D28" s="97">
        <f>SUM(D30:D41)</f>
        <v>0</v>
      </c>
      <c r="E28" s="97">
        <f>SUM(E30:E41)</f>
        <v>0</v>
      </c>
      <c r="F28" s="91"/>
      <c r="G28" s="125"/>
      <c r="H28" s="272" t="s">
        <v>198</v>
      </c>
      <c r="I28" s="274"/>
      <c r="J28" s="275">
        <v>209200000</v>
      </c>
      <c r="K28" s="220">
        <f>ROUND((J28-I28)/1000,0)</f>
        <v>209200</v>
      </c>
      <c r="M28" s="125"/>
      <c r="N28" s="272" t="s">
        <v>332</v>
      </c>
      <c r="O28" s="276">
        <v>52814124.469999999</v>
      </c>
      <c r="P28" s="274"/>
    </row>
    <row r="29" spans="1:16" ht="14.5" customHeight="1" x14ac:dyDescent="0.35">
      <c r="A29" s="438" t="s">
        <v>32</v>
      </c>
      <c r="B29" s="438"/>
      <c r="C29" s="438"/>
      <c r="D29" s="100"/>
      <c r="E29" s="100"/>
      <c r="F29" s="91"/>
      <c r="G29" s="126"/>
      <c r="H29" s="272" t="s">
        <v>94</v>
      </c>
      <c r="I29" s="274"/>
      <c r="J29" s="273">
        <v>209200000</v>
      </c>
      <c r="K29" s="101"/>
      <c r="M29" s="126"/>
      <c r="N29" s="272" t="s">
        <v>333</v>
      </c>
      <c r="O29" s="273">
        <v>52814124.469999999</v>
      </c>
      <c r="P29" s="274"/>
    </row>
    <row r="30" spans="1:16" ht="15.65" customHeight="1" x14ac:dyDescent="0.35">
      <c r="A30" s="435" t="s">
        <v>61</v>
      </c>
      <c r="B30" s="436"/>
      <c r="C30" s="437"/>
      <c r="D30" s="100" t="s">
        <v>6</v>
      </c>
      <c r="E30" s="100" t="s">
        <v>6</v>
      </c>
      <c r="F30" s="91"/>
      <c r="G30" s="124"/>
      <c r="H30" s="272" t="s">
        <v>199</v>
      </c>
      <c r="I30" s="274"/>
      <c r="J30" s="275">
        <v>1177303</v>
      </c>
      <c r="K30" s="101"/>
      <c r="M30" s="278"/>
      <c r="N30" s="272" t="s">
        <v>397</v>
      </c>
      <c r="O30" s="273">
        <v>52814124.469999999</v>
      </c>
      <c r="P30" s="274"/>
    </row>
    <row r="31" spans="1:16" ht="14.5" customHeight="1" x14ac:dyDescent="0.35">
      <c r="A31" s="435" t="s">
        <v>62</v>
      </c>
      <c r="B31" s="436"/>
      <c r="C31" s="437"/>
      <c r="D31" s="106" t="s">
        <v>6</v>
      </c>
      <c r="E31" s="106" t="s">
        <v>6</v>
      </c>
      <c r="F31" s="91"/>
      <c r="G31" s="125"/>
      <c r="H31" s="272" t="s">
        <v>95</v>
      </c>
      <c r="I31" s="274"/>
      <c r="J31" s="273">
        <v>635394</v>
      </c>
      <c r="K31" s="220">
        <f>ROUND((J31-I31)/1000,0)</f>
        <v>635</v>
      </c>
      <c r="M31" s="125"/>
      <c r="N31" s="272" t="s">
        <v>203</v>
      </c>
      <c r="O31" s="273">
        <v>40555584</v>
      </c>
      <c r="P31" s="273">
        <v>40555584</v>
      </c>
    </row>
    <row r="32" spans="1:16" x14ac:dyDescent="0.35">
      <c r="A32" s="435" t="s">
        <v>63</v>
      </c>
      <c r="B32" s="436"/>
      <c r="C32" s="437"/>
      <c r="D32" s="106" t="s">
        <v>6</v>
      </c>
      <c r="E32" s="106" t="s">
        <v>6</v>
      </c>
      <c r="F32" s="91"/>
      <c r="G32" s="125"/>
      <c r="H32" s="272" t="s">
        <v>96</v>
      </c>
      <c r="I32" s="274"/>
      <c r="J32" s="273">
        <v>541909</v>
      </c>
      <c r="K32" s="101"/>
      <c r="M32" s="126"/>
      <c r="N32" s="272" t="s">
        <v>104</v>
      </c>
      <c r="O32" s="273">
        <v>40555584</v>
      </c>
      <c r="P32" s="273">
        <v>40555584</v>
      </c>
    </row>
    <row r="33" spans="1:17" ht="23" x14ac:dyDescent="0.35">
      <c r="A33" s="438" t="s">
        <v>64</v>
      </c>
      <c r="B33" s="438"/>
      <c r="C33" s="438"/>
      <c r="D33" s="100" t="s">
        <v>6</v>
      </c>
      <c r="E33" s="100" t="s">
        <v>6</v>
      </c>
      <c r="F33" s="91"/>
      <c r="G33" s="124"/>
      <c r="H33" s="272" t="s">
        <v>200</v>
      </c>
      <c r="I33" s="275">
        <v>174500</v>
      </c>
      <c r="J33" s="275">
        <v>1442259</v>
      </c>
      <c r="K33" s="101">
        <f>ROUND((J33-I33)/1000,0)</f>
        <v>1268</v>
      </c>
      <c r="M33" s="120"/>
      <c r="N33" s="277" t="s">
        <v>105</v>
      </c>
      <c r="O33" s="122">
        <v>245280685.47</v>
      </c>
      <c r="P33" s="122">
        <v>241950935.47</v>
      </c>
    </row>
    <row r="34" spans="1:17" ht="46" x14ac:dyDescent="0.35">
      <c r="A34" s="435" t="s">
        <v>65</v>
      </c>
      <c r="B34" s="436"/>
      <c r="C34" s="437"/>
      <c r="D34" s="106" t="s">
        <v>6</v>
      </c>
      <c r="E34" s="106" t="s">
        <v>6</v>
      </c>
      <c r="F34" s="91"/>
      <c r="G34" s="125"/>
      <c r="H34" s="272" t="s">
        <v>201</v>
      </c>
      <c r="I34" s="273">
        <v>174500</v>
      </c>
      <c r="J34" s="273">
        <v>643102</v>
      </c>
      <c r="K34" s="101"/>
      <c r="M34" s="120"/>
      <c r="N34" s="277" t="s">
        <v>106</v>
      </c>
      <c r="O34" s="123"/>
      <c r="P34" s="122">
        <v>21228755</v>
      </c>
    </row>
    <row r="35" spans="1:17" ht="15.65" customHeight="1" x14ac:dyDescent="0.35">
      <c r="A35" s="435" t="s">
        <v>66</v>
      </c>
      <c r="B35" s="435"/>
      <c r="C35" s="435"/>
      <c r="D35" s="106" t="s">
        <v>6</v>
      </c>
      <c r="E35" s="106" t="s">
        <v>6</v>
      </c>
      <c r="F35" s="91"/>
      <c r="G35" s="126"/>
      <c r="H35" s="272" t="s">
        <v>97</v>
      </c>
      <c r="I35" s="273">
        <v>69500</v>
      </c>
      <c r="J35" s="273">
        <v>286575</v>
      </c>
      <c r="K35" s="101"/>
      <c r="M35" s="120"/>
      <c r="N35" s="121" t="s">
        <v>105</v>
      </c>
      <c r="O35" s="122">
        <v>245280685.47</v>
      </c>
      <c r="P35" s="122">
        <v>241950935.47</v>
      </c>
      <c r="Q35" s="101"/>
    </row>
    <row r="36" spans="1:17" ht="14.5" customHeight="1" x14ac:dyDescent="0.2">
      <c r="A36" s="435" t="s">
        <v>67</v>
      </c>
      <c r="B36" s="435"/>
      <c r="C36" s="435"/>
      <c r="D36" s="106" t="s">
        <v>6</v>
      </c>
      <c r="E36" s="106" t="s">
        <v>6</v>
      </c>
      <c r="F36" s="91"/>
      <c r="G36" s="126"/>
      <c r="H36" s="272" t="s">
        <v>98</v>
      </c>
      <c r="I36" s="273">
        <v>44000</v>
      </c>
      <c r="J36" s="273">
        <v>144811</v>
      </c>
      <c r="K36" s="101"/>
      <c r="M36" s="120"/>
      <c r="N36" s="121" t="s">
        <v>106</v>
      </c>
      <c r="O36" s="123"/>
      <c r="P36" s="122">
        <v>21228755</v>
      </c>
      <c r="Q36" s="118"/>
    </row>
    <row r="37" spans="1:17" ht="14.5" customHeight="1" x14ac:dyDescent="0.2">
      <c r="A37" s="435" t="s">
        <v>68</v>
      </c>
      <c r="B37" s="435"/>
      <c r="C37" s="435"/>
      <c r="D37" s="106" t="s">
        <v>6</v>
      </c>
      <c r="E37" s="106" t="s">
        <v>6</v>
      </c>
      <c r="F37" s="91"/>
      <c r="G37" s="126"/>
      <c r="H37" s="272" t="s">
        <v>99</v>
      </c>
      <c r="I37" s="273">
        <v>61000</v>
      </c>
      <c r="J37" s="273">
        <v>211716</v>
      </c>
      <c r="K37" s="130"/>
      <c r="N37" s="128"/>
      <c r="O37" s="128"/>
      <c r="P37" s="118"/>
      <c r="Q37" s="118"/>
    </row>
    <row r="38" spans="1:17" ht="14.5" customHeight="1" x14ac:dyDescent="0.2">
      <c r="A38" s="435" t="s">
        <v>161</v>
      </c>
      <c r="B38" s="435"/>
      <c r="C38" s="435"/>
      <c r="D38" s="106" t="s">
        <v>6</v>
      </c>
      <c r="E38" s="106" t="s">
        <v>6</v>
      </c>
      <c r="F38" s="91"/>
      <c r="G38" s="125"/>
      <c r="H38" s="272" t="s">
        <v>100</v>
      </c>
      <c r="I38" s="274"/>
      <c r="J38" s="273">
        <v>655143</v>
      </c>
      <c r="K38" s="130"/>
      <c r="N38" s="129" t="s">
        <v>79</v>
      </c>
      <c r="O38" s="129" t="s">
        <v>80</v>
      </c>
      <c r="P38" s="118"/>
      <c r="Q38" s="118"/>
    </row>
    <row r="39" spans="1:17" ht="15" customHeight="1" x14ac:dyDescent="0.2">
      <c r="A39" s="435" t="s">
        <v>70</v>
      </c>
      <c r="B39" s="435"/>
      <c r="C39" s="435"/>
      <c r="D39" s="106" t="s">
        <v>6</v>
      </c>
      <c r="E39" s="106" t="s">
        <v>6</v>
      </c>
      <c r="F39" s="91"/>
      <c r="G39" s="125"/>
      <c r="H39" s="272" t="s">
        <v>430</v>
      </c>
      <c r="I39" s="274"/>
      <c r="J39" s="273">
        <v>144014</v>
      </c>
      <c r="K39" s="101"/>
      <c r="N39" s="118"/>
      <c r="O39" s="118"/>
      <c r="P39" s="118"/>
      <c r="Q39" s="118"/>
    </row>
    <row r="40" spans="1:17" ht="14.5" customHeight="1" x14ac:dyDescent="0.35">
      <c r="A40" s="435" t="s">
        <v>52</v>
      </c>
      <c r="B40" s="436"/>
      <c r="C40" s="437"/>
      <c r="D40" s="106"/>
      <c r="E40" s="106"/>
      <c r="F40" s="91"/>
      <c r="G40" s="124"/>
      <c r="H40" s="272" t="s">
        <v>202</v>
      </c>
      <c r="I40" s="275">
        <v>135136.78</v>
      </c>
      <c r="J40" s="273">
        <v>11002164.33</v>
      </c>
      <c r="K40" s="101"/>
      <c r="N40" s="119" t="s">
        <v>81</v>
      </c>
      <c r="O40" s="119" t="s">
        <v>82</v>
      </c>
      <c r="P40" s="119" t="s">
        <v>83</v>
      </c>
      <c r="Q40" s="119" t="s">
        <v>84</v>
      </c>
    </row>
    <row r="41" spans="1:17" ht="15" customHeight="1" x14ac:dyDescent="0.35">
      <c r="A41" s="435" t="s">
        <v>53</v>
      </c>
      <c r="B41" s="436"/>
      <c r="C41" s="437"/>
      <c r="D41" s="109" t="s">
        <v>6</v>
      </c>
      <c r="E41" s="109" t="s">
        <v>6</v>
      </c>
      <c r="F41" s="91"/>
      <c r="G41" s="125"/>
      <c r="H41" s="272" t="s">
        <v>101</v>
      </c>
      <c r="I41" s="275">
        <v>135136.78</v>
      </c>
      <c r="J41" s="275">
        <v>703950.31</v>
      </c>
      <c r="K41" s="101"/>
      <c r="N41" s="120" t="s">
        <v>93</v>
      </c>
      <c r="O41" s="231" t="s">
        <v>86</v>
      </c>
      <c r="P41" s="122">
        <v>3049935.68</v>
      </c>
      <c r="Q41" s="233"/>
    </row>
    <row r="42" spans="1:17" s="99" customFormat="1" ht="14.5" customHeight="1" x14ac:dyDescent="0.35">
      <c r="A42" s="439" t="s">
        <v>165</v>
      </c>
      <c r="B42" s="439"/>
      <c r="C42" s="439"/>
      <c r="D42" s="97">
        <f>SUM(D44:D51)+SUM(D55:D59)</f>
        <v>0</v>
      </c>
      <c r="E42" s="97">
        <f>SUM(E44:E51)+SUM(E55:E59)</f>
        <v>-2246</v>
      </c>
      <c r="F42" s="98"/>
      <c r="G42" s="125"/>
      <c r="H42" s="272" t="s">
        <v>102</v>
      </c>
      <c r="I42" s="274"/>
      <c r="J42" s="275">
        <v>8415988</v>
      </c>
      <c r="K42" s="105">
        <f>ROUND((J42-I42)/1000,0)</f>
        <v>8416</v>
      </c>
      <c r="N42" s="124"/>
      <c r="O42" s="228" t="s">
        <v>85</v>
      </c>
      <c r="P42" s="273">
        <v>10587571.050000001</v>
      </c>
      <c r="Q42" s="230"/>
    </row>
    <row r="43" spans="1:17" ht="14.5" customHeight="1" x14ac:dyDescent="0.35">
      <c r="A43" s="438" t="s">
        <v>32</v>
      </c>
      <c r="B43" s="438"/>
      <c r="C43" s="438"/>
      <c r="D43" s="110"/>
      <c r="E43" s="110"/>
      <c r="F43" s="91"/>
      <c r="G43" s="125"/>
      <c r="H43" s="272" t="s">
        <v>103</v>
      </c>
      <c r="I43" s="274"/>
      <c r="J43" s="275">
        <v>1882226.02</v>
      </c>
      <c r="K43" s="101"/>
      <c r="N43" s="125"/>
      <c r="O43" s="228" t="s">
        <v>87</v>
      </c>
      <c r="P43" s="273">
        <v>10587571.050000001</v>
      </c>
      <c r="Q43" s="230"/>
    </row>
    <row r="44" spans="1:17" ht="14.5" customHeight="1" x14ac:dyDescent="0.35">
      <c r="A44" s="435" t="s">
        <v>71</v>
      </c>
      <c r="B44" s="436"/>
      <c r="C44" s="437"/>
      <c r="D44" s="106"/>
      <c r="E44" s="217">
        <v>-2246</v>
      </c>
      <c r="F44" s="91"/>
      <c r="G44" s="124"/>
      <c r="H44" s="272" t="s">
        <v>203</v>
      </c>
      <c r="I44" s="273">
        <v>201395351.47</v>
      </c>
      <c r="J44" s="274"/>
      <c r="K44" s="101"/>
      <c r="N44" s="124"/>
      <c r="O44" s="228" t="s">
        <v>406</v>
      </c>
      <c r="P44" s="230"/>
      <c r="Q44" s="229"/>
    </row>
    <row r="45" spans="1:17" ht="14.5" customHeight="1" x14ac:dyDescent="0.35">
      <c r="A45" s="435" t="s">
        <v>72</v>
      </c>
      <c r="B45" s="436"/>
      <c r="C45" s="437"/>
      <c r="D45" s="106" t="s">
        <v>6</v>
      </c>
      <c r="E45" s="106" t="s">
        <v>6</v>
      </c>
      <c r="F45" s="91"/>
      <c r="G45" s="125"/>
      <c r="H45" s="272" t="s">
        <v>104</v>
      </c>
      <c r="I45" s="276">
        <v>201395351.47</v>
      </c>
      <c r="J45" s="274"/>
      <c r="K45" s="221"/>
      <c r="N45" s="125"/>
      <c r="O45" s="228" t="s">
        <v>407</v>
      </c>
      <c r="P45" s="230"/>
      <c r="Q45" s="229"/>
    </row>
    <row r="46" spans="1:17" ht="14.5" customHeight="1" x14ac:dyDescent="0.35">
      <c r="A46" s="447" t="s">
        <v>73</v>
      </c>
      <c r="B46" s="447"/>
      <c r="C46" s="447"/>
      <c r="D46" s="100" t="s">
        <v>6</v>
      </c>
      <c r="E46" s="100" t="s">
        <v>6</v>
      </c>
      <c r="F46" s="91"/>
      <c r="G46" s="124"/>
      <c r="H46" s="272" t="s">
        <v>204</v>
      </c>
      <c r="I46" s="273">
        <v>429367732.01999998</v>
      </c>
      <c r="J46" s="273">
        <v>82874930.079999998</v>
      </c>
      <c r="K46" s="130">
        <f>ROUND((J46-I46)/1000,0)</f>
        <v>-346493</v>
      </c>
      <c r="N46" s="125"/>
      <c r="O46" s="228" t="s">
        <v>202</v>
      </c>
      <c r="P46" s="230"/>
      <c r="Q46" s="273">
        <v>12609232.83</v>
      </c>
    </row>
    <row r="47" spans="1:17" ht="14.5" customHeight="1" x14ac:dyDescent="0.35">
      <c r="A47" s="448" t="s">
        <v>74</v>
      </c>
      <c r="B47" s="448"/>
      <c r="C47" s="448"/>
      <c r="D47" s="100" t="s">
        <v>6</v>
      </c>
      <c r="E47" s="100" t="s">
        <v>6</v>
      </c>
      <c r="F47" s="91"/>
      <c r="G47" s="125"/>
      <c r="H47" s="272" t="s">
        <v>331</v>
      </c>
      <c r="I47" s="275">
        <v>353000000</v>
      </c>
      <c r="J47" s="275">
        <v>82874930.079999998</v>
      </c>
      <c r="K47" s="101"/>
      <c r="N47" s="126"/>
      <c r="O47" s="228" t="s">
        <v>101</v>
      </c>
      <c r="P47" s="230"/>
      <c r="Q47" s="273">
        <v>12313342.83</v>
      </c>
    </row>
    <row r="48" spans="1:17" ht="14.5" customHeight="1" x14ac:dyDescent="0.35">
      <c r="A48" s="447" t="s">
        <v>75</v>
      </c>
      <c r="B48" s="447"/>
      <c r="C48" s="447"/>
      <c r="D48" s="100" t="s">
        <v>6</v>
      </c>
      <c r="E48" s="100" t="s">
        <v>6</v>
      </c>
      <c r="F48" s="91"/>
      <c r="G48" s="125"/>
      <c r="H48" s="272" t="s">
        <v>205</v>
      </c>
      <c r="I48" s="275">
        <v>76367732.019999996</v>
      </c>
      <c r="J48" s="274"/>
      <c r="K48" s="101"/>
      <c r="N48" s="120"/>
      <c r="O48" s="228" t="s">
        <v>330</v>
      </c>
      <c r="P48" s="230"/>
      <c r="Q48" s="273">
        <v>295890</v>
      </c>
    </row>
    <row r="49" spans="1:17" ht="14.5" customHeight="1" x14ac:dyDescent="0.35">
      <c r="A49" s="447" t="s">
        <v>76</v>
      </c>
      <c r="B49" s="447"/>
      <c r="C49" s="447"/>
      <c r="D49" s="100" t="s">
        <v>6</v>
      </c>
      <c r="E49" s="100" t="s">
        <v>6</v>
      </c>
      <c r="F49" s="91"/>
      <c r="G49" s="124"/>
      <c r="H49" s="272" t="s">
        <v>206</v>
      </c>
      <c r="I49" s="274"/>
      <c r="J49" s="273">
        <v>63257920</v>
      </c>
      <c r="K49" s="130"/>
      <c r="N49" s="120"/>
      <c r="O49" s="228" t="s">
        <v>335</v>
      </c>
      <c r="P49" s="230"/>
      <c r="Q49" s="273">
        <v>295890</v>
      </c>
    </row>
    <row r="50" spans="1:17" ht="14.5" customHeight="1" x14ac:dyDescent="0.35">
      <c r="A50" s="448" t="s">
        <v>77</v>
      </c>
      <c r="B50" s="448"/>
      <c r="C50" s="448"/>
      <c r="D50" s="100" t="s">
        <v>6</v>
      </c>
      <c r="E50" s="100" t="s">
        <v>6</v>
      </c>
      <c r="F50" s="91"/>
      <c r="G50" s="125"/>
      <c r="H50" s="272" t="s">
        <v>207</v>
      </c>
      <c r="I50" s="274"/>
      <c r="J50" s="275">
        <v>63257920</v>
      </c>
      <c r="K50" s="234">
        <f>I50-J50</f>
        <v>-63257920</v>
      </c>
      <c r="N50" s="120"/>
      <c r="O50" s="231" t="s">
        <v>105</v>
      </c>
      <c r="P50" s="122">
        <v>10587571.050000001</v>
      </c>
      <c r="Q50" s="122">
        <v>12609232.83</v>
      </c>
    </row>
    <row r="51" spans="1:17" ht="14.5" customHeight="1" x14ac:dyDescent="0.35">
      <c r="A51" s="449" t="s">
        <v>56</v>
      </c>
      <c r="B51" s="449"/>
      <c r="C51" s="449"/>
      <c r="D51" s="100" t="s">
        <v>6</v>
      </c>
      <c r="E51" s="100" t="s">
        <v>6</v>
      </c>
      <c r="F51" s="91"/>
      <c r="G51" s="120"/>
      <c r="H51" s="121" t="s">
        <v>105</v>
      </c>
      <c r="I51" s="122">
        <v>1394632867.6700001</v>
      </c>
      <c r="J51" s="122">
        <v>1484338568.95</v>
      </c>
      <c r="N51" s="120"/>
      <c r="O51" s="231" t="s">
        <v>106</v>
      </c>
      <c r="P51" s="122">
        <v>1028273.9</v>
      </c>
      <c r="Q51" s="233"/>
    </row>
    <row r="52" spans="1:17" ht="14.5" customHeight="1" x14ac:dyDescent="0.35">
      <c r="A52" s="93"/>
      <c r="B52" s="93"/>
      <c r="C52" s="93"/>
      <c r="D52" s="111"/>
      <c r="E52" s="111"/>
      <c r="F52" s="91"/>
      <c r="G52" s="120"/>
      <c r="H52" s="121" t="s">
        <v>106</v>
      </c>
      <c r="I52" s="122">
        <v>1691687.8</v>
      </c>
      <c r="J52" s="123"/>
      <c r="N52" s="120"/>
      <c r="O52" s="121"/>
      <c r="P52" s="122"/>
      <c r="Q52" s="122"/>
    </row>
    <row r="53" spans="1:17" s="99" customFormat="1" ht="14.5" customHeight="1" x14ac:dyDescent="0.35">
      <c r="A53" s="481" t="s">
        <v>23</v>
      </c>
      <c r="B53" s="481"/>
      <c r="C53" s="481"/>
      <c r="D53" s="482" t="s">
        <v>24</v>
      </c>
      <c r="E53" s="482" t="s">
        <v>24</v>
      </c>
      <c r="F53" s="98"/>
      <c r="G53" s="483"/>
      <c r="H53" s="484"/>
      <c r="I53" s="485"/>
      <c r="J53" s="486"/>
      <c r="N53" s="487"/>
      <c r="O53" s="488"/>
      <c r="P53" s="489"/>
      <c r="Q53" s="490"/>
    </row>
    <row r="54" spans="1:17" ht="14.5" customHeight="1" x14ac:dyDescent="0.35">
      <c r="A54" s="455" t="s">
        <v>2</v>
      </c>
      <c r="B54" s="455"/>
      <c r="C54" s="455"/>
      <c r="D54" s="112" t="s">
        <v>4</v>
      </c>
      <c r="E54" s="112" t="s">
        <v>5</v>
      </c>
      <c r="F54" s="91"/>
      <c r="G54" s="125"/>
      <c r="H54" s="231"/>
      <c r="I54" s="232"/>
      <c r="J54" s="232"/>
      <c r="K54" s="99"/>
      <c r="O54" s="74" t="s">
        <v>334</v>
      </c>
      <c r="P54" s="107">
        <f>ROUND((P51-P41+Q44)/1000,0)*-1</f>
        <v>2022</v>
      </c>
    </row>
    <row r="55" spans="1:17" ht="14.5" customHeight="1" x14ac:dyDescent="0.35">
      <c r="A55" s="456" t="s">
        <v>107</v>
      </c>
      <c r="B55" s="456"/>
      <c r="C55" s="456"/>
      <c r="D55" s="100" t="s">
        <v>6</v>
      </c>
      <c r="E55" s="100" t="s">
        <v>6</v>
      </c>
      <c r="F55" s="91"/>
      <c r="G55" s="124"/>
      <c r="H55" s="231"/>
      <c r="I55" s="232"/>
      <c r="J55" s="233"/>
      <c r="O55" s="74" t="s">
        <v>336</v>
      </c>
      <c r="P55" s="107">
        <f>ROUND(-P43/1000,0)-P54</f>
        <v>-12610</v>
      </c>
    </row>
    <row r="56" spans="1:17" ht="23.15" customHeight="1" x14ac:dyDescent="0.2">
      <c r="A56" s="456" t="s">
        <v>108</v>
      </c>
      <c r="B56" s="456"/>
      <c r="C56" s="456"/>
      <c r="D56" s="100"/>
      <c r="E56" s="100"/>
      <c r="F56" s="91"/>
      <c r="G56" s="125"/>
      <c r="H56" s="118"/>
      <c r="I56" s="118"/>
      <c r="J56" s="118"/>
      <c r="P56" s="132"/>
    </row>
    <row r="57" spans="1:17" ht="14.5" customHeight="1" x14ac:dyDescent="0.2">
      <c r="A57" s="443" t="s">
        <v>69</v>
      </c>
      <c r="B57" s="440"/>
      <c r="C57" s="444"/>
      <c r="D57" s="100" t="s">
        <v>6</v>
      </c>
      <c r="E57" s="100" t="s">
        <v>6</v>
      </c>
      <c r="F57" s="91"/>
      <c r="G57" s="125"/>
      <c r="H57" s="118"/>
      <c r="I57" s="118"/>
      <c r="J57" s="118"/>
    </row>
    <row r="58" spans="1:17" ht="14.5" customHeight="1" x14ac:dyDescent="0.2">
      <c r="A58" s="443" t="s">
        <v>109</v>
      </c>
      <c r="B58" s="440"/>
      <c r="C58" s="444"/>
      <c r="D58" s="100" t="s">
        <v>6</v>
      </c>
      <c r="E58" s="100" t="s">
        <v>6</v>
      </c>
      <c r="F58" s="91"/>
      <c r="G58" s="124"/>
      <c r="H58" s="118"/>
      <c r="I58" s="118"/>
      <c r="J58" s="118"/>
    </row>
    <row r="59" spans="1:17" ht="32.15" customHeight="1" x14ac:dyDescent="0.2">
      <c r="A59" s="435" t="s">
        <v>59</v>
      </c>
      <c r="B59" s="436"/>
      <c r="C59" s="437"/>
      <c r="D59" s="100"/>
      <c r="E59" s="100"/>
      <c r="F59" s="91"/>
      <c r="G59" s="125"/>
      <c r="H59" s="118"/>
      <c r="I59" s="118"/>
      <c r="J59" s="118"/>
    </row>
    <row r="60" spans="1:17" ht="27.65" customHeight="1" x14ac:dyDescent="0.2">
      <c r="A60" s="457" t="s">
        <v>110</v>
      </c>
      <c r="B60" s="457"/>
      <c r="C60" s="457"/>
      <c r="D60" s="104">
        <f>D28+D42</f>
        <v>0</v>
      </c>
      <c r="E60" s="104">
        <f>E28+E42</f>
        <v>-2246</v>
      </c>
      <c r="F60" s="91"/>
      <c r="G60" s="124"/>
      <c r="H60" s="118"/>
      <c r="I60" s="118"/>
      <c r="J60" s="118"/>
    </row>
    <row r="61" spans="1:17" x14ac:dyDescent="0.2">
      <c r="A61" s="442" t="s">
        <v>111</v>
      </c>
      <c r="B61" s="442"/>
      <c r="C61" s="442"/>
      <c r="D61" s="442"/>
      <c r="E61" s="442"/>
      <c r="F61" s="91"/>
      <c r="G61" s="125"/>
      <c r="H61" s="118"/>
      <c r="I61" s="118"/>
      <c r="J61" s="118"/>
      <c r="K61" s="99"/>
    </row>
    <row r="62" spans="1:17" s="99" customFormat="1" x14ac:dyDescent="0.2">
      <c r="A62" s="445" t="s">
        <v>166</v>
      </c>
      <c r="B62" s="445"/>
      <c r="C62" s="445"/>
      <c r="D62" s="97">
        <f>SUM(D64:D68)</f>
        <v>429368</v>
      </c>
      <c r="E62" s="97">
        <f>SUM(E64:E68)</f>
        <v>244772</v>
      </c>
      <c r="F62" s="98"/>
      <c r="G62" s="120"/>
      <c r="H62" s="118"/>
      <c r="I62" s="118"/>
      <c r="J62" s="118"/>
      <c r="K62" s="74"/>
      <c r="N62" s="74"/>
      <c r="O62" s="74"/>
      <c r="P62" s="74"/>
      <c r="Q62" s="74"/>
    </row>
    <row r="63" spans="1:17" ht="14.5" customHeight="1" x14ac:dyDescent="0.2">
      <c r="A63" s="450" t="s">
        <v>32</v>
      </c>
      <c r="B63" s="450"/>
      <c r="C63" s="450"/>
      <c r="D63" s="106"/>
      <c r="E63" s="106"/>
      <c r="F63" s="91" t="s">
        <v>26</v>
      </c>
      <c r="G63" s="120"/>
      <c r="H63" s="118"/>
      <c r="I63" s="118"/>
      <c r="J63" s="118"/>
    </row>
    <row r="64" spans="1:17" x14ac:dyDescent="0.2">
      <c r="A64" s="443" t="s">
        <v>112</v>
      </c>
      <c r="B64" s="440"/>
      <c r="C64" s="444"/>
      <c r="D64" s="100" t="s">
        <v>6</v>
      </c>
      <c r="E64" s="100" t="s">
        <v>6</v>
      </c>
      <c r="F64" s="91"/>
      <c r="G64" s="118"/>
      <c r="H64" s="118"/>
      <c r="I64" s="118"/>
      <c r="J64" s="118"/>
    </row>
    <row r="65" spans="1:17" x14ac:dyDescent="0.2">
      <c r="A65" s="443" t="s">
        <v>113</v>
      </c>
      <c r="B65" s="440"/>
      <c r="C65" s="444"/>
      <c r="D65" s="100">
        <f>ROUND(I47/1000,0)</f>
        <v>353000</v>
      </c>
      <c r="E65" s="219">
        <v>168000</v>
      </c>
      <c r="F65" s="91"/>
      <c r="G65" s="118"/>
      <c r="H65" s="118"/>
      <c r="I65" s="118"/>
      <c r="J65" s="118"/>
    </row>
    <row r="66" spans="1:17" ht="13" customHeight="1" x14ac:dyDescent="0.2">
      <c r="A66" s="443" t="s">
        <v>114</v>
      </c>
      <c r="B66" s="440"/>
      <c r="C66" s="444"/>
      <c r="D66" s="100"/>
      <c r="E66" s="219"/>
      <c r="F66" s="91"/>
      <c r="G66" s="118"/>
      <c r="H66" s="118"/>
      <c r="I66" s="118"/>
      <c r="J66" s="118"/>
      <c r="N66" s="99"/>
      <c r="O66" s="99"/>
      <c r="P66" s="99"/>
      <c r="Q66" s="99"/>
    </row>
    <row r="67" spans="1:17" ht="14.5" customHeight="1" x14ac:dyDescent="0.2">
      <c r="A67" s="443" t="s">
        <v>162</v>
      </c>
      <c r="B67" s="440"/>
      <c r="C67" s="444"/>
      <c r="D67" s="100"/>
      <c r="E67" s="219"/>
      <c r="F67" s="91"/>
      <c r="G67" s="118"/>
      <c r="H67" s="118"/>
      <c r="I67" s="118"/>
      <c r="J67" s="118"/>
    </row>
    <row r="68" spans="1:17" x14ac:dyDescent="0.2">
      <c r="A68" s="443" t="s">
        <v>211</v>
      </c>
      <c r="B68" s="440"/>
      <c r="C68" s="444"/>
      <c r="D68" s="100">
        <f>ROUND(I48/1000,0)</f>
        <v>76368</v>
      </c>
      <c r="E68" s="219">
        <v>76772</v>
      </c>
      <c r="F68" s="91"/>
      <c r="G68" s="118"/>
      <c r="H68" s="118"/>
      <c r="I68" s="118"/>
      <c r="J68" s="118"/>
    </row>
    <row r="69" spans="1:17" s="99" customFormat="1" x14ac:dyDescent="0.2">
      <c r="A69" s="458" t="s">
        <v>165</v>
      </c>
      <c r="B69" s="458"/>
      <c r="C69" s="458"/>
      <c r="D69" s="104">
        <f>SUM(D71:D77)</f>
        <v>-146133</v>
      </c>
      <c r="E69" s="104">
        <f>SUM(E71:E77)</f>
        <v>-48569</v>
      </c>
      <c r="F69" s="98"/>
      <c r="G69" s="118"/>
      <c r="H69" s="118"/>
      <c r="I69" s="118"/>
      <c r="J69" s="118"/>
      <c r="K69" s="74"/>
      <c r="N69" s="74"/>
      <c r="O69" s="74"/>
      <c r="P69" s="74"/>
      <c r="Q69" s="74"/>
    </row>
    <row r="70" spans="1:17" x14ac:dyDescent="0.2">
      <c r="A70" s="450" t="s">
        <v>32</v>
      </c>
      <c r="B70" s="450"/>
      <c r="C70" s="450"/>
      <c r="D70" s="100"/>
      <c r="E70" s="100"/>
      <c r="F70" s="91"/>
      <c r="G70" s="118"/>
      <c r="H70" s="118"/>
      <c r="I70" s="118"/>
      <c r="J70" s="118"/>
      <c r="K70" s="99"/>
    </row>
    <row r="71" spans="1:17" ht="14.5" customHeight="1" x14ac:dyDescent="0.2">
      <c r="A71" s="450" t="s">
        <v>115</v>
      </c>
      <c r="B71" s="450"/>
      <c r="C71" s="450"/>
      <c r="D71" s="100">
        <f>ROUND(-(J47)/1000,0)</f>
        <v>-82875</v>
      </c>
      <c r="E71" s="219"/>
      <c r="F71" s="91"/>
      <c r="G71" s="118"/>
      <c r="H71" s="118"/>
      <c r="I71" s="118"/>
      <c r="J71" s="118"/>
    </row>
    <row r="72" spans="1:17" ht="14.5" customHeight="1" x14ac:dyDescent="0.2">
      <c r="A72" s="443" t="s">
        <v>228</v>
      </c>
      <c r="B72" s="443"/>
      <c r="C72" s="443"/>
      <c r="D72" s="100">
        <f>ROUND(-J50/1000,0)</f>
        <v>-63258</v>
      </c>
      <c r="E72" s="219">
        <v>-38569</v>
      </c>
      <c r="F72" s="91"/>
      <c r="G72" s="118"/>
      <c r="H72" s="118"/>
      <c r="I72" s="118"/>
      <c r="J72" s="118"/>
    </row>
    <row r="73" spans="1:17" ht="14.5" customHeight="1" x14ac:dyDescent="0.2">
      <c r="A73" s="443" t="s">
        <v>116</v>
      </c>
      <c r="B73" s="440"/>
      <c r="C73" s="444"/>
      <c r="D73" s="100" t="s">
        <v>6</v>
      </c>
      <c r="E73" s="219" t="s">
        <v>6</v>
      </c>
      <c r="F73" s="91" t="s">
        <v>26</v>
      </c>
      <c r="G73" s="118"/>
      <c r="H73" s="118"/>
      <c r="I73" s="118"/>
      <c r="J73" s="118"/>
      <c r="K73" s="99"/>
      <c r="N73" s="99"/>
      <c r="O73" s="99"/>
      <c r="P73" s="99"/>
      <c r="Q73" s="99"/>
    </row>
    <row r="74" spans="1:17" ht="13" customHeight="1" x14ac:dyDescent="0.2">
      <c r="A74" s="443" t="s">
        <v>117</v>
      </c>
      <c r="B74" s="440"/>
      <c r="C74" s="444"/>
      <c r="D74" s="100" t="s">
        <v>6</v>
      </c>
      <c r="E74" s="219" t="s">
        <v>6</v>
      </c>
      <c r="F74" s="91"/>
      <c r="G74" s="118"/>
      <c r="H74" s="118"/>
      <c r="I74" s="118"/>
      <c r="J74" s="118"/>
    </row>
    <row r="75" spans="1:17" ht="14.5" customHeight="1" x14ac:dyDescent="0.2">
      <c r="A75" s="443" t="s">
        <v>108</v>
      </c>
      <c r="B75" s="440"/>
      <c r="C75" s="444"/>
      <c r="D75" s="100"/>
      <c r="E75" s="219"/>
      <c r="F75" s="91"/>
      <c r="G75" s="118"/>
      <c r="H75" s="118"/>
      <c r="I75" s="118"/>
      <c r="J75" s="118"/>
    </row>
    <row r="76" spans="1:17" ht="14.5" customHeight="1" x14ac:dyDescent="0.2">
      <c r="A76" s="443" t="s">
        <v>214</v>
      </c>
      <c r="B76" s="440"/>
      <c r="C76" s="444"/>
      <c r="D76" s="100"/>
      <c r="E76" s="219">
        <v>-10000</v>
      </c>
      <c r="F76" s="91"/>
      <c r="G76" s="118"/>
      <c r="H76" s="118"/>
      <c r="I76" s="118"/>
      <c r="J76" s="118"/>
    </row>
    <row r="77" spans="1:17" ht="13" customHeight="1" x14ac:dyDescent="0.2">
      <c r="A77" s="450" t="s">
        <v>118</v>
      </c>
      <c r="B77" s="450"/>
      <c r="C77" s="450"/>
      <c r="D77" s="113"/>
      <c r="E77" s="113"/>
      <c r="F77" s="91"/>
      <c r="G77" s="118"/>
      <c r="H77" s="118"/>
      <c r="I77" s="118"/>
      <c r="J77" s="118"/>
    </row>
    <row r="78" spans="1:17" s="99" customFormat="1" x14ac:dyDescent="0.2">
      <c r="A78" s="439" t="s">
        <v>164</v>
      </c>
      <c r="B78" s="439"/>
      <c r="C78" s="439"/>
      <c r="D78" s="97">
        <f>D62+D69</f>
        <v>283235</v>
      </c>
      <c r="E78" s="97">
        <f>E62+E69</f>
        <v>196203</v>
      </c>
      <c r="F78" s="98"/>
      <c r="G78" s="118"/>
      <c r="H78" s="118"/>
      <c r="I78" s="118"/>
      <c r="J78" s="118"/>
      <c r="K78" s="74"/>
      <c r="N78" s="74"/>
      <c r="O78" s="74"/>
      <c r="P78" s="74"/>
      <c r="Q78" s="74"/>
    </row>
    <row r="79" spans="1:17" ht="13" customHeight="1" x14ac:dyDescent="0.2">
      <c r="A79" s="454" t="s">
        <v>119</v>
      </c>
      <c r="B79" s="454"/>
      <c r="C79" s="454"/>
      <c r="D79" s="97" t="s">
        <v>6</v>
      </c>
      <c r="E79" s="97" t="s">
        <v>6</v>
      </c>
      <c r="F79" s="91"/>
      <c r="G79" s="118"/>
      <c r="H79" s="118"/>
      <c r="I79" s="118"/>
      <c r="J79" s="118"/>
    </row>
    <row r="80" spans="1:17" ht="13" customHeight="1" x14ac:dyDescent="0.2">
      <c r="A80" s="454" t="s">
        <v>120</v>
      </c>
      <c r="B80" s="454"/>
      <c r="C80" s="454"/>
      <c r="D80" s="97" t="s">
        <v>6</v>
      </c>
      <c r="E80" s="97" t="s">
        <v>6</v>
      </c>
      <c r="F80" s="91"/>
      <c r="G80" s="118"/>
      <c r="H80" s="118"/>
      <c r="I80" s="118"/>
      <c r="J80" s="118"/>
    </row>
    <row r="81" spans="1:17" s="99" customFormat="1" x14ac:dyDescent="0.2">
      <c r="A81" s="439" t="s">
        <v>163</v>
      </c>
      <c r="B81" s="439"/>
      <c r="C81" s="439"/>
      <c r="D81" s="97">
        <f>D83-D82</f>
        <v>-89706</v>
      </c>
      <c r="E81" s="97">
        <f>E83-E82</f>
        <v>-188855</v>
      </c>
      <c r="F81" s="98"/>
      <c r="G81" s="118"/>
      <c r="H81" s="118"/>
      <c r="I81" s="118"/>
      <c r="J81" s="118"/>
      <c r="K81" s="74"/>
      <c r="N81" s="74"/>
      <c r="O81" s="74"/>
      <c r="P81" s="74"/>
      <c r="Q81" s="74"/>
    </row>
    <row r="82" spans="1:17" x14ac:dyDescent="0.2">
      <c r="A82" s="435" t="s">
        <v>121</v>
      </c>
      <c r="B82" s="435"/>
      <c r="C82" s="435"/>
      <c r="D82" s="104">
        <f>Ф1!D7</f>
        <v>91398</v>
      </c>
      <c r="E82" s="104">
        <v>201060</v>
      </c>
      <c r="F82" s="91"/>
      <c r="G82" s="118"/>
      <c r="H82" s="118"/>
      <c r="I82" s="118"/>
      <c r="J82" s="118"/>
      <c r="N82" s="99"/>
      <c r="O82" s="99"/>
      <c r="P82" s="99"/>
      <c r="Q82" s="99"/>
    </row>
    <row r="83" spans="1:17" x14ac:dyDescent="0.2">
      <c r="A83" s="451" t="s">
        <v>122</v>
      </c>
      <c r="B83" s="452"/>
      <c r="C83" s="453"/>
      <c r="D83" s="104">
        <f>Ф1!C7</f>
        <v>1692</v>
      </c>
      <c r="E83" s="104">
        <v>12205</v>
      </c>
      <c r="F83" s="91"/>
      <c r="G83" s="118"/>
      <c r="H83" s="118"/>
      <c r="I83" s="118"/>
      <c r="J83" s="118"/>
    </row>
    <row r="84" spans="1:17" hidden="1" x14ac:dyDescent="0.2">
      <c r="A84" s="91"/>
      <c r="B84" s="91"/>
      <c r="C84" s="91"/>
      <c r="D84" s="111">
        <f>D82-D83</f>
        <v>89706</v>
      </c>
      <c r="E84" s="94"/>
      <c r="F84" s="91"/>
      <c r="G84" s="118"/>
      <c r="H84" s="118"/>
      <c r="I84" s="118"/>
      <c r="J84" s="118"/>
    </row>
    <row r="85" spans="1:17" x14ac:dyDescent="0.2">
      <c r="A85" s="94"/>
      <c r="B85" s="94"/>
      <c r="C85" s="94"/>
      <c r="D85" s="111"/>
      <c r="E85" s="94"/>
      <c r="F85" s="91"/>
      <c r="G85" s="118"/>
      <c r="H85" s="118"/>
      <c r="I85" s="118"/>
      <c r="J85" s="118"/>
    </row>
    <row r="86" spans="1:17" x14ac:dyDescent="0.2">
      <c r="A86" s="477" t="s">
        <v>16</v>
      </c>
      <c r="B86" s="94"/>
      <c r="C86" s="478" t="s">
        <v>17</v>
      </c>
      <c r="D86" s="478"/>
      <c r="E86" s="235"/>
      <c r="G86" s="118"/>
      <c r="H86" s="118"/>
      <c r="I86" s="118"/>
      <c r="J86" s="118"/>
      <c r="N86" s="99"/>
      <c r="O86" s="99"/>
      <c r="P86" s="99"/>
      <c r="Q86" s="99"/>
    </row>
    <row r="87" spans="1:17" x14ac:dyDescent="0.2">
      <c r="A87" s="94"/>
      <c r="B87" s="94"/>
      <c r="C87" s="479" t="s">
        <v>18</v>
      </c>
      <c r="D87" s="479"/>
      <c r="E87" s="236" t="s">
        <v>19</v>
      </c>
      <c r="G87" s="118"/>
      <c r="H87" s="118"/>
      <c r="I87" s="118"/>
      <c r="J87" s="118"/>
    </row>
    <row r="88" spans="1:17" x14ac:dyDescent="0.2">
      <c r="A88" s="480" t="s">
        <v>20</v>
      </c>
      <c r="B88" s="94"/>
      <c r="C88" s="478"/>
      <c r="D88" s="478"/>
      <c r="E88" s="235"/>
      <c r="G88" s="118"/>
      <c r="H88" s="118"/>
      <c r="I88" s="118"/>
      <c r="J88" s="118"/>
    </row>
    <row r="89" spans="1:17" x14ac:dyDescent="0.2">
      <c r="A89" s="94"/>
      <c r="B89" s="94"/>
      <c r="C89" s="479" t="s">
        <v>18</v>
      </c>
      <c r="D89" s="479"/>
      <c r="E89" s="236" t="s">
        <v>19</v>
      </c>
      <c r="G89" s="118"/>
      <c r="H89" s="118"/>
      <c r="I89" s="118"/>
      <c r="J89" s="118"/>
    </row>
    <row r="90" spans="1:17" x14ac:dyDescent="0.2">
      <c r="A90" s="94" t="s">
        <v>21</v>
      </c>
      <c r="B90" s="94"/>
      <c r="C90" s="94"/>
      <c r="D90" s="94"/>
      <c r="E90" s="94"/>
      <c r="F90" s="91"/>
      <c r="G90" s="118"/>
      <c r="H90" s="118"/>
      <c r="I90" s="118"/>
      <c r="J90" s="118"/>
    </row>
    <row r="91" spans="1:17" x14ac:dyDescent="0.2">
      <c r="A91" s="91" t="s">
        <v>22</v>
      </c>
      <c r="B91" s="91"/>
      <c r="C91" s="91"/>
      <c r="D91" s="94"/>
      <c r="E91" s="94"/>
      <c r="F91" s="91"/>
      <c r="G91" s="118"/>
      <c r="H91" s="118"/>
      <c r="I91" s="118"/>
      <c r="J91" s="118"/>
    </row>
    <row r="92" spans="1:17" x14ac:dyDescent="0.2">
      <c r="A92" s="91"/>
      <c r="B92" s="91"/>
      <c r="C92" s="91"/>
      <c r="D92" s="94"/>
      <c r="E92" s="94"/>
      <c r="F92" s="91"/>
      <c r="G92" s="118"/>
      <c r="H92" s="118"/>
      <c r="I92" s="118"/>
      <c r="J92" s="118"/>
    </row>
    <row r="93" spans="1:17" x14ac:dyDescent="0.2">
      <c r="A93" s="91"/>
      <c r="B93" s="91"/>
      <c r="C93" s="91"/>
      <c r="D93" s="94"/>
      <c r="E93" s="94"/>
      <c r="F93" s="91"/>
      <c r="G93" s="118"/>
      <c r="H93" s="118"/>
      <c r="I93" s="118"/>
      <c r="J93" s="118"/>
    </row>
    <row r="94" spans="1:17" x14ac:dyDescent="0.2">
      <c r="A94" s="91"/>
      <c r="B94" s="91"/>
      <c r="C94" s="91"/>
      <c r="D94" s="94"/>
      <c r="E94" s="94"/>
      <c r="F94" s="91"/>
      <c r="G94" s="118"/>
      <c r="H94" s="118"/>
      <c r="I94" s="118"/>
      <c r="J94" s="118"/>
    </row>
    <row r="95" spans="1:17" x14ac:dyDescent="0.2">
      <c r="A95" s="91"/>
      <c r="B95" s="91"/>
      <c r="C95" s="91"/>
      <c r="D95" s="94"/>
      <c r="E95" s="94"/>
      <c r="F95" s="91"/>
      <c r="G95" s="118"/>
      <c r="H95" s="118"/>
      <c r="I95" s="118"/>
      <c r="J95" s="118"/>
    </row>
    <row r="96" spans="1:17" x14ac:dyDescent="0.2">
      <c r="A96" s="91"/>
      <c r="B96" s="91"/>
      <c r="C96" s="91"/>
      <c r="D96" s="94"/>
      <c r="E96" s="94"/>
      <c r="F96" s="91"/>
      <c r="G96" s="118"/>
      <c r="H96" s="118"/>
      <c r="I96" s="118"/>
      <c r="J96" s="118"/>
    </row>
    <row r="97" spans="1:10" x14ac:dyDescent="0.2">
      <c r="A97" s="91"/>
      <c r="B97" s="91"/>
      <c r="C97" s="91"/>
      <c r="D97" s="94"/>
      <c r="E97" s="94"/>
      <c r="F97" s="91"/>
      <c r="G97" s="118"/>
      <c r="H97" s="118"/>
      <c r="I97" s="118"/>
      <c r="J97" s="118"/>
    </row>
    <row r="98" spans="1:10" x14ac:dyDescent="0.2">
      <c r="A98" s="91"/>
      <c r="B98" s="91"/>
      <c r="C98" s="91"/>
      <c r="D98" s="94"/>
      <c r="E98" s="94"/>
      <c r="F98" s="91"/>
      <c r="G98" s="118"/>
      <c r="H98" s="118"/>
      <c r="I98" s="118"/>
      <c r="J98" s="118"/>
    </row>
    <row r="99" spans="1:10" x14ac:dyDescent="0.2">
      <c r="A99" s="91"/>
      <c r="B99" s="91"/>
      <c r="C99" s="91"/>
      <c r="D99" s="94"/>
      <c r="E99" s="94"/>
      <c r="F99" s="91"/>
      <c r="G99" s="118"/>
      <c r="H99" s="118"/>
      <c r="I99" s="118"/>
      <c r="J99" s="118"/>
    </row>
    <row r="100" spans="1:10" x14ac:dyDescent="0.2">
      <c r="G100" s="118"/>
      <c r="H100" s="118"/>
      <c r="I100" s="118"/>
      <c r="J100" s="118"/>
    </row>
    <row r="101" spans="1:10" x14ac:dyDescent="0.2">
      <c r="G101" s="118"/>
      <c r="H101" s="118"/>
      <c r="I101" s="118"/>
      <c r="J101" s="118"/>
    </row>
    <row r="102" spans="1:10" x14ac:dyDescent="0.2">
      <c r="G102" s="118"/>
      <c r="H102" s="118"/>
      <c r="I102" s="118"/>
      <c r="J102" s="118"/>
    </row>
    <row r="103" spans="1:10" x14ac:dyDescent="0.2">
      <c r="G103" s="118"/>
    </row>
    <row r="104" spans="1:10" x14ac:dyDescent="0.2">
      <c r="G104" s="118"/>
    </row>
    <row r="105" spans="1:10" x14ac:dyDescent="0.2">
      <c r="G105" s="118"/>
    </row>
    <row r="106" spans="1:10" x14ac:dyDescent="0.2">
      <c r="G106" s="118"/>
    </row>
    <row r="107" spans="1:10" x14ac:dyDescent="0.2">
      <c r="G107" s="118"/>
    </row>
    <row r="108" spans="1:10" x14ac:dyDescent="0.2">
      <c r="G108" s="118"/>
    </row>
    <row r="109" spans="1:10" x14ac:dyDescent="0.2">
      <c r="G109" s="118"/>
    </row>
    <row r="110" spans="1:10" x14ac:dyDescent="0.2">
      <c r="G110" s="118"/>
    </row>
  </sheetData>
  <mergeCells count="88">
    <mergeCell ref="A61:E61"/>
    <mergeCell ref="A64:C64"/>
    <mergeCell ref="A79:C79"/>
    <mergeCell ref="A75:C75"/>
    <mergeCell ref="A63:C63"/>
    <mergeCell ref="A1:E1"/>
    <mergeCell ref="C87:D87"/>
    <mergeCell ref="A53:C53"/>
    <mergeCell ref="A54:C54"/>
    <mergeCell ref="A55:C55"/>
    <mergeCell ref="A56:C56"/>
    <mergeCell ref="A57:C57"/>
    <mergeCell ref="A58:C58"/>
    <mergeCell ref="A59:C59"/>
    <mergeCell ref="A60:C60"/>
    <mergeCell ref="A65:C65"/>
    <mergeCell ref="A66:C66"/>
    <mergeCell ref="A68:C68"/>
    <mergeCell ref="A42:C42"/>
    <mergeCell ref="A62:C62"/>
    <mergeCell ref="A69:C69"/>
    <mergeCell ref="C88:D88"/>
    <mergeCell ref="C89:D89"/>
    <mergeCell ref="A70:C70"/>
    <mergeCell ref="A71:C71"/>
    <mergeCell ref="A72:C72"/>
    <mergeCell ref="A73:C73"/>
    <mergeCell ref="A74:C74"/>
    <mergeCell ref="A77:C77"/>
    <mergeCell ref="A82:C82"/>
    <mergeCell ref="A83:C83"/>
    <mergeCell ref="A80:C80"/>
    <mergeCell ref="A81:C81"/>
    <mergeCell ref="A78:C78"/>
    <mergeCell ref="A76:C76"/>
    <mergeCell ref="C86:D86"/>
    <mergeCell ref="A37:C37"/>
    <mergeCell ref="A38:C38"/>
    <mergeCell ref="A39:C39"/>
    <mergeCell ref="A36:C36"/>
    <mergeCell ref="A67:C67"/>
    <mergeCell ref="A40:C40"/>
    <mergeCell ref="A41:C41"/>
    <mergeCell ref="A49:C49"/>
    <mergeCell ref="A50:C50"/>
    <mergeCell ref="A51:C51"/>
    <mergeCell ref="A43:C43"/>
    <mergeCell ref="A44:C44"/>
    <mergeCell ref="A45:C45"/>
    <mergeCell ref="A46:C46"/>
    <mergeCell ref="A47:C47"/>
    <mergeCell ref="A48:C48"/>
    <mergeCell ref="A28:C28"/>
    <mergeCell ref="A24:C24"/>
    <mergeCell ref="A23:C23"/>
    <mergeCell ref="A29:C29"/>
    <mergeCell ref="A35:C35"/>
    <mergeCell ref="A30:C30"/>
    <mergeCell ref="A31:C31"/>
    <mergeCell ref="A32:C32"/>
    <mergeCell ref="A33:C33"/>
    <mergeCell ref="A34:C34"/>
    <mergeCell ref="A21:C21"/>
    <mergeCell ref="A22:C22"/>
    <mergeCell ref="A25:C25"/>
    <mergeCell ref="A26:C26"/>
    <mergeCell ref="A27:E27"/>
    <mergeCell ref="A2:E2"/>
    <mergeCell ref="A17:C17"/>
    <mergeCell ref="A18:C18"/>
    <mergeCell ref="A19:C19"/>
    <mergeCell ref="A20:C20"/>
    <mergeCell ref="A14:C14"/>
    <mergeCell ref="A15:C15"/>
    <mergeCell ref="A16:C16"/>
    <mergeCell ref="A3:E3"/>
    <mergeCell ref="A11:C11"/>
    <mergeCell ref="A5:C5"/>
    <mergeCell ref="A6:C6"/>
    <mergeCell ref="A7:E7"/>
    <mergeCell ref="A8:C8"/>
    <mergeCell ref="A9:C9"/>
    <mergeCell ref="A10:C10"/>
    <mergeCell ref="N9:N10"/>
    <mergeCell ref="O9:O10"/>
    <mergeCell ref="P9:P10"/>
    <mergeCell ref="A12:C12"/>
    <mergeCell ref="A13:C13"/>
  </mergeCells>
  <pageMargins left="0.86614173228346458" right="0.27559055118110237" top="0.82677165354330717" bottom="0.47244094488188981" header="0.15748031496062992" footer="0.31496062992125984"/>
  <pageSetup paperSize="9" scale="92" fitToWidth="0" orientation="portrait" verticalDpi="4294967295" r:id="rId1"/>
  <rowBreaks count="1" manualBreakCount="1">
    <brk id="50" max="16383" man="1"/>
  </row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1"/>
  <sheetViews>
    <sheetView workbookViewId="0">
      <selection activeCell="A2" sqref="A2:I2"/>
    </sheetView>
  </sheetViews>
  <sheetFormatPr defaultColWidth="8.7265625" defaultRowHeight="14" x14ac:dyDescent="0.35"/>
  <cols>
    <col min="1" max="1" width="33.54296875" style="24" customWidth="1"/>
    <col min="2" max="2" width="16.1796875" style="24" customWidth="1"/>
    <col min="3" max="3" width="0" style="24" hidden="1" customWidth="1"/>
    <col min="4" max="4" width="12.453125" style="24" hidden="1" customWidth="1"/>
    <col min="5" max="5" width="10.453125" style="24" hidden="1" customWidth="1"/>
    <col min="6" max="6" width="15.453125" style="24" customWidth="1"/>
    <col min="7" max="7" width="14.81640625" style="24" customWidth="1"/>
    <col min="8" max="8" width="1.81640625" style="24" hidden="1" customWidth="1"/>
    <col min="9" max="9" width="16" style="24" customWidth="1"/>
    <col min="10" max="10" width="8.7265625" style="24" hidden="1" customWidth="1"/>
    <col min="11" max="16384" width="8.7265625" style="24"/>
  </cols>
  <sheetData>
    <row r="1" spans="1:13" ht="45" customHeight="1" x14ac:dyDescent="0.35">
      <c r="A1" s="459" t="str">
        <f>Ф1!A1</f>
        <v>ТОО "Микрофинансовая организация "Капиталинвест"" 
Промежуточная финансовая отчетность за период с 01.01.2025 г. по 31.03.2025 г.
в тыс. тенге</v>
      </c>
      <c r="B1" s="459"/>
      <c r="C1" s="459"/>
      <c r="D1" s="459"/>
      <c r="E1" s="459"/>
      <c r="F1" s="459"/>
      <c r="G1" s="459"/>
      <c r="H1" s="459"/>
      <c r="I1" s="459"/>
      <c r="J1" s="26"/>
      <c r="K1" s="26"/>
      <c r="L1" s="26"/>
      <c r="M1" s="26"/>
    </row>
    <row r="2" spans="1:13" x14ac:dyDescent="0.35">
      <c r="A2" s="465" t="s">
        <v>427</v>
      </c>
      <c r="B2" s="465"/>
      <c r="C2" s="465"/>
      <c r="D2" s="465"/>
      <c r="E2" s="465"/>
      <c r="F2" s="465"/>
      <c r="G2" s="465"/>
      <c r="H2" s="465"/>
      <c r="I2" s="465"/>
      <c r="J2" s="26"/>
      <c r="K2" s="26"/>
      <c r="L2" s="26"/>
      <c r="M2" s="26"/>
    </row>
    <row r="3" spans="1:13" x14ac:dyDescent="0.3">
      <c r="A3" s="467" t="s">
        <v>434</v>
      </c>
      <c r="B3" s="467"/>
      <c r="C3" s="467"/>
      <c r="D3" s="467"/>
      <c r="E3" s="467"/>
      <c r="F3" s="467"/>
      <c r="G3" s="467"/>
      <c r="H3" s="467"/>
      <c r="I3" s="467"/>
      <c r="J3" s="27"/>
      <c r="K3" s="27"/>
      <c r="L3" s="27"/>
      <c r="M3" s="26"/>
    </row>
    <row r="4" spans="1:13" x14ac:dyDescent="0.3">
      <c r="A4" s="28"/>
      <c r="B4" s="28"/>
      <c r="C4" s="28"/>
      <c r="D4" s="28"/>
      <c r="E4" s="28"/>
      <c r="F4" s="28"/>
      <c r="G4" s="28"/>
      <c r="H4" s="28"/>
      <c r="I4" s="28"/>
      <c r="J4" s="27"/>
      <c r="K4" s="27"/>
      <c r="L4" s="27"/>
      <c r="M4" s="26"/>
    </row>
    <row r="6" spans="1:13" x14ac:dyDescent="0.35">
      <c r="A6" s="26"/>
      <c r="B6" s="26"/>
      <c r="C6" s="26"/>
      <c r="D6" s="26"/>
      <c r="E6" s="26"/>
      <c r="F6" s="26"/>
      <c r="G6" s="26"/>
      <c r="H6" s="464" t="s">
        <v>0</v>
      </c>
      <c r="I6" s="464"/>
      <c r="J6" s="26"/>
      <c r="K6" s="26"/>
      <c r="L6" s="26"/>
      <c r="M6" s="26"/>
    </row>
    <row r="7" spans="1:13" ht="14.5" customHeight="1" x14ac:dyDescent="0.35">
      <c r="A7" s="466" t="s">
        <v>123</v>
      </c>
      <c r="B7" s="466" t="s">
        <v>124</v>
      </c>
      <c r="C7" s="466"/>
      <c r="D7" s="466"/>
      <c r="E7" s="466"/>
      <c r="F7" s="466"/>
      <c r="G7" s="466"/>
      <c r="H7" s="466" t="s">
        <v>125</v>
      </c>
      <c r="I7" s="466" t="s">
        <v>126</v>
      </c>
      <c r="J7" s="26"/>
      <c r="K7" s="26"/>
      <c r="L7" s="26"/>
      <c r="M7" s="26"/>
    </row>
    <row r="8" spans="1:13" ht="43.5" customHeight="1" x14ac:dyDescent="0.35">
      <c r="A8" s="466"/>
      <c r="B8" s="29" t="s">
        <v>12</v>
      </c>
      <c r="C8" s="29" t="s">
        <v>13</v>
      </c>
      <c r="D8" s="29" t="s">
        <v>127</v>
      </c>
      <c r="E8" s="29" t="s">
        <v>14</v>
      </c>
      <c r="F8" s="29" t="s">
        <v>128</v>
      </c>
      <c r="G8" s="29" t="s">
        <v>15</v>
      </c>
      <c r="H8" s="466"/>
      <c r="I8" s="466"/>
      <c r="J8" s="26"/>
      <c r="K8" s="26"/>
      <c r="L8" s="26"/>
      <c r="M8" s="26"/>
    </row>
    <row r="9" spans="1:13" x14ac:dyDescent="0.35">
      <c r="A9" s="30" t="s">
        <v>2</v>
      </c>
      <c r="B9" s="30" t="s">
        <v>4</v>
      </c>
      <c r="C9" s="30" t="s">
        <v>5</v>
      </c>
      <c r="D9" s="30" t="s">
        <v>129</v>
      </c>
      <c r="E9" s="30" t="s">
        <v>130</v>
      </c>
      <c r="F9" s="30" t="s">
        <v>131</v>
      </c>
      <c r="G9" s="30" t="s">
        <v>132</v>
      </c>
      <c r="H9" s="30" t="s">
        <v>133</v>
      </c>
      <c r="I9" s="30" t="s">
        <v>134</v>
      </c>
      <c r="J9" s="26"/>
      <c r="K9" s="26"/>
      <c r="L9" s="26"/>
      <c r="M9" s="26"/>
    </row>
    <row r="10" spans="1:13" x14ac:dyDescent="0.35">
      <c r="A10" s="31" t="s">
        <v>403</v>
      </c>
      <c r="B10" s="32">
        <v>100000</v>
      </c>
      <c r="C10" s="32" t="s">
        <v>6</v>
      </c>
      <c r="D10" s="32" t="s">
        <v>6</v>
      </c>
      <c r="E10" s="33" t="s">
        <v>6</v>
      </c>
      <c r="F10" s="32">
        <v>404358</v>
      </c>
      <c r="G10" s="33" t="s">
        <v>6</v>
      </c>
      <c r="H10" s="33" t="s">
        <v>6</v>
      </c>
      <c r="I10" s="34">
        <f>SUM(B10:H10)</f>
        <v>504358</v>
      </c>
      <c r="J10" s="26"/>
      <c r="K10" s="26"/>
      <c r="L10" s="26"/>
      <c r="M10" s="26"/>
    </row>
    <row r="11" spans="1:13" x14ac:dyDescent="0.35">
      <c r="A11" s="35" t="s">
        <v>135</v>
      </c>
      <c r="B11" s="36" t="s">
        <v>6</v>
      </c>
      <c r="C11" s="36" t="s">
        <v>6</v>
      </c>
      <c r="D11" s="36" t="s">
        <v>6</v>
      </c>
      <c r="E11" s="37" t="s">
        <v>6</v>
      </c>
      <c r="F11" s="37" t="s">
        <v>6</v>
      </c>
      <c r="G11" s="37" t="s">
        <v>6</v>
      </c>
      <c r="H11" s="37" t="s">
        <v>6</v>
      </c>
      <c r="I11" s="38" t="s">
        <v>6</v>
      </c>
      <c r="J11" s="26"/>
      <c r="K11" s="26"/>
      <c r="L11" s="26"/>
      <c r="M11" s="26"/>
    </row>
    <row r="12" spans="1:13" ht="28" x14ac:dyDescent="0.35">
      <c r="A12" s="31" t="s">
        <v>411</v>
      </c>
      <c r="B12" s="34">
        <f>B10</f>
        <v>100000</v>
      </c>
      <c r="C12" s="34" t="s">
        <v>6</v>
      </c>
      <c r="D12" s="34" t="s">
        <v>6</v>
      </c>
      <c r="E12" s="38" t="s">
        <v>6</v>
      </c>
      <c r="F12" s="34">
        <f>F10</f>
        <v>404358</v>
      </c>
      <c r="G12" s="38" t="s">
        <v>6</v>
      </c>
      <c r="H12" s="38" t="s">
        <v>6</v>
      </c>
      <c r="I12" s="34">
        <f t="shared" ref="I12:I14" si="0">SUM(B12:H12)</f>
        <v>504358</v>
      </c>
      <c r="J12" s="26"/>
      <c r="K12" s="26"/>
      <c r="L12" s="26"/>
      <c r="M12" s="26"/>
    </row>
    <row r="13" spans="1:13" x14ac:dyDescent="0.35">
      <c r="A13" s="31" t="s">
        <v>157</v>
      </c>
      <c r="B13" s="34" t="s">
        <v>6</v>
      </c>
      <c r="C13" s="34" t="s">
        <v>6</v>
      </c>
      <c r="D13" s="34" t="s">
        <v>6</v>
      </c>
      <c r="E13" s="38" t="s">
        <v>6</v>
      </c>
      <c r="F13" s="34">
        <f>F14</f>
        <v>33654</v>
      </c>
      <c r="G13" s="38" t="s">
        <v>6</v>
      </c>
      <c r="H13" s="38" t="s">
        <v>6</v>
      </c>
      <c r="I13" s="34">
        <f t="shared" si="0"/>
        <v>33654</v>
      </c>
      <c r="J13" s="26"/>
      <c r="K13" s="26"/>
      <c r="L13" s="26"/>
      <c r="M13" s="26"/>
    </row>
    <row r="14" spans="1:13" x14ac:dyDescent="0.35">
      <c r="A14" s="35" t="s">
        <v>404</v>
      </c>
      <c r="B14" s="36" t="s">
        <v>6</v>
      </c>
      <c r="C14" s="36" t="s">
        <v>6</v>
      </c>
      <c r="D14" s="36" t="s">
        <v>6</v>
      </c>
      <c r="E14" s="37" t="s">
        <v>6</v>
      </c>
      <c r="F14" s="39">
        <f>Ф2!F44</f>
        <v>33654</v>
      </c>
      <c r="G14" s="37" t="s">
        <v>6</v>
      </c>
      <c r="H14" s="37" t="s">
        <v>6</v>
      </c>
      <c r="I14" s="34">
        <f t="shared" si="0"/>
        <v>33654</v>
      </c>
      <c r="J14" s="26"/>
      <c r="K14" s="26"/>
      <c r="L14" s="26"/>
      <c r="M14" s="26"/>
    </row>
    <row r="15" spans="1:13" hidden="1" x14ac:dyDescent="0.35">
      <c r="A15" s="35" t="s">
        <v>158</v>
      </c>
      <c r="B15" s="34" t="s">
        <v>6</v>
      </c>
      <c r="C15" s="34" t="s">
        <v>6</v>
      </c>
      <c r="D15" s="34" t="s">
        <v>6</v>
      </c>
      <c r="E15" s="38" t="s">
        <v>6</v>
      </c>
      <c r="F15" s="38" t="s">
        <v>6</v>
      </c>
      <c r="G15" s="38" t="s">
        <v>6</v>
      </c>
      <c r="H15" s="38" t="s">
        <v>6</v>
      </c>
      <c r="I15" s="38" t="s">
        <v>6</v>
      </c>
      <c r="J15" s="26" t="s">
        <v>26</v>
      </c>
      <c r="K15" s="26"/>
      <c r="L15" s="26"/>
      <c r="M15" s="26"/>
    </row>
    <row r="16" spans="1:13" ht="14.5" hidden="1" customHeight="1" x14ac:dyDescent="0.35">
      <c r="A16" s="35" t="s">
        <v>32</v>
      </c>
      <c r="B16" s="36" t="s">
        <v>6</v>
      </c>
      <c r="C16" s="36" t="s">
        <v>6</v>
      </c>
      <c r="D16" s="36" t="s">
        <v>6</v>
      </c>
      <c r="E16" s="36" t="s">
        <v>6</v>
      </c>
      <c r="F16" s="37" t="s">
        <v>6</v>
      </c>
      <c r="G16" s="36" t="s">
        <v>6</v>
      </c>
      <c r="H16" s="36" t="s">
        <v>6</v>
      </c>
      <c r="I16" s="38" t="s">
        <v>6</v>
      </c>
      <c r="J16" s="26"/>
      <c r="K16" s="26"/>
      <c r="L16" s="26"/>
      <c r="M16" s="26"/>
    </row>
    <row r="17" spans="1:14" ht="70" hidden="1" x14ac:dyDescent="0.35">
      <c r="A17" s="35" t="s">
        <v>136</v>
      </c>
      <c r="B17" s="36" t="s">
        <v>6</v>
      </c>
      <c r="C17" s="36" t="s">
        <v>6</v>
      </c>
      <c r="D17" s="36" t="s">
        <v>6</v>
      </c>
      <c r="E17" s="37" t="s">
        <v>6</v>
      </c>
      <c r="F17" s="37" t="s">
        <v>6</v>
      </c>
      <c r="G17" s="37" t="s">
        <v>6</v>
      </c>
      <c r="H17" s="37" t="s">
        <v>6</v>
      </c>
      <c r="I17" s="38" t="s">
        <v>6</v>
      </c>
      <c r="J17" s="26"/>
      <c r="K17" s="26"/>
      <c r="L17" s="26"/>
      <c r="M17" s="26"/>
    </row>
    <row r="18" spans="1:14" ht="70" hidden="1" x14ac:dyDescent="0.35">
      <c r="A18" s="35" t="s">
        <v>137</v>
      </c>
      <c r="B18" s="36" t="s">
        <v>6</v>
      </c>
      <c r="C18" s="36" t="s">
        <v>6</v>
      </c>
      <c r="D18" s="36" t="s">
        <v>6</v>
      </c>
      <c r="E18" s="36" t="s">
        <v>6</v>
      </c>
      <c r="F18" s="37" t="s">
        <v>6</v>
      </c>
      <c r="G18" s="36" t="s">
        <v>6</v>
      </c>
      <c r="H18" s="36" t="s">
        <v>6</v>
      </c>
      <c r="I18" s="38" t="s">
        <v>6</v>
      </c>
      <c r="J18" s="26"/>
      <c r="K18" s="26"/>
      <c r="L18" s="26"/>
      <c r="M18" s="26"/>
    </row>
    <row r="19" spans="1:14" ht="42" hidden="1" x14ac:dyDescent="0.3">
      <c r="A19" s="40" t="s">
        <v>138</v>
      </c>
      <c r="B19" s="41" t="s">
        <v>6</v>
      </c>
      <c r="C19" s="41" t="s">
        <v>6</v>
      </c>
      <c r="D19" s="41" t="s">
        <v>6</v>
      </c>
      <c r="E19" s="42" t="s">
        <v>6</v>
      </c>
      <c r="F19" s="42" t="s">
        <v>6</v>
      </c>
      <c r="G19" s="42" t="s">
        <v>6</v>
      </c>
      <c r="H19" s="42" t="s">
        <v>6</v>
      </c>
      <c r="I19" s="43" t="s">
        <v>6</v>
      </c>
      <c r="J19" s="44"/>
      <c r="K19" s="44"/>
      <c r="L19" s="44"/>
      <c r="M19" s="44"/>
      <c r="N19" s="44"/>
    </row>
    <row r="20" spans="1:14" ht="70" hidden="1" x14ac:dyDescent="0.3">
      <c r="A20" s="40" t="s">
        <v>34</v>
      </c>
      <c r="B20" s="45" t="s">
        <v>6</v>
      </c>
      <c r="C20" s="45" t="s">
        <v>6</v>
      </c>
      <c r="D20" s="45" t="s">
        <v>6</v>
      </c>
      <c r="E20" s="46" t="s">
        <v>6</v>
      </c>
      <c r="F20" s="46" t="s">
        <v>6</v>
      </c>
      <c r="G20" s="46" t="s">
        <v>6</v>
      </c>
      <c r="H20" s="46" t="s">
        <v>6</v>
      </c>
      <c r="I20" s="47" t="s">
        <v>6</v>
      </c>
      <c r="J20" s="44"/>
      <c r="K20" s="44"/>
      <c r="L20" s="44"/>
      <c r="M20" s="44"/>
      <c r="N20" s="44"/>
    </row>
    <row r="21" spans="1:14" ht="28" hidden="1" x14ac:dyDescent="0.3">
      <c r="A21" s="40" t="s">
        <v>44</v>
      </c>
      <c r="B21" s="45" t="s">
        <v>6</v>
      </c>
      <c r="C21" s="45" t="s">
        <v>6</v>
      </c>
      <c r="D21" s="45" t="s">
        <v>6</v>
      </c>
      <c r="E21" s="46" t="s">
        <v>6</v>
      </c>
      <c r="F21" s="46" t="s">
        <v>6</v>
      </c>
      <c r="G21" s="46" t="s">
        <v>6</v>
      </c>
      <c r="H21" s="46" t="s">
        <v>6</v>
      </c>
      <c r="I21" s="47" t="s">
        <v>6</v>
      </c>
      <c r="J21" s="44"/>
      <c r="K21" s="44"/>
      <c r="L21" s="44"/>
      <c r="M21" s="44"/>
      <c r="N21" s="44"/>
    </row>
    <row r="22" spans="1:14" ht="42" hidden="1" x14ac:dyDescent="0.3">
      <c r="A22" s="40" t="s">
        <v>139</v>
      </c>
      <c r="B22" s="45" t="s">
        <v>6</v>
      </c>
      <c r="C22" s="45" t="s">
        <v>6</v>
      </c>
      <c r="D22" s="45" t="s">
        <v>6</v>
      </c>
      <c r="E22" s="45" t="s">
        <v>6</v>
      </c>
      <c r="F22" s="46" t="s">
        <v>6</v>
      </c>
      <c r="G22" s="45" t="s">
        <v>6</v>
      </c>
      <c r="H22" s="45" t="s">
        <v>6</v>
      </c>
      <c r="I22" s="47" t="s">
        <v>6</v>
      </c>
      <c r="J22" s="44"/>
      <c r="K22" s="44"/>
      <c r="L22" s="44"/>
      <c r="M22" s="44"/>
      <c r="N22" s="44"/>
    </row>
    <row r="23" spans="1:14" ht="28" hidden="1" x14ac:dyDescent="0.3">
      <c r="A23" s="40" t="s">
        <v>140</v>
      </c>
      <c r="B23" s="45" t="s">
        <v>6</v>
      </c>
      <c r="C23" s="45" t="s">
        <v>6</v>
      </c>
      <c r="D23" s="45" t="s">
        <v>6</v>
      </c>
      <c r="E23" s="45" t="s">
        <v>6</v>
      </c>
      <c r="F23" s="46" t="s">
        <v>6</v>
      </c>
      <c r="G23" s="46" t="s">
        <v>6</v>
      </c>
      <c r="H23" s="46" t="s">
        <v>6</v>
      </c>
      <c r="I23" s="47" t="s">
        <v>6</v>
      </c>
      <c r="J23" s="44"/>
      <c r="K23" s="44"/>
      <c r="L23" s="44"/>
      <c r="M23" s="44"/>
      <c r="N23" s="44"/>
    </row>
    <row r="24" spans="1:14" ht="28" hidden="1" x14ac:dyDescent="0.3">
      <c r="A24" s="40" t="s">
        <v>38</v>
      </c>
      <c r="B24" s="41" t="s">
        <v>6</v>
      </c>
      <c r="C24" s="41" t="s">
        <v>6</v>
      </c>
      <c r="D24" s="41" t="s">
        <v>6</v>
      </c>
      <c r="E24" s="42" t="s">
        <v>6</v>
      </c>
      <c r="F24" s="42" t="s">
        <v>6</v>
      </c>
      <c r="G24" s="42" t="s">
        <v>6</v>
      </c>
      <c r="H24" s="42" t="s">
        <v>6</v>
      </c>
      <c r="I24" s="43" t="s">
        <v>6</v>
      </c>
      <c r="J24" s="44"/>
      <c r="K24" s="44"/>
      <c r="L24" s="44"/>
      <c r="M24" s="44"/>
      <c r="N24" s="44"/>
    </row>
    <row r="25" spans="1:14" ht="42" hidden="1" x14ac:dyDescent="0.3">
      <c r="A25" s="40" t="s">
        <v>141</v>
      </c>
      <c r="B25" s="41" t="s">
        <v>6</v>
      </c>
      <c r="C25" s="41" t="s">
        <v>6</v>
      </c>
      <c r="D25" s="41" t="s">
        <v>6</v>
      </c>
      <c r="E25" s="41" t="s">
        <v>6</v>
      </c>
      <c r="F25" s="41" t="s">
        <v>6</v>
      </c>
      <c r="G25" s="41" t="s">
        <v>6</v>
      </c>
      <c r="H25" s="41" t="s">
        <v>6</v>
      </c>
      <c r="I25" s="47" t="s">
        <v>6</v>
      </c>
      <c r="J25" s="44"/>
      <c r="K25" s="44"/>
      <c r="L25" s="44"/>
      <c r="M25" s="44"/>
      <c r="N25" s="44"/>
    </row>
    <row r="26" spans="1:14" x14ac:dyDescent="0.3">
      <c r="A26" s="40" t="s">
        <v>159</v>
      </c>
      <c r="B26" s="48">
        <f>B33</f>
        <v>0</v>
      </c>
      <c r="C26" s="48" t="s">
        <v>6</v>
      </c>
      <c r="D26" s="48" t="s">
        <v>6</v>
      </c>
      <c r="E26" s="47" t="s">
        <v>6</v>
      </c>
      <c r="F26" s="47" t="s">
        <v>6</v>
      </c>
      <c r="G26" s="47" t="s">
        <v>6</v>
      </c>
      <c r="H26" s="47" t="s">
        <v>6</v>
      </c>
      <c r="I26" s="34">
        <f t="shared" ref="I26" si="1">SUM(B26:H26)</f>
        <v>0</v>
      </c>
      <c r="J26" s="44"/>
      <c r="K26" s="44"/>
      <c r="L26" s="44"/>
      <c r="M26" s="44"/>
      <c r="N26" s="44"/>
    </row>
    <row r="27" spans="1:14" x14ac:dyDescent="0.3">
      <c r="A27" s="40" t="s">
        <v>32</v>
      </c>
      <c r="B27" s="45" t="s">
        <v>6</v>
      </c>
      <c r="C27" s="45" t="s">
        <v>6</v>
      </c>
      <c r="D27" s="45" t="s">
        <v>6</v>
      </c>
      <c r="E27" s="46" t="s">
        <v>6</v>
      </c>
      <c r="F27" s="46" t="s">
        <v>6</v>
      </c>
      <c r="G27" s="46" t="s">
        <v>6</v>
      </c>
      <c r="H27" s="46" t="s">
        <v>6</v>
      </c>
      <c r="I27" s="47" t="s">
        <v>6</v>
      </c>
      <c r="J27" s="44"/>
      <c r="K27" s="44"/>
      <c r="L27" s="44"/>
      <c r="M27" s="44"/>
      <c r="N27" s="44"/>
    </row>
    <row r="28" spans="1:14" ht="28" hidden="1" x14ac:dyDescent="0.3">
      <c r="A28" s="40" t="s">
        <v>142</v>
      </c>
      <c r="B28" s="45" t="s">
        <v>6</v>
      </c>
      <c r="C28" s="45" t="s">
        <v>6</v>
      </c>
      <c r="D28" s="45" t="s">
        <v>6</v>
      </c>
      <c r="E28" s="46" t="s">
        <v>6</v>
      </c>
      <c r="F28" s="46" t="s">
        <v>6</v>
      </c>
      <c r="G28" s="46" t="s">
        <v>6</v>
      </c>
      <c r="H28" s="46" t="s">
        <v>6</v>
      </c>
      <c r="I28" s="47" t="s">
        <v>6</v>
      </c>
      <c r="J28" s="44"/>
      <c r="K28" s="44"/>
      <c r="L28" s="44"/>
      <c r="M28" s="44"/>
      <c r="N28" s="44"/>
    </row>
    <row r="29" spans="1:14" hidden="1" x14ac:dyDescent="0.3">
      <c r="A29" s="40" t="s">
        <v>32</v>
      </c>
      <c r="B29" s="45" t="s">
        <v>6</v>
      </c>
      <c r="C29" s="45" t="s">
        <v>6</v>
      </c>
      <c r="D29" s="45" t="s">
        <v>6</v>
      </c>
      <c r="E29" s="46" t="s">
        <v>6</v>
      </c>
      <c r="F29" s="46" t="s">
        <v>6</v>
      </c>
      <c r="G29" s="46" t="s">
        <v>6</v>
      </c>
      <c r="H29" s="46" t="s">
        <v>6</v>
      </c>
      <c r="I29" s="47" t="s">
        <v>6</v>
      </c>
      <c r="J29" s="44"/>
      <c r="K29" s="44"/>
      <c r="L29" s="44"/>
      <c r="M29" s="44"/>
      <c r="N29" s="44"/>
    </row>
    <row r="30" spans="1:14" hidden="1" x14ac:dyDescent="0.3">
      <c r="A30" s="40" t="s">
        <v>143</v>
      </c>
      <c r="B30" s="45" t="s">
        <v>6</v>
      </c>
      <c r="C30" s="45" t="s">
        <v>6</v>
      </c>
      <c r="D30" s="45" t="s">
        <v>6</v>
      </c>
      <c r="E30" s="46" t="s">
        <v>6</v>
      </c>
      <c r="F30" s="46" t="s">
        <v>6</v>
      </c>
      <c r="G30" s="46" t="s">
        <v>6</v>
      </c>
      <c r="H30" s="46" t="s">
        <v>6</v>
      </c>
      <c r="I30" s="47" t="s">
        <v>6</v>
      </c>
      <c r="J30" s="44"/>
      <c r="K30" s="44"/>
      <c r="L30" s="44"/>
      <c r="M30" s="44"/>
      <c r="N30" s="44"/>
    </row>
    <row r="31" spans="1:14" ht="28" hidden="1" x14ac:dyDescent="0.3">
      <c r="A31" s="40" t="s">
        <v>144</v>
      </c>
      <c r="B31" s="45" t="s">
        <v>6</v>
      </c>
      <c r="C31" s="45" t="s">
        <v>6</v>
      </c>
      <c r="D31" s="45" t="s">
        <v>6</v>
      </c>
      <c r="E31" s="46" t="s">
        <v>6</v>
      </c>
      <c r="F31" s="46" t="s">
        <v>6</v>
      </c>
      <c r="G31" s="46" t="s">
        <v>6</v>
      </c>
      <c r="H31" s="46" t="s">
        <v>6</v>
      </c>
      <c r="I31" s="47" t="s">
        <v>6</v>
      </c>
      <c r="J31" s="44"/>
      <c r="K31" s="44"/>
      <c r="L31" s="44"/>
      <c r="M31" s="44"/>
      <c r="N31" s="44"/>
    </row>
    <row r="32" spans="1:14" ht="42" hidden="1" x14ac:dyDescent="0.3">
      <c r="A32" s="40" t="s">
        <v>145</v>
      </c>
      <c r="B32" s="45" t="s">
        <v>6</v>
      </c>
      <c r="C32" s="45" t="s">
        <v>6</v>
      </c>
      <c r="D32" s="45" t="s">
        <v>6</v>
      </c>
      <c r="E32" s="46" t="s">
        <v>6</v>
      </c>
      <c r="F32" s="46" t="s">
        <v>6</v>
      </c>
      <c r="G32" s="46" t="s">
        <v>6</v>
      </c>
      <c r="H32" s="46" t="s">
        <v>6</v>
      </c>
      <c r="I32" s="47" t="s">
        <v>6</v>
      </c>
      <c r="J32" s="44"/>
      <c r="K32" s="44"/>
      <c r="L32" s="44"/>
      <c r="M32" s="44"/>
      <c r="N32" s="44"/>
    </row>
    <row r="33" spans="1:15" x14ac:dyDescent="0.3">
      <c r="A33" s="40" t="s">
        <v>146</v>
      </c>
      <c r="B33" s="45"/>
      <c r="C33" s="45" t="s">
        <v>6</v>
      </c>
      <c r="D33" s="45" t="s">
        <v>6</v>
      </c>
      <c r="E33" s="46" t="s">
        <v>6</v>
      </c>
      <c r="F33" s="46" t="s">
        <v>6</v>
      </c>
      <c r="G33" s="46" t="s">
        <v>6</v>
      </c>
      <c r="H33" s="46" t="s">
        <v>6</v>
      </c>
      <c r="I33" s="34">
        <f t="shared" ref="I33" si="2">SUM(B33:H33)</f>
        <v>0</v>
      </c>
      <c r="J33" s="44"/>
      <c r="K33" s="44"/>
      <c r="L33" s="44"/>
      <c r="M33" s="44"/>
      <c r="N33" s="44"/>
    </row>
    <row r="34" spans="1:15" ht="28" hidden="1" x14ac:dyDescent="0.3">
      <c r="A34" s="40" t="s">
        <v>147</v>
      </c>
      <c r="B34" s="45" t="s">
        <v>6</v>
      </c>
      <c r="C34" s="45" t="s">
        <v>6</v>
      </c>
      <c r="D34" s="45" t="s">
        <v>6</v>
      </c>
      <c r="E34" s="46" t="s">
        <v>6</v>
      </c>
      <c r="F34" s="46" t="s">
        <v>6</v>
      </c>
      <c r="G34" s="46" t="s">
        <v>6</v>
      </c>
      <c r="H34" s="46" t="s">
        <v>6</v>
      </c>
      <c r="I34" s="47" t="s">
        <v>6</v>
      </c>
      <c r="J34" s="44"/>
      <c r="K34" s="44"/>
      <c r="L34" s="44"/>
      <c r="M34" s="44"/>
      <c r="N34" s="44"/>
    </row>
    <row r="35" spans="1:15" s="25" customFormat="1" hidden="1" x14ac:dyDescent="0.3">
      <c r="A35" s="40"/>
      <c r="B35" s="45"/>
      <c r="C35" s="45"/>
      <c r="D35" s="45"/>
      <c r="E35" s="46"/>
      <c r="F35" s="46"/>
      <c r="G35" s="46"/>
      <c r="H35" s="46"/>
      <c r="I35" s="47"/>
      <c r="J35" s="49"/>
      <c r="K35" s="49"/>
      <c r="L35" s="49"/>
      <c r="M35" s="49"/>
      <c r="N35" s="49"/>
    </row>
    <row r="36" spans="1:15" ht="14.5" hidden="1" customHeight="1" x14ac:dyDescent="0.3">
      <c r="A36" s="461" t="s">
        <v>123</v>
      </c>
      <c r="B36" s="462" t="s">
        <v>124</v>
      </c>
      <c r="C36" s="462"/>
      <c r="D36" s="462"/>
      <c r="E36" s="462"/>
      <c r="F36" s="462"/>
      <c r="G36" s="462"/>
      <c r="H36" s="463" t="s">
        <v>125</v>
      </c>
      <c r="I36" s="460" t="s">
        <v>126</v>
      </c>
      <c r="J36" s="44"/>
      <c r="K36" s="44"/>
      <c r="L36" s="44"/>
      <c r="M36" s="44"/>
      <c r="N36" s="44"/>
      <c r="O36" s="44"/>
    </row>
    <row r="37" spans="1:15" ht="70" hidden="1" x14ac:dyDescent="0.3">
      <c r="A37" s="461"/>
      <c r="B37" s="50" t="s">
        <v>12</v>
      </c>
      <c r="C37" s="50" t="s">
        <v>13</v>
      </c>
      <c r="D37" s="50" t="s">
        <v>127</v>
      </c>
      <c r="E37" s="50" t="s">
        <v>14</v>
      </c>
      <c r="F37" s="50" t="s">
        <v>128</v>
      </c>
      <c r="G37" s="50" t="s">
        <v>15</v>
      </c>
      <c r="H37" s="463"/>
      <c r="I37" s="460"/>
      <c r="J37" s="44"/>
      <c r="K37" s="44"/>
      <c r="L37" s="44"/>
      <c r="M37" s="44"/>
      <c r="N37" s="44"/>
      <c r="O37" s="44"/>
    </row>
    <row r="38" spans="1:15" hidden="1" x14ac:dyDescent="0.3">
      <c r="A38" s="51" t="s">
        <v>2</v>
      </c>
      <c r="B38" s="52" t="s">
        <v>4</v>
      </c>
      <c r="C38" s="52" t="s">
        <v>5</v>
      </c>
      <c r="D38" s="53" t="s">
        <v>129</v>
      </c>
      <c r="E38" s="53" t="s">
        <v>130</v>
      </c>
      <c r="F38" s="53" t="s">
        <v>131</v>
      </c>
      <c r="G38" s="53" t="s">
        <v>132</v>
      </c>
      <c r="H38" s="53" t="s">
        <v>133</v>
      </c>
      <c r="I38" s="53" t="s">
        <v>134</v>
      </c>
      <c r="J38" s="44"/>
      <c r="K38" s="44"/>
      <c r="L38" s="44"/>
      <c r="M38" s="44"/>
      <c r="N38" s="44"/>
      <c r="O38" s="44"/>
    </row>
    <row r="39" spans="1:15" ht="28" hidden="1" x14ac:dyDescent="0.3">
      <c r="A39" s="40" t="s">
        <v>148</v>
      </c>
      <c r="B39" s="45" t="s">
        <v>6</v>
      </c>
      <c r="C39" s="45" t="s">
        <v>6</v>
      </c>
      <c r="D39" s="45" t="s">
        <v>6</v>
      </c>
      <c r="E39" s="46" t="s">
        <v>6</v>
      </c>
      <c r="F39" s="46" t="s">
        <v>6</v>
      </c>
      <c r="G39" s="46" t="s">
        <v>6</v>
      </c>
      <c r="H39" s="46" t="s">
        <v>6</v>
      </c>
      <c r="I39" s="47" t="s">
        <v>6</v>
      </c>
      <c r="J39" s="44"/>
      <c r="K39" s="44"/>
      <c r="L39" s="44"/>
      <c r="M39" s="44"/>
      <c r="N39" s="44"/>
    </row>
    <row r="40" spans="1:15" ht="42" hidden="1" x14ac:dyDescent="0.3">
      <c r="A40" s="40" t="s">
        <v>149</v>
      </c>
      <c r="B40" s="45" t="s">
        <v>6</v>
      </c>
      <c r="C40" s="45" t="s">
        <v>6</v>
      </c>
      <c r="D40" s="45" t="s">
        <v>6</v>
      </c>
      <c r="E40" s="46" t="s">
        <v>6</v>
      </c>
      <c r="F40" s="46" t="s">
        <v>6</v>
      </c>
      <c r="G40" s="46" t="s">
        <v>6</v>
      </c>
      <c r="H40" s="46" t="s">
        <v>6</v>
      </c>
      <c r="I40" s="47" t="s">
        <v>6</v>
      </c>
      <c r="J40" s="44"/>
      <c r="K40" s="44"/>
      <c r="L40" s="44"/>
      <c r="M40" s="44"/>
      <c r="N40" s="44"/>
    </row>
    <row r="41" spans="1:15" ht="12.65" hidden="1" customHeight="1" x14ac:dyDescent="0.3">
      <c r="A41" s="40" t="s">
        <v>150</v>
      </c>
      <c r="B41" s="45" t="s">
        <v>6</v>
      </c>
      <c r="C41" s="45" t="s">
        <v>6</v>
      </c>
      <c r="D41" s="45" t="s">
        <v>6</v>
      </c>
      <c r="E41" s="46" t="s">
        <v>6</v>
      </c>
      <c r="F41" s="46" t="s">
        <v>6</v>
      </c>
      <c r="G41" s="46" t="s">
        <v>6</v>
      </c>
      <c r="H41" s="46" t="s">
        <v>6</v>
      </c>
      <c r="I41" s="47" t="s">
        <v>6</v>
      </c>
      <c r="J41" s="44"/>
      <c r="K41" s="44"/>
      <c r="L41" s="44"/>
      <c r="M41" s="44"/>
      <c r="N41" s="44"/>
    </row>
    <row r="42" spans="1:15" ht="28" hidden="1" x14ac:dyDescent="0.3">
      <c r="A42" s="40" t="s">
        <v>151</v>
      </c>
      <c r="B42" s="45" t="s">
        <v>6</v>
      </c>
      <c r="C42" s="45" t="s">
        <v>6</v>
      </c>
      <c r="D42" s="45" t="s">
        <v>6</v>
      </c>
      <c r="E42" s="46" t="s">
        <v>6</v>
      </c>
      <c r="F42" s="46" t="s">
        <v>6</v>
      </c>
      <c r="G42" s="46" t="s">
        <v>6</v>
      </c>
      <c r="H42" s="46" t="s">
        <v>6</v>
      </c>
      <c r="I42" s="47" t="s">
        <v>6</v>
      </c>
      <c r="J42" s="44"/>
      <c r="K42" s="44"/>
      <c r="L42" s="44"/>
      <c r="M42" s="44"/>
      <c r="N42" s="44"/>
    </row>
    <row r="43" spans="1:15" hidden="1" x14ac:dyDescent="0.3">
      <c r="A43" s="40" t="s">
        <v>152</v>
      </c>
      <c r="B43" s="45" t="s">
        <v>6</v>
      </c>
      <c r="C43" s="45" t="s">
        <v>6</v>
      </c>
      <c r="D43" s="45" t="s">
        <v>6</v>
      </c>
      <c r="E43" s="46" t="s">
        <v>6</v>
      </c>
      <c r="F43" s="46" t="s">
        <v>6</v>
      </c>
      <c r="G43" s="46" t="s">
        <v>6</v>
      </c>
      <c r="H43" s="46" t="s">
        <v>6</v>
      </c>
      <c r="I43" s="47" t="s">
        <v>6</v>
      </c>
      <c r="J43" s="44"/>
      <c r="K43" s="44"/>
      <c r="L43" s="44"/>
      <c r="M43" s="44"/>
      <c r="N43" s="44"/>
    </row>
    <row r="44" spans="1:15" ht="42" hidden="1" x14ac:dyDescent="0.3">
      <c r="A44" s="40" t="s">
        <v>153</v>
      </c>
      <c r="B44" s="45" t="s">
        <v>6</v>
      </c>
      <c r="C44" s="45" t="s">
        <v>6</v>
      </c>
      <c r="D44" s="45" t="s">
        <v>6</v>
      </c>
      <c r="E44" s="46" t="s">
        <v>6</v>
      </c>
      <c r="F44" s="46" t="s">
        <v>6</v>
      </c>
      <c r="G44" s="46" t="s">
        <v>6</v>
      </c>
      <c r="H44" s="46" t="s">
        <v>6</v>
      </c>
      <c r="I44" s="47" t="s">
        <v>6</v>
      </c>
      <c r="J44" s="44" t="s">
        <v>26</v>
      </c>
      <c r="K44" s="44"/>
      <c r="L44" s="44"/>
      <c r="M44" s="44"/>
      <c r="N44" s="44"/>
    </row>
    <row r="45" spans="1:15" ht="12.65" customHeight="1" x14ac:dyDescent="0.3">
      <c r="A45" s="40" t="s">
        <v>154</v>
      </c>
      <c r="B45" s="45" t="s">
        <v>6</v>
      </c>
      <c r="C45" s="45" t="s">
        <v>6</v>
      </c>
      <c r="D45" s="45" t="s">
        <v>6</v>
      </c>
      <c r="E45" s="46" t="s">
        <v>6</v>
      </c>
      <c r="F45" s="46" t="s">
        <v>6</v>
      </c>
      <c r="G45" s="46" t="s">
        <v>6</v>
      </c>
      <c r="H45" s="46" t="s">
        <v>6</v>
      </c>
      <c r="I45" s="47" t="s">
        <v>6</v>
      </c>
      <c r="J45" s="44" t="s">
        <v>26</v>
      </c>
      <c r="K45" s="44"/>
      <c r="L45" s="44"/>
      <c r="M45" s="44"/>
      <c r="N45" s="44"/>
    </row>
    <row r="46" spans="1:15" x14ac:dyDescent="0.3">
      <c r="A46" s="54" t="s">
        <v>405</v>
      </c>
      <c r="B46" s="48">
        <f>B12+B33</f>
        <v>100000</v>
      </c>
      <c r="C46" s="48" t="s">
        <v>6</v>
      </c>
      <c r="D46" s="48" t="s">
        <v>6</v>
      </c>
      <c r="E46" s="48" t="s">
        <v>6</v>
      </c>
      <c r="F46" s="48">
        <f>F12+F13</f>
        <v>438012</v>
      </c>
      <c r="G46" s="48" t="s">
        <v>6</v>
      </c>
      <c r="H46" s="48" t="s">
        <v>6</v>
      </c>
      <c r="I46" s="55">
        <f t="shared" ref="I46" si="3">SUM(B46:H46)</f>
        <v>538012</v>
      </c>
      <c r="J46" s="44"/>
      <c r="K46" s="44"/>
      <c r="L46" s="44"/>
      <c r="M46" s="44"/>
      <c r="N46" s="44"/>
    </row>
    <row r="47" spans="1:15" x14ac:dyDescent="0.3">
      <c r="A47" s="35" t="s">
        <v>135</v>
      </c>
      <c r="B47" s="48"/>
      <c r="C47" s="48"/>
      <c r="D47" s="48"/>
      <c r="E47" s="48"/>
      <c r="F47" s="48"/>
      <c r="G47" s="48"/>
      <c r="H47" s="48"/>
      <c r="I47" s="55"/>
      <c r="J47" s="44"/>
      <c r="K47" s="44"/>
      <c r="L47" s="44"/>
      <c r="M47" s="44"/>
      <c r="N47" s="44"/>
    </row>
    <row r="48" spans="1:15" ht="28" x14ac:dyDescent="0.3">
      <c r="A48" s="54" t="s">
        <v>415</v>
      </c>
      <c r="B48" s="48">
        <v>200000</v>
      </c>
      <c r="C48" s="48"/>
      <c r="D48" s="48"/>
      <c r="E48" s="48"/>
      <c r="F48" s="48">
        <f>Ф1!D34</f>
        <v>407878</v>
      </c>
      <c r="G48" s="48"/>
      <c r="H48" s="48"/>
      <c r="I48" s="48">
        <f>SUM(B48:H48)</f>
        <v>607878</v>
      </c>
      <c r="J48" s="56">
        <f>Ф1!D37</f>
        <v>607878</v>
      </c>
      <c r="K48" s="44"/>
      <c r="L48" s="44"/>
      <c r="M48" s="44"/>
      <c r="N48" s="44"/>
    </row>
    <row r="49" spans="1:15" x14ac:dyDescent="0.3">
      <c r="A49" s="40" t="s">
        <v>135</v>
      </c>
      <c r="B49" s="45" t="s">
        <v>6</v>
      </c>
      <c r="C49" s="45" t="s">
        <v>6</v>
      </c>
      <c r="D49" s="45" t="s">
        <v>6</v>
      </c>
      <c r="E49" s="45" t="s">
        <v>6</v>
      </c>
      <c r="F49" s="45" t="s">
        <v>6</v>
      </c>
      <c r="G49" s="45" t="s">
        <v>6</v>
      </c>
      <c r="H49" s="45" t="s">
        <v>6</v>
      </c>
      <c r="I49" s="47" t="s">
        <v>6</v>
      </c>
      <c r="J49" s="44"/>
      <c r="K49" s="44"/>
      <c r="L49" s="44"/>
      <c r="M49" s="44"/>
      <c r="N49" s="44"/>
    </row>
    <row r="50" spans="1:15" x14ac:dyDescent="0.3">
      <c r="A50" s="35" t="s">
        <v>215</v>
      </c>
      <c r="B50" s="48">
        <f t="shared" ref="B50:E50" si="4">B48</f>
        <v>200000</v>
      </c>
      <c r="C50" s="48">
        <f t="shared" si="4"/>
        <v>0</v>
      </c>
      <c r="D50" s="48">
        <f t="shared" si="4"/>
        <v>0</v>
      </c>
      <c r="E50" s="48">
        <f t="shared" si="4"/>
        <v>0</v>
      </c>
      <c r="F50" s="48">
        <f>F48</f>
        <v>407878</v>
      </c>
      <c r="G50" s="48" t="s">
        <v>6</v>
      </c>
      <c r="H50" s="48" t="s">
        <v>6</v>
      </c>
      <c r="I50" s="48">
        <f t="shared" ref="I50:I51" si="5">SUM(B50:H50)</f>
        <v>607878</v>
      </c>
      <c r="J50" s="44"/>
      <c r="K50" s="44"/>
      <c r="L50" s="44"/>
      <c r="M50" s="44"/>
      <c r="N50" s="44"/>
    </row>
    <row r="51" spans="1:15" x14ac:dyDescent="0.3">
      <c r="A51" s="54" t="s">
        <v>157</v>
      </c>
      <c r="B51" s="48" t="s">
        <v>6</v>
      </c>
      <c r="C51" s="48" t="s">
        <v>6</v>
      </c>
      <c r="D51" s="48" t="s">
        <v>6</v>
      </c>
      <c r="E51" s="48" t="s">
        <v>6</v>
      </c>
      <c r="F51" s="48">
        <f>F52</f>
        <v>-16038</v>
      </c>
      <c r="G51" s="47" t="s">
        <v>6</v>
      </c>
      <c r="H51" s="47" t="s">
        <v>6</v>
      </c>
      <c r="I51" s="48">
        <f t="shared" si="5"/>
        <v>-16038</v>
      </c>
      <c r="J51" s="44"/>
      <c r="K51" s="44"/>
      <c r="L51" s="44"/>
      <c r="M51" s="44"/>
      <c r="N51" s="44"/>
      <c r="O51" s="44"/>
    </row>
    <row r="52" spans="1:15" x14ac:dyDescent="0.3">
      <c r="A52" s="40" t="s">
        <v>416</v>
      </c>
      <c r="B52" s="45" t="s">
        <v>6</v>
      </c>
      <c r="C52" s="45" t="s">
        <v>6</v>
      </c>
      <c r="D52" s="45" t="s">
        <v>6</v>
      </c>
      <c r="E52" s="46" t="s">
        <v>6</v>
      </c>
      <c r="F52" s="45">
        <f>Ф2!E44</f>
        <v>-16038</v>
      </c>
      <c r="G52" s="46" t="s">
        <v>6</v>
      </c>
      <c r="H52" s="46" t="s">
        <v>6</v>
      </c>
      <c r="I52" s="48">
        <f>SUM(B52:H52)</f>
        <v>-16038</v>
      </c>
      <c r="J52" s="44"/>
      <c r="K52" s="44"/>
      <c r="L52" s="44"/>
      <c r="M52" s="44"/>
      <c r="N52" s="44"/>
      <c r="O52" s="44"/>
    </row>
    <row r="53" spans="1:15" hidden="1" x14ac:dyDescent="0.3">
      <c r="A53" s="40" t="s">
        <v>158</v>
      </c>
      <c r="B53" s="48" t="s">
        <v>6</v>
      </c>
      <c r="C53" s="48" t="s">
        <v>6</v>
      </c>
      <c r="D53" s="48" t="s">
        <v>6</v>
      </c>
      <c r="E53" s="47" t="s">
        <v>6</v>
      </c>
      <c r="F53" s="48" t="s">
        <v>6</v>
      </c>
      <c r="G53" s="47" t="s">
        <v>6</v>
      </c>
      <c r="H53" s="47" t="s">
        <v>6</v>
      </c>
      <c r="I53" s="48">
        <f t="shared" ref="I53:I75" si="6">SUM(B53:H53)</f>
        <v>0</v>
      </c>
      <c r="J53" s="44"/>
      <c r="K53" s="44"/>
      <c r="L53" s="44"/>
      <c r="M53" s="44"/>
      <c r="N53" s="44"/>
      <c r="O53" s="44"/>
    </row>
    <row r="54" spans="1:15" hidden="1" x14ac:dyDescent="0.3">
      <c r="A54" s="40" t="s">
        <v>32</v>
      </c>
      <c r="B54" s="41" t="s">
        <v>6</v>
      </c>
      <c r="C54" s="41" t="s">
        <v>6</v>
      </c>
      <c r="D54" s="41" t="s">
        <v>6</v>
      </c>
      <c r="E54" s="42" t="s">
        <v>6</v>
      </c>
      <c r="F54" s="42" t="s">
        <v>6</v>
      </c>
      <c r="G54" s="42" t="s">
        <v>6</v>
      </c>
      <c r="H54" s="42" t="s">
        <v>6</v>
      </c>
      <c r="I54" s="48">
        <f t="shared" si="6"/>
        <v>0</v>
      </c>
      <c r="J54" s="44"/>
      <c r="K54" s="44"/>
      <c r="L54" s="44"/>
      <c r="M54" s="44"/>
      <c r="N54" s="44"/>
      <c r="O54" s="44"/>
    </row>
    <row r="55" spans="1:15" ht="70" hidden="1" x14ac:dyDescent="0.3">
      <c r="A55" s="40" t="s">
        <v>136</v>
      </c>
      <c r="B55" s="45" t="s">
        <v>6</v>
      </c>
      <c r="C55" s="45" t="s">
        <v>6</v>
      </c>
      <c r="D55" s="45" t="s">
        <v>6</v>
      </c>
      <c r="E55" s="46" t="s">
        <v>6</v>
      </c>
      <c r="F55" s="46" t="s">
        <v>6</v>
      </c>
      <c r="G55" s="46" t="s">
        <v>6</v>
      </c>
      <c r="H55" s="46" t="s">
        <v>6</v>
      </c>
      <c r="I55" s="48">
        <f t="shared" si="6"/>
        <v>0</v>
      </c>
      <c r="J55" s="44"/>
      <c r="K55" s="44"/>
      <c r="L55" s="44"/>
      <c r="M55" s="44"/>
      <c r="N55" s="44"/>
      <c r="O55" s="44"/>
    </row>
    <row r="56" spans="1:15" ht="70" hidden="1" x14ac:dyDescent="0.3">
      <c r="A56" s="40" t="s">
        <v>137</v>
      </c>
      <c r="B56" s="41" t="s">
        <v>6</v>
      </c>
      <c r="C56" s="41" t="s">
        <v>6</v>
      </c>
      <c r="D56" s="41" t="s">
        <v>6</v>
      </c>
      <c r="E56" s="42" t="s">
        <v>6</v>
      </c>
      <c r="F56" s="42" t="s">
        <v>6</v>
      </c>
      <c r="G56" s="42" t="s">
        <v>6</v>
      </c>
      <c r="H56" s="42" t="s">
        <v>6</v>
      </c>
      <c r="I56" s="48">
        <f t="shared" si="6"/>
        <v>0</v>
      </c>
      <c r="J56" s="44"/>
      <c r="K56" s="44"/>
      <c r="L56" s="44"/>
      <c r="M56" s="44"/>
      <c r="N56" s="44"/>
      <c r="O56" s="44"/>
    </row>
    <row r="57" spans="1:15" ht="42" hidden="1" x14ac:dyDescent="0.3">
      <c r="A57" s="40" t="s">
        <v>138</v>
      </c>
      <c r="B57" s="41" t="s">
        <v>6</v>
      </c>
      <c r="C57" s="41" t="s">
        <v>6</v>
      </c>
      <c r="D57" s="41" t="s">
        <v>6</v>
      </c>
      <c r="E57" s="41" t="s">
        <v>6</v>
      </c>
      <c r="F57" s="41" t="s">
        <v>6</v>
      </c>
      <c r="G57" s="41" t="s">
        <v>6</v>
      </c>
      <c r="H57" s="41" t="s">
        <v>6</v>
      </c>
      <c r="I57" s="48">
        <f t="shared" si="6"/>
        <v>0</v>
      </c>
      <c r="J57" s="44"/>
      <c r="K57" s="44"/>
      <c r="L57" s="44"/>
      <c r="M57" s="44"/>
      <c r="N57" s="44"/>
      <c r="O57" s="44"/>
    </row>
    <row r="58" spans="1:15" ht="70" hidden="1" x14ac:dyDescent="0.3">
      <c r="A58" s="40" t="s">
        <v>34</v>
      </c>
      <c r="B58" s="45" t="s">
        <v>6</v>
      </c>
      <c r="C58" s="45" t="s">
        <v>6</v>
      </c>
      <c r="D58" s="45" t="s">
        <v>6</v>
      </c>
      <c r="E58" s="46" t="s">
        <v>6</v>
      </c>
      <c r="F58" s="46" t="s">
        <v>6</v>
      </c>
      <c r="G58" s="46" t="s">
        <v>6</v>
      </c>
      <c r="H58" s="46" t="s">
        <v>6</v>
      </c>
      <c r="I58" s="48">
        <f t="shared" si="6"/>
        <v>0</v>
      </c>
      <c r="J58" s="44" t="s">
        <v>26</v>
      </c>
      <c r="K58" s="44"/>
      <c r="L58" s="44"/>
      <c r="M58" s="44"/>
      <c r="N58" s="44"/>
      <c r="O58" s="44"/>
    </row>
    <row r="59" spans="1:15" ht="28" hidden="1" x14ac:dyDescent="0.3">
      <c r="A59" s="40" t="s">
        <v>44</v>
      </c>
      <c r="B59" s="45" t="s">
        <v>6</v>
      </c>
      <c r="C59" s="45" t="s">
        <v>6</v>
      </c>
      <c r="D59" s="45" t="s">
        <v>6</v>
      </c>
      <c r="E59" s="46" t="s">
        <v>6</v>
      </c>
      <c r="F59" s="46" t="s">
        <v>6</v>
      </c>
      <c r="G59" s="46" t="s">
        <v>6</v>
      </c>
      <c r="H59" s="46" t="s">
        <v>6</v>
      </c>
      <c r="I59" s="48">
        <f t="shared" si="6"/>
        <v>0</v>
      </c>
      <c r="J59" s="44"/>
      <c r="K59" s="44"/>
      <c r="L59" s="44"/>
      <c r="M59" s="44"/>
      <c r="N59" s="44"/>
      <c r="O59" s="44"/>
    </row>
    <row r="60" spans="1:15" ht="42" hidden="1" x14ac:dyDescent="0.3">
      <c r="A60" s="40" t="s">
        <v>35</v>
      </c>
      <c r="B60" s="45" t="s">
        <v>6</v>
      </c>
      <c r="C60" s="45" t="s">
        <v>6</v>
      </c>
      <c r="D60" s="45" t="s">
        <v>6</v>
      </c>
      <c r="E60" s="46" t="s">
        <v>6</v>
      </c>
      <c r="F60" s="46" t="s">
        <v>6</v>
      </c>
      <c r="G60" s="46" t="s">
        <v>6</v>
      </c>
      <c r="H60" s="46" t="s">
        <v>6</v>
      </c>
      <c r="I60" s="48">
        <f t="shared" si="6"/>
        <v>0</v>
      </c>
      <c r="J60" s="44"/>
      <c r="K60" s="44"/>
      <c r="L60" s="44"/>
      <c r="M60" s="44"/>
      <c r="N60" s="44"/>
      <c r="O60" s="44"/>
    </row>
    <row r="61" spans="1:15" ht="28" hidden="1" x14ac:dyDescent="0.3">
      <c r="A61" s="40" t="s">
        <v>140</v>
      </c>
      <c r="B61" s="45" t="s">
        <v>6</v>
      </c>
      <c r="C61" s="45" t="s">
        <v>6</v>
      </c>
      <c r="D61" s="45" t="s">
        <v>6</v>
      </c>
      <c r="E61" s="46" t="s">
        <v>6</v>
      </c>
      <c r="F61" s="46" t="s">
        <v>6</v>
      </c>
      <c r="G61" s="46" t="s">
        <v>6</v>
      </c>
      <c r="H61" s="46" t="s">
        <v>6</v>
      </c>
      <c r="I61" s="48">
        <f t="shared" si="6"/>
        <v>0</v>
      </c>
      <c r="J61" s="44"/>
      <c r="K61" s="44"/>
      <c r="L61" s="44"/>
      <c r="M61" s="44"/>
      <c r="N61" s="44"/>
      <c r="O61" s="44"/>
    </row>
    <row r="62" spans="1:15" ht="28" hidden="1" x14ac:dyDescent="0.3">
      <c r="A62" s="40" t="s">
        <v>155</v>
      </c>
      <c r="B62" s="45" t="s">
        <v>6</v>
      </c>
      <c r="C62" s="45" t="s">
        <v>6</v>
      </c>
      <c r="D62" s="45" t="s">
        <v>6</v>
      </c>
      <c r="E62" s="46" t="s">
        <v>6</v>
      </c>
      <c r="F62" s="46" t="s">
        <v>6</v>
      </c>
      <c r="G62" s="46" t="s">
        <v>6</v>
      </c>
      <c r="H62" s="46" t="s">
        <v>6</v>
      </c>
      <c r="I62" s="48">
        <f t="shared" si="6"/>
        <v>0</v>
      </c>
      <c r="J62" s="44"/>
      <c r="K62" s="44"/>
      <c r="L62" s="44"/>
      <c r="M62" s="44"/>
      <c r="N62" s="44"/>
      <c r="O62" s="44"/>
    </row>
    <row r="63" spans="1:15" ht="28" hidden="1" x14ac:dyDescent="0.3">
      <c r="A63" s="40" t="s">
        <v>37</v>
      </c>
      <c r="B63" s="45" t="s">
        <v>6</v>
      </c>
      <c r="C63" s="45" t="s">
        <v>6</v>
      </c>
      <c r="D63" s="45" t="s">
        <v>6</v>
      </c>
      <c r="E63" s="46" t="s">
        <v>6</v>
      </c>
      <c r="F63" s="46" t="s">
        <v>6</v>
      </c>
      <c r="G63" s="46" t="s">
        <v>6</v>
      </c>
      <c r="H63" s="46" t="s">
        <v>6</v>
      </c>
      <c r="I63" s="48">
        <f t="shared" si="6"/>
        <v>0</v>
      </c>
      <c r="J63" s="44"/>
      <c r="K63" s="44"/>
      <c r="L63" s="44"/>
      <c r="M63" s="44"/>
      <c r="N63" s="44"/>
      <c r="O63" s="44"/>
    </row>
    <row r="64" spans="1:15" hidden="1" x14ac:dyDescent="0.3">
      <c r="A64" s="40" t="s">
        <v>160</v>
      </c>
      <c r="B64" s="48" t="s">
        <v>6</v>
      </c>
      <c r="C64" s="48" t="s">
        <v>6</v>
      </c>
      <c r="D64" s="48" t="s">
        <v>6</v>
      </c>
      <c r="E64" s="48" t="s">
        <v>6</v>
      </c>
      <c r="F64" s="48" t="s">
        <v>6</v>
      </c>
      <c r="G64" s="48" t="s">
        <v>6</v>
      </c>
      <c r="H64" s="48" t="s">
        <v>6</v>
      </c>
      <c r="I64" s="48">
        <f t="shared" si="6"/>
        <v>0</v>
      </c>
      <c r="J64" s="44"/>
      <c r="K64" s="44"/>
      <c r="L64" s="44"/>
      <c r="M64" s="44"/>
      <c r="N64" s="44"/>
      <c r="O64" s="44"/>
    </row>
    <row r="65" spans="1:15" hidden="1" x14ac:dyDescent="0.3">
      <c r="A65" s="40" t="s">
        <v>32</v>
      </c>
      <c r="B65" s="45" t="s">
        <v>6</v>
      </c>
      <c r="C65" s="45" t="s">
        <v>6</v>
      </c>
      <c r="D65" s="45" t="s">
        <v>6</v>
      </c>
      <c r="E65" s="46" t="s">
        <v>6</v>
      </c>
      <c r="F65" s="46" t="s">
        <v>6</v>
      </c>
      <c r="G65" s="46" t="s">
        <v>6</v>
      </c>
      <c r="H65" s="46" t="s">
        <v>6</v>
      </c>
      <c r="I65" s="48">
        <f t="shared" si="6"/>
        <v>0</v>
      </c>
      <c r="J65" s="44"/>
      <c r="K65" s="44"/>
      <c r="L65" s="44"/>
      <c r="M65" s="44"/>
      <c r="N65" s="44"/>
      <c r="O65" s="44"/>
    </row>
    <row r="66" spans="1:15" ht="28" hidden="1" x14ac:dyDescent="0.3">
      <c r="A66" s="40" t="s">
        <v>156</v>
      </c>
      <c r="B66" s="45" t="s">
        <v>6</v>
      </c>
      <c r="C66" s="45" t="s">
        <v>6</v>
      </c>
      <c r="D66" s="45" t="s">
        <v>6</v>
      </c>
      <c r="E66" s="46" t="s">
        <v>6</v>
      </c>
      <c r="F66" s="46" t="s">
        <v>6</v>
      </c>
      <c r="G66" s="46" t="s">
        <v>6</v>
      </c>
      <c r="H66" s="46" t="s">
        <v>6</v>
      </c>
      <c r="I66" s="48">
        <f t="shared" si="6"/>
        <v>0</v>
      </c>
      <c r="J66" s="44"/>
      <c r="K66" s="44"/>
      <c r="L66" s="44"/>
      <c r="M66" s="44"/>
      <c r="N66" s="44"/>
      <c r="O66" s="44"/>
    </row>
    <row r="67" spans="1:15" hidden="1" x14ac:dyDescent="0.3">
      <c r="A67" s="40" t="s">
        <v>32</v>
      </c>
      <c r="B67" s="45" t="s">
        <v>6</v>
      </c>
      <c r="C67" s="45" t="s">
        <v>6</v>
      </c>
      <c r="D67" s="45" t="s">
        <v>6</v>
      </c>
      <c r="E67" s="46" t="s">
        <v>6</v>
      </c>
      <c r="F67" s="46" t="s">
        <v>6</v>
      </c>
      <c r="G67" s="46" t="s">
        <v>6</v>
      </c>
      <c r="H67" s="46" t="s">
        <v>6</v>
      </c>
      <c r="I67" s="48">
        <f t="shared" si="6"/>
        <v>0</v>
      </c>
      <c r="J67" s="44"/>
      <c r="K67" s="44"/>
      <c r="L67" s="44"/>
      <c r="M67" s="44"/>
      <c r="N67" s="44"/>
      <c r="O67" s="44"/>
    </row>
    <row r="68" spans="1:15" hidden="1" x14ac:dyDescent="0.3">
      <c r="A68" s="40" t="s">
        <v>143</v>
      </c>
      <c r="B68" s="45" t="s">
        <v>6</v>
      </c>
      <c r="C68" s="45" t="s">
        <v>6</v>
      </c>
      <c r="D68" s="45" t="s">
        <v>6</v>
      </c>
      <c r="E68" s="46" t="s">
        <v>6</v>
      </c>
      <c r="F68" s="46" t="s">
        <v>6</v>
      </c>
      <c r="G68" s="46" t="s">
        <v>6</v>
      </c>
      <c r="H68" s="46" t="s">
        <v>6</v>
      </c>
      <c r="I68" s="48">
        <f t="shared" si="6"/>
        <v>0</v>
      </c>
      <c r="J68" s="44"/>
      <c r="K68" s="44"/>
      <c r="L68" s="44"/>
      <c r="M68" s="44"/>
      <c r="N68" s="44"/>
      <c r="O68" s="44"/>
    </row>
    <row r="69" spans="1:15" ht="28" hidden="1" x14ac:dyDescent="0.3">
      <c r="A69" s="40" t="s">
        <v>144</v>
      </c>
      <c r="B69" s="45" t="s">
        <v>6</v>
      </c>
      <c r="C69" s="45" t="s">
        <v>6</v>
      </c>
      <c r="D69" s="45" t="s">
        <v>6</v>
      </c>
      <c r="E69" s="46" t="s">
        <v>6</v>
      </c>
      <c r="F69" s="46" t="s">
        <v>6</v>
      </c>
      <c r="G69" s="46" t="s">
        <v>6</v>
      </c>
      <c r="H69" s="46" t="s">
        <v>6</v>
      </c>
      <c r="I69" s="48">
        <f t="shared" si="6"/>
        <v>0</v>
      </c>
      <c r="J69" s="44"/>
      <c r="K69" s="44"/>
      <c r="L69" s="44"/>
      <c r="M69" s="44"/>
      <c r="N69" s="44"/>
      <c r="O69" s="44"/>
    </row>
    <row r="70" spans="1:15" ht="42" hidden="1" x14ac:dyDescent="0.3">
      <c r="A70" s="40" t="s">
        <v>145</v>
      </c>
      <c r="B70" s="45" t="s">
        <v>6</v>
      </c>
      <c r="C70" s="45" t="s">
        <v>6</v>
      </c>
      <c r="D70" s="45" t="s">
        <v>6</v>
      </c>
      <c r="E70" s="46" t="s">
        <v>6</v>
      </c>
      <c r="F70" s="46" t="s">
        <v>6</v>
      </c>
      <c r="G70" s="57" t="s">
        <v>6</v>
      </c>
      <c r="H70" s="46" t="s">
        <v>6</v>
      </c>
      <c r="I70" s="48">
        <f t="shared" si="6"/>
        <v>0</v>
      </c>
      <c r="J70" s="44" t="s">
        <v>26</v>
      </c>
      <c r="K70" s="44"/>
      <c r="L70" s="44"/>
      <c r="M70" s="44"/>
      <c r="N70" s="44"/>
      <c r="O70" s="44"/>
    </row>
    <row r="71" spans="1:15" hidden="1" x14ac:dyDescent="0.3">
      <c r="A71" s="40" t="s">
        <v>146</v>
      </c>
      <c r="B71" s="45" t="s">
        <v>6</v>
      </c>
      <c r="C71" s="45" t="s">
        <v>6</v>
      </c>
      <c r="D71" s="45" t="s">
        <v>6</v>
      </c>
      <c r="E71" s="46" t="s">
        <v>6</v>
      </c>
      <c r="F71" s="46" t="s">
        <v>6</v>
      </c>
      <c r="G71" s="46" t="s">
        <v>6</v>
      </c>
      <c r="H71" s="46" t="s">
        <v>6</v>
      </c>
      <c r="I71" s="48">
        <f t="shared" si="6"/>
        <v>0</v>
      </c>
      <c r="J71" s="44"/>
      <c r="K71" s="44"/>
      <c r="L71" s="44"/>
      <c r="M71" s="44"/>
      <c r="N71" s="44"/>
      <c r="O71" s="44"/>
    </row>
    <row r="72" spans="1:15" ht="28" hidden="1" x14ac:dyDescent="0.3">
      <c r="A72" s="40" t="s">
        <v>147</v>
      </c>
      <c r="B72" s="45" t="s">
        <v>6</v>
      </c>
      <c r="C72" s="45" t="s">
        <v>6</v>
      </c>
      <c r="D72" s="45" t="s">
        <v>6</v>
      </c>
      <c r="E72" s="46" t="s">
        <v>6</v>
      </c>
      <c r="F72" s="46" t="s">
        <v>6</v>
      </c>
      <c r="G72" s="46" t="s">
        <v>6</v>
      </c>
      <c r="H72" s="46" t="s">
        <v>6</v>
      </c>
      <c r="I72" s="48">
        <f t="shared" si="6"/>
        <v>0</v>
      </c>
      <c r="J72" s="44"/>
      <c r="K72" s="44"/>
      <c r="L72" s="44"/>
      <c r="M72" s="44"/>
      <c r="N72" s="44"/>
      <c r="O72" s="44"/>
    </row>
    <row r="73" spans="1:15" ht="28" hidden="1" x14ac:dyDescent="0.3">
      <c r="A73" s="40" t="s">
        <v>148</v>
      </c>
      <c r="B73" s="45" t="s">
        <v>6</v>
      </c>
      <c r="C73" s="45" t="s">
        <v>6</v>
      </c>
      <c r="D73" s="45" t="s">
        <v>6</v>
      </c>
      <c r="E73" s="46" t="s">
        <v>6</v>
      </c>
      <c r="F73" s="46" t="s">
        <v>6</v>
      </c>
      <c r="G73" s="46" t="s">
        <v>6</v>
      </c>
      <c r="H73" s="46" t="s">
        <v>6</v>
      </c>
      <c r="I73" s="48">
        <f t="shared" si="6"/>
        <v>0</v>
      </c>
      <c r="J73" s="44"/>
      <c r="K73" s="44"/>
      <c r="L73" s="44"/>
      <c r="M73" s="44"/>
      <c r="N73" s="44"/>
      <c r="O73" s="44"/>
    </row>
    <row r="74" spans="1:15" ht="42" hidden="1" x14ac:dyDescent="0.3">
      <c r="A74" s="40" t="s">
        <v>149</v>
      </c>
      <c r="B74" s="45" t="s">
        <v>6</v>
      </c>
      <c r="C74" s="45" t="s">
        <v>6</v>
      </c>
      <c r="D74" s="45" t="s">
        <v>6</v>
      </c>
      <c r="E74" s="46" t="s">
        <v>6</v>
      </c>
      <c r="F74" s="46" t="s">
        <v>6</v>
      </c>
      <c r="G74" s="46" t="s">
        <v>6</v>
      </c>
      <c r="H74" s="46" t="s">
        <v>6</v>
      </c>
      <c r="I74" s="48">
        <f t="shared" si="6"/>
        <v>0</v>
      </c>
      <c r="J74" s="44"/>
      <c r="K74" s="44"/>
      <c r="L74" s="44"/>
      <c r="M74" s="44"/>
      <c r="N74" s="44"/>
      <c r="O74" s="44"/>
    </row>
    <row r="75" spans="1:15" x14ac:dyDescent="0.3">
      <c r="A75" s="40" t="s">
        <v>412</v>
      </c>
      <c r="B75" s="45" t="s">
        <v>6</v>
      </c>
      <c r="C75" s="45" t="s">
        <v>6</v>
      </c>
      <c r="D75" s="45" t="s">
        <v>6</v>
      </c>
      <c r="E75" s="46" t="s">
        <v>6</v>
      </c>
      <c r="F75" s="46">
        <v>-113520</v>
      </c>
      <c r="G75" s="46" t="s">
        <v>6</v>
      </c>
      <c r="H75" s="46" t="s">
        <v>6</v>
      </c>
      <c r="I75" s="48">
        <f t="shared" si="6"/>
        <v>-113520</v>
      </c>
      <c r="J75" s="44"/>
      <c r="K75" s="44"/>
      <c r="L75" s="44"/>
      <c r="M75" s="44"/>
      <c r="N75" s="44"/>
      <c r="O75" s="44"/>
    </row>
    <row r="76" spans="1:15" ht="14.5" hidden="1" customHeight="1" x14ac:dyDescent="0.3">
      <c r="A76" s="461" t="s">
        <v>123</v>
      </c>
      <c r="B76" s="462" t="s">
        <v>124</v>
      </c>
      <c r="C76" s="462"/>
      <c r="D76" s="462"/>
      <c r="E76" s="462"/>
      <c r="F76" s="462"/>
      <c r="G76" s="462"/>
      <c r="H76" s="463" t="s">
        <v>125</v>
      </c>
      <c r="I76" s="460" t="s">
        <v>126</v>
      </c>
      <c r="J76" s="44"/>
      <c r="K76" s="44"/>
      <c r="L76" s="44"/>
      <c r="M76" s="44"/>
      <c r="N76" s="44"/>
      <c r="O76" s="44"/>
    </row>
    <row r="77" spans="1:15" ht="70" hidden="1" x14ac:dyDescent="0.3">
      <c r="A77" s="461"/>
      <c r="B77" s="50" t="s">
        <v>12</v>
      </c>
      <c r="C77" s="50" t="s">
        <v>13</v>
      </c>
      <c r="D77" s="50" t="s">
        <v>127</v>
      </c>
      <c r="E77" s="50" t="s">
        <v>14</v>
      </c>
      <c r="F77" s="50" t="s">
        <v>128</v>
      </c>
      <c r="G77" s="50" t="s">
        <v>15</v>
      </c>
      <c r="H77" s="463"/>
      <c r="I77" s="460"/>
      <c r="J77" s="44"/>
      <c r="K77" s="44"/>
      <c r="L77" s="44"/>
      <c r="M77" s="44"/>
      <c r="N77" s="44"/>
      <c r="O77" s="44"/>
    </row>
    <row r="78" spans="1:15" hidden="1" x14ac:dyDescent="0.3">
      <c r="A78" s="51" t="s">
        <v>2</v>
      </c>
      <c r="B78" s="52" t="s">
        <v>4</v>
      </c>
      <c r="C78" s="52" t="s">
        <v>5</v>
      </c>
      <c r="D78" s="53" t="s">
        <v>129</v>
      </c>
      <c r="E78" s="53" t="s">
        <v>130</v>
      </c>
      <c r="F78" s="53" t="s">
        <v>131</v>
      </c>
      <c r="G78" s="53" t="s">
        <v>132</v>
      </c>
      <c r="H78" s="53" t="s">
        <v>133</v>
      </c>
      <c r="I78" s="53" t="s">
        <v>134</v>
      </c>
      <c r="J78" s="44" t="s">
        <v>26</v>
      </c>
      <c r="K78" s="44"/>
      <c r="L78" s="44"/>
      <c r="M78" s="44"/>
      <c r="N78" s="44"/>
      <c r="O78" s="44"/>
    </row>
    <row r="79" spans="1:15" ht="28" hidden="1" x14ac:dyDescent="0.3">
      <c r="A79" s="40" t="s">
        <v>151</v>
      </c>
      <c r="B79" s="45" t="s">
        <v>6</v>
      </c>
      <c r="C79" s="45" t="s">
        <v>6</v>
      </c>
      <c r="D79" s="45" t="s">
        <v>6</v>
      </c>
      <c r="E79" s="46" t="s">
        <v>6</v>
      </c>
      <c r="F79" s="46" t="s">
        <v>6</v>
      </c>
      <c r="G79" s="46" t="s">
        <v>6</v>
      </c>
      <c r="H79" s="46" t="s">
        <v>6</v>
      </c>
      <c r="I79" s="47" t="s">
        <v>6</v>
      </c>
      <c r="J79" s="44"/>
      <c r="K79" s="44"/>
      <c r="L79" s="44"/>
      <c r="M79" s="44"/>
      <c r="N79" s="44"/>
      <c r="O79" s="44"/>
    </row>
    <row r="80" spans="1:15" hidden="1" x14ac:dyDescent="0.3">
      <c r="A80" s="40" t="s">
        <v>152</v>
      </c>
      <c r="B80" s="45" t="s">
        <v>6</v>
      </c>
      <c r="C80" s="45" t="s">
        <v>6</v>
      </c>
      <c r="D80" s="45" t="s">
        <v>6</v>
      </c>
      <c r="E80" s="46" t="s">
        <v>6</v>
      </c>
      <c r="F80" s="46" t="s">
        <v>6</v>
      </c>
      <c r="G80" s="46" t="s">
        <v>6</v>
      </c>
      <c r="H80" s="46" t="s">
        <v>6</v>
      </c>
      <c r="I80" s="47" t="s">
        <v>6</v>
      </c>
      <c r="J80" s="44"/>
      <c r="K80" s="44"/>
      <c r="L80" s="44"/>
      <c r="M80" s="44"/>
      <c r="N80" s="44"/>
      <c r="O80" s="44"/>
    </row>
    <row r="81" spans="1:15" ht="42" hidden="1" x14ac:dyDescent="0.3">
      <c r="A81" s="40" t="s">
        <v>153</v>
      </c>
      <c r="B81" s="45" t="s">
        <v>6</v>
      </c>
      <c r="C81" s="45" t="s">
        <v>6</v>
      </c>
      <c r="D81" s="45" t="s">
        <v>6</v>
      </c>
      <c r="E81" s="46" t="s">
        <v>6</v>
      </c>
      <c r="F81" s="46" t="s">
        <v>6</v>
      </c>
      <c r="G81" s="46" t="s">
        <v>6</v>
      </c>
      <c r="H81" s="46" t="s">
        <v>6</v>
      </c>
      <c r="I81" s="47" t="s">
        <v>6</v>
      </c>
      <c r="J81" s="44"/>
      <c r="K81" s="44"/>
      <c r="L81" s="44"/>
      <c r="M81" s="44"/>
      <c r="N81" s="44"/>
      <c r="O81" s="44"/>
    </row>
    <row r="82" spans="1:15" hidden="1" x14ac:dyDescent="0.3">
      <c r="A82" s="40" t="s">
        <v>154</v>
      </c>
      <c r="B82" s="45" t="s">
        <v>6</v>
      </c>
      <c r="C82" s="45" t="s">
        <v>6</v>
      </c>
      <c r="D82" s="45" t="s">
        <v>6</v>
      </c>
      <c r="E82" s="46" t="s">
        <v>6</v>
      </c>
      <c r="F82" s="46" t="s">
        <v>6</v>
      </c>
      <c r="G82" s="46" t="s">
        <v>6</v>
      </c>
      <c r="H82" s="46" t="s">
        <v>6</v>
      </c>
      <c r="I82" s="47" t="s">
        <v>6</v>
      </c>
      <c r="J82" s="44"/>
      <c r="K82" s="44"/>
      <c r="L82" s="44"/>
      <c r="M82" s="44"/>
      <c r="N82" s="44"/>
      <c r="O82" s="44"/>
    </row>
    <row r="83" spans="1:15" x14ac:dyDescent="0.3">
      <c r="A83" s="54" t="s">
        <v>417</v>
      </c>
      <c r="B83" s="48">
        <f>B48</f>
        <v>200000</v>
      </c>
      <c r="C83" s="48" t="s">
        <v>6</v>
      </c>
      <c r="D83" s="48" t="s">
        <v>6</v>
      </c>
      <c r="E83" s="48" t="s">
        <v>6</v>
      </c>
      <c r="F83" s="48">
        <f>F48+F52+F75</f>
        <v>278320</v>
      </c>
      <c r="G83" s="48" t="s">
        <v>6</v>
      </c>
      <c r="H83" s="48" t="s">
        <v>6</v>
      </c>
      <c r="I83" s="48">
        <f>SUM(B83:H83)</f>
        <v>478320</v>
      </c>
      <c r="J83" s="56">
        <f>Ф1!C37</f>
        <v>478320</v>
      </c>
      <c r="K83" s="44"/>
      <c r="L83" s="44"/>
      <c r="M83" s="44"/>
      <c r="N83" s="44"/>
      <c r="O83" s="44"/>
    </row>
    <row r="84" spans="1:15" x14ac:dyDescent="0.3">
      <c r="A84" s="44"/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</row>
    <row r="85" spans="1:15" x14ac:dyDescent="0.3">
      <c r="A85" s="44"/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</row>
    <row r="86" spans="1:15" x14ac:dyDescent="0.3">
      <c r="A86" s="44"/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</row>
    <row r="87" spans="1:15" x14ac:dyDescent="0.3">
      <c r="A87" s="58" t="s">
        <v>16</v>
      </c>
      <c r="B87" s="59" t="s">
        <v>17</v>
      </c>
      <c r="C87" s="44"/>
      <c r="E87" s="60"/>
      <c r="F87" s="44"/>
      <c r="G87" s="44"/>
      <c r="H87" s="44"/>
      <c r="I87" s="44"/>
      <c r="J87" s="44"/>
      <c r="K87" s="44"/>
      <c r="L87" s="44"/>
      <c r="M87" s="44"/>
      <c r="N87" s="44"/>
      <c r="O87" s="44"/>
    </row>
    <row r="88" spans="1:15" x14ac:dyDescent="0.3">
      <c r="A88" s="44"/>
      <c r="B88" s="61" t="s">
        <v>18</v>
      </c>
      <c r="C88" s="44"/>
      <c r="E88" s="62" t="s">
        <v>19</v>
      </c>
      <c r="F88" s="44"/>
      <c r="G88" s="44"/>
      <c r="H88" s="44"/>
      <c r="I88" s="44"/>
      <c r="J88" s="44"/>
      <c r="K88" s="44"/>
      <c r="L88" s="44"/>
      <c r="M88" s="44"/>
      <c r="N88" s="44"/>
      <c r="O88" s="44"/>
    </row>
    <row r="89" spans="1:15" x14ac:dyDescent="0.3">
      <c r="A89" s="44"/>
      <c r="B89" s="61"/>
      <c r="C89" s="44"/>
      <c r="E89" s="62"/>
      <c r="F89" s="44"/>
      <c r="G89" s="44"/>
      <c r="H89" s="44"/>
      <c r="I89" s="44"/>
      <c r="J89" s="44"/>
      <c r="K89" s="44"/>
      <c r="L89" s="44"/>
      <c r="M89" s="44"/>
      <c r="N89" s="44"/>
      <c r="O89" s="44"/>
    </row>
    <row r="90" spans="1:15" x14ac:dyDescent="0.3">
      <c r="A90" s="44"/>
      <c r="B90" s="44"/>
      <c r="C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</row>
    <row r="91" spans="1:15" x14ac:dyDescent="0.3">
      <c r="A91" s="63" t="s">
        <v>20</v>
      </c>
      <c r="B91" s="64"/>
      <c r="C91" s="44"/>
      <c r="E91" s="60"/>
      <c r="F91" s="44"/>
      <c r="G91" s="44"/>
      <c r="H91" s="44"/>
      <c r="I91" s="44"/>
      <c r="J91" s="44"/>
      <c r="K91" s="44"/>
      <c r="L91" s="44"/>
      <c r="M91" s="44"/>
      <c r="N91" s="44"/>
      <c r="O91" s="44"/>
    </row>
    <row r="92" spans="1:15" x14ac:dyDescent="0.3">
      <c r="A92" s="44"/>
      <c r="B92" s="61" t="s">
        <v>18</v>
      </c>
      <c r="C92" s="44"/>
      <c r="E92" s="62" t="s">
        <v>19</v>
      </c>
      <c r="F92" s="44"/>
      <c r="G92" s="44"/>
      <c r="H92" s="44"/>
      <c r="I92" s="44"/>
      <c r="J92" s="44"/>
      <c r="K92" s="44"/>
      <c r="L92" s="44"/>
      <c r="M92" s="44"/>
      <c r="N92" s="44"/>
      <c r="O92" s="44"/>
    </row>
    <row r="93" spans="1:15" x14ac:dyDescent="0.3">
      <c r="A93" s="44"/>
      <c r="B93" s="61"/>
      <c r="C93" s="44"/>
      <c r="E93" s="62"/>
      <c r="F93" s="44"/>
      <c r="G93" s="44"/>
      <c r="H93" s="44"/>
      <c r="I93" s="44"/>
      <c r="J93" s="44"/>
      <c r="K93" s="44"/>
      <c r="L93" s="44"/>
      <c r="M93" s="44"/>
      <c r="N93" s="44"/>
      <c r="O93" s="44"/>
    </row>
    <row r="94" spans="1:15" x14ac:dyDescent="0.3">
      <c r="A94" s="44"/>
      <c r="B94" s="61"/>
      <c r="C94" s="44"/>
      <c r="E94" s="62"/>
      <c r="F94" s="44"/>
      <c r="G94" s="44"/>
      <c r="H94" s="44"/>
      <c r="I94" s="44"/>
      <c r="J94" s="44"/>
      <c r="K94" s="44"/>
      <c r="L94" s="44"/>
      <c r="M94" s="44"/>
      <c r="N94" s="44"/>
      <c r="O94" s="44"/>
    </row>
    <row r="95" spans="1:15" x14ac:dyDescent="0.3">
      <c r="A95" s="44" t="s">
        <v>21</v>
      </c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</row>
    <row r="96" spans="1:15" x14ac:dyDescent="0.3">
      <c r="A96" s="44" t="s">
        <v>22</v>
      </c>
      <c r="B96" s="44"/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</row>
    <row r="97" spans="1:15" x14ac:dyDescent="0.3">
      <c r="A97" s="44"/>
      <c r="B97" s="44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</row>
    <row r="98" spans="1:15" x14ac:dyDescent="0.3">
      <c r="A98" s="44"/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</row>
    <row r="99" spans="1:15" x14ac:dyDescent="0.3">
      <c r="A99" s="44"/>
      <c r="B99" s="44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</row>
    <row r="100" spans="1:15" x14ac:dyDescent="0.3">
      <c r="A100" s="44"/>
      <c r="B100" s="44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</row>
    <row r="101" spans="1:15" x14ac:dyDescent="0.3">
      <c r="A101" s="44"/>
      <c r="B101" s="44"/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</row>
    <row r="102" spans="1:15" x14ac:dyDescent="0.3">
      <c r="A102" s="44"/>
      <c r="B102" s="44"/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</row>
    <row r="103" spans="1:15" x14ac:dyDescent="0.3">
      <c r="A103" s="44"/>
      <c r="B103" s="44"/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</row>
    <row r="104" spans="1:15" x14ac:dyDescent="0.3">
      <c r="A104" s="44"/>
      <c r="B104" s="44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</row>
    <row r="105" spans="1:15" x14ac:dyDescent="0.3">
      <c r="A105" s="44"/>
      <c r="B105" s="44"/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</row>
    <row r="106" spans="1:15" x14ac:dyDescent="0.3">
      <c r="A106" s="44"/>
      <c r="B106" s="44"/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</row>
    <row r="107" spans="1:15" x14ac:dyDescent="0.3">
      <c r="A107" s="44"/>
      <c r="B107" s="44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</row>
    <row r="108" spans="1:15" x14ac:dyDescent="0.3">
      <c r="A108" s="44"/>
      <c r="B108" s="44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</row>
    <row r="109" spans="1:15" x14ac:dyDescent="0.3">
      <c r="A109" s="44"/>
      <c r="B109" s="44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</row>
    <row r="110" spans="1:15" x14ac:dyDescent="0.3">
      <c r="A110" s="44"/>
      <c r="B110" s="44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</row>
    <row r="111" spans="1:15" x14ac:dyDescent="0.3">
      <c r="A111" s="44"/>
      <c r="B111" s="44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</row>
    <row r="112" spans="1:15" x14ac:dyDescent="0.3">
      <c r="A112" s="44"/>
      <c r="B112" s="44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</row>
    <row r="113" spans="1:15" x14ac:dyDescent="0.3">
      <c r="A113" s="44"/>
      <c r="B113" s="44"/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</row>
    <row r="114" spans="1:15" x14ac:dyDescent="0.3">
      <c r="A114" s="44"/>
      <c r="B114" s="44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</row>
    <row r="115" spans="1:15" x14ac:dyDescent="0.3">
      <c r="A115" s="44"/>
      <c r="B115" s="44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</row>
    <row r="116" spans="1:15" x14ac:dyDescent="0.3">
      <c r="A116" s="44"/>
      <c r="B116" s="44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44"/>
    </row>
    <row r="117" spans="1:15" x14ac:dyDescent="0.3">
      <c r="A117" s="44"/>
      <c r="B117" s="44"/>
      <c r="C117" s="44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</row>
    <row r="118" spans="1:15" x14ac:dyDescent="0.3">
      <c r="A118" s="44"/>
      <c r="B118" s="44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44"/>
    </row>
    <row r="119" spans="1:15" x14ac:dyDescent="0.3">
      <c r="A119" s="44"/>
      <c r="B119" s="44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4"/>
    </row>
    <row r="120" spans="1:15" x14ac:dyDescent="0.3">
      <c r="A120" s="44"/>
      <c r="B120" s="44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44"/>
    </row>
    <row r="121" spans="1:15" x14ac:dyDescent="0.3">
      <c r="A121" s="44"/>
      <c r="B121" s="44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4"/>
    </row>
    <row r="122" spans="1:15" x14ac:dyDescent="0.3">
      <c r="A122" s="44"/>
      <c r="B122" s="44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4"/>
    </row>
    <row r="123" spans="1:15" x14ac:dyDescent="0.3">
      <c r="A123" s="44"/>
      <c r="B123" s="44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44"/>
    </row>
    <row r="124" spans="1:15" x14ac:dyDescent="0.3">
      <c r="A124" s="44"/>
      <c r="B124" s="44"/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44"/>
    </row>
    <row r="125" spans="1:15" x14ac:dyDescent="0.3">
      <c r="A125" s="44"/>
      <c r="B125" s="44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44"/>
    </row>
    <row r="126" spans="1:15" x14ac:dyDescent="0.3">
      <c r="A126" s="44"/>
      <c r="B126" s="44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44"/>
    </row>
    <row r="127" spans="1:15" x14ac:dyDescent="0.3">
      <c r="A127" s="44"/>
      <c r="B127" s="44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44"/>
    </row>
    <row r="128" spans="1:15" x14ac:dyDescent="0.3">
      <c r="A128" s="44"/>
      <c r="B128" s="44"/>
      <c r="C128" s="44"/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44"/>
    </row>
    <row r="129" spans="1:15" x14ac:dyDescent="0.3">
      <c r="A129" s="44"/>
      <c r="B129" s="44"/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44"/>
    </row>
    <row r="130" spans="1:15" x14ac:dyDescent="0.3">
      <c r="A130" s="44"/>
      <c r="B130" s="44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44"/>
    </row>
    <row r="131" spans="1:15" x14ac:dyDescent="0.3">
      <c r="A131" s="44"/>
      <c r="B131" s="44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44"/>
    </row>
    <row r="132" spans="1:15" x14ac:dyDescent="0.3">
      <c r="A132" s="44"/>
      <c r="B132" s="44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44"/>
    </row>
    <row r="133" spans="1:15" x14ac:dyDescent="0.3">
      <c r="A133" s="44"/>
      <c r="B133" s="44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44"/>
    </row>
    <row r="134" spans="1:15" x14ac:dyDescent="0.3">
      <c r="A134" s="44"/>
      <c r="B134" s="44"/>
      <c r="C134" s="44"/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44"/>
    </row>
    <row r="135" spans="1:15" x14ac:dyDescent="0.3">
      <c r="A135" s="44"/>
      <c r="B135" s="44"/>
      <c r="C135" s="44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44"/>
    </row>
    <row r="136" spans="1:15" x14ac:dyDescent="0.3">
      <c r="A136" s="44"/>
      <c r="B136" s="44"/>
      <c r="C136" s="44"/>
      <c r="D136" s="44"/>
      <c r="E136" s="44"/>
      <c r="F136" s="44"/>
      <c r="G136" s="44"/>
      <c r="H136" s="44"/>
      <c r="I136" s="44"/>
      <c r="J136" s="44"/>
      <c r="K136" s="44"/>
      <c r="L136" s="44"/>
      <c r="M136" s="44"/>
      <c r="N136" s="44"/>
      <c r="O136" s="44"/>
    </row>
    <row r="137" spans="1:15" x14ac:dyDescent="0.3">
      <c r="A137" s="44"/>
      <c r="B137" s="44"/>
      <c r="C137" s="44"/>
      <c r="D137" s="44"/>
      <c r="E137" s="44"/>
      <c r="F137" s="44"/>
      <c r="G137" s="44"/>
      <c r="H137" s="44"/>
      <c r="I137" s="44"/>
      <c r="J137" s="44"/>
      <c r="K137" s="44"/>
      <c r="L137" s="44"/>
      <c r="M137" s="44"/>
      <c r="N137" s="44"/>
      <c r="O137" s="44"/>
    </row>
    <row r="138" spans="1:15" x14ac:dyDescent="0.3">
      <c r="A138" s="44"/>
      <c r="B138" s="44"/>
      <c r="C138" s="44"/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44"/>
    </row>
    <row r="139" spans="1:15" x14ac:dyDescent="0.3">
      <c r="A139" s="44"/>
      <c r="B139" s="44"/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44"/>
    </row>
    <row r="140" spans="1:15" x14ac:dyDescent="0.3">
      <c r="A140" s="44"/>
      <c r="B140" s="44"/>
      <c r="C140" s="44"/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44"/>
    </row>
    <row r="141" spans="1:15" x14ac:dyDescent="0.3">
      <c r="A141" s="44"/>
      <c r="B141" s="44"/>
      <c r="C141" s="44"/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44"/>
    </row>
    <row r="142" spans="1:15" x14ac:dyDescent="0.3">
      <c r="A142" s="44"/>
      <c r="B142" s="44"/>
      <c r="C142" s="44"/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44"/>
    </row>
    <row r="143" spans="1:15" x14ac:dyDescent="0.3">
      <c r="A143" s="44"/>
      <c r="B143" s="44"/>
      <c r="C143" s="44"/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44"/>
    </row>
    <row r="144" spans="1:15" x14ac:dyDescent="0.3">
      <c r="A144" s="44"/>
      <c r="B144" s="44"/>
      <c r="C144" s="44"/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44"/>
    </row>
    <row r="145" spans="1:15" x14ac:dyDescent="0.3">
      <c r="A145" s="44"/>
      <c r="B145" s="44"/>
      <c r="C145" s="44"/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44"/>
    </row>
    <row r="146" spans="1:15" x14ac:dyDescent="0.3">
      <c r="A146" s="44"/>
      <c r="B146" s="44"/>
      <c r="C146" s="44"/>
      <c r="D146" s="44"/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44"/>
    </row>
    <row r="147" spans="1:15" x14ac:dyDescent="0.3">
      <c r="A147" s="44"/>
      <c r="B147" s="44"/>
      <c r="C147" s="44"/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N147" s="44"/>
    </row>
    <row r="148" spans="1:15" x14ac:dyDescent="0.3">
      <c r="A148" s="44"/>
      <c r="B148" s="44"/>
      <c r="C148" s="44"/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</row>
    <row r="149" spans="1:15" x14ac:dyDescent="0.3">
      <c r="A149" s="44"/>
      <c r="B149" s="44"/>
      <c r="C149" s="44"/>
      <c r="D149" s="44"/>
      <c r="E149" s="44"/>
      <c r="F149" s="44"/>
      <c r="G149" s="44"/>
      <c r="H149" s="44"/>
      <c r="I149" s="44"/>
      <c r="J149" s="44"/>
      <c r="K149" s="44"/>
      <c r="L149" s="44"/>
      <c r="M149" s="44"/>
      <c r="N149" s="44"/>
    </row>
    <row r="150" spans="1:15" x14ac:dyDescent="0.3">
      <c r="A150" s="44"/>
      <c r="B150" s="44"/>
      <c r="C150" s="44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</row>
    <row r="151" spans="1:15" x14ac:dyDescent="0.3">
      <c r="A151" s="44"/>
      <c r="B151" s="44"/>
      <c r="C151" s="44"/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</row>
    <row r="152" spans="1:15" x14ac:dyDescent="0.3">
      <c r="A152" s="44"/>
      <c r="B152" s="44"/>
      <c r="C152" s="44"/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</row>
    <row r="153" spans="1:15" x14ac:dyDescent="0.3">
      <c r="A153" s="44"/>
      <c r="B153" s="44"/>
      <c r="C153" s="44"/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</row>
    <row r="154" spans="1:15" x14ac:dyDescent="0.3">
      <c r="A154" s="44"/>
      <c r="B154" s="44"/>
      <c r="C154" s="44"/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</row>
    <row r="155" spans="1:15" x14ac:dyDescent="0.3">
      <c r="A155" s="44"/>
      <c r="B155" s="44"/>
      <c r="C155" s="44"/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</row>
    <row r="156" spans="1:15" x14ac:dyDescent="0.3">
      <c r="A156" s="44"/>
      <c r="B156" s="44"/>
      <c r="C156" s="44"/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</row>
    <row r="157" spans="1:15" x14ac:dyDescent="0.3">
      <c r="A157" s="44"/>
      <c r="B157" s="44"/>
      <c r="C157" s="44"/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</row>
    <row r="158" spans="1:15" x14ac:dyDescent="0.3">
      <c r="A158" s="44"/>
      <c r="B158" s="44"/>
      <c r="C158" s="44"/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</row>
    <row r="159" spans="1:15" x14ac:dyDescent="0.3">
      <c r="A159" s="44"/>
      <c r="B159" s="44"/>
      <c r="C159" s="44"/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</row>
    <row r="160" spans="1:15" x14ac:dyDescent="0.3">
      <c r="A160" s="44"/>
      <c r="B160" s="44"/>
      <c r="C160" s="44"/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</row>
    <row r="161" spans="1:14" x14ac:dyDescent="0.3">
      <c r="A161" s="44"/>
      <c r="B161" s="44"/>
      <c r="C161" s="44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</row>
    <row r="162" spans="1:14" x14ac:dyDescent="0.3">
      <c r="A162" s="44"/>
      <c r="B162" s="44"/>
      <c r="C162" s="44"/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</row>
    <row r="163" spans="1:14" x14ac:dyDescent="0.3">
      <c r="A163" s="44"/>
      <c r="B163" s="44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</row>
    <row r="164" spans="1:14" x14ac:dyDescent="0.3">
      <c r="A164" s="44"/>
      <c r="B164" s="44"/>
      <c r="C164" s="44"/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</row>
    <row r="165" spans="1:14" x14ac:dyDescent="0.3">
      <c r="A165" s="44"/>
      <c r="B165" s="44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</row>
    <row r="166" spans="1:14" x14ac:dyDescent="0.3">
      <c r="A166" s="44"/>
      <c r="B166" s="44"/>
      <c r="C166" s="44"/>
      <c r="D166" s="44"/>
      <c r="E166" s="44"/>
      <c r="F166" s="44"/>
      <c r="G166" s="44"/>
      <c r="H166" s="44"/>
      <c r="I166" s="44"/>
      <c r="J166" s="44"/>
      <c r="K166" s="44"/>
      <c r="L166" s="44"/>
      <c r="M166" s="44"/>
      <c r="N166" s="44"/>
    </row>
    <row r="167" spans="1:14" x14ac:dyDescent="0.3">
      <c r="A167" s="44"/>
      <c r="B167" s="44"/>
      <c r="C167" s="44"/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4"/>
    </row>
    <row r="168" spans="1:14" x14ac:dyDescent="0.3">
      <c r="A168" s="44"/>
      <c r="B168" s="44"/>
      <c r="C168" s="44"/>
      <c r="D168" s="44"/>
      <c r="E168" s="44"/>
      <c r="F168" s="44"/>
      <c r="G168" s="44"/>
      <c r="H168" s="44"/>
      <c r="I168" s="44"/>
      <c r="J168" s="44"/>
      <c r="K168" s="44"/>
      <c r="L168" s="44"/>
      <c r="M168" s="44"/>
      <c r="N168" s="44"/>
    </row>
    <row r="169" spans="1:14" x14ac:dyDescent="0.3">
      <c r="A169" s="44"/>
      <c r="B169" s="44"/>
      <c r="C169" s="44"/>
      <c r="D169" s="44"/>
      <c r="E169" s="44"/>
      <c r="F169" s="44"/>
      <c r="G169" s="44"/>
      <c r="H169" s="44"/>
      <c r="I169" s="44"/>
      <c r="J169" s="44"/>
      <c r="K169" s="44"/>
      <c r="L169" s="44"/>
      <c r="M169" s="44"/>
      <c r="N169" s="44"/>
    </row>
    <row r="170" spans="1:14" x14ac:dyDescent="0.3">
      <c r="A170" s="44"/>
      <c r="B170" s="44"/>
      <c r="C170" s="44"/>
      <c r="D170" s="44"/>
      <c r="E170" s="44"/>
      <c r="F170" s="44"/>
      <c r="G170" s="44"/>
      <c r="H170" s="44"/>
      <c r="I170" s="44"/>
      <c r="J170" s="44"/>
      <c r="K170" s="44"/>
      <c r="L170" s="44"/>
      <c r="M170" s="44"/>
      <c r="N170" s="44"/>
    </row>
    <row r="171" spans="1:14" x14ac:dyDescent="0.3">
      <c r="A171" s="44"/>
      <c r="B171" s="44"/>
      <c r="C171" s="44"/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</row>
  </sheetData>
  <mergeCells count="16">
    <mergeCell ref="A1:I1"/>
    <mergeCell ref="I76:I77"/>
    <mergeCell ref="A76:A77"/>
    <mergeCell ref="B76:G76"/>
    <mergeCell ref="H76:H77"/>
    <mergeCell ref="I36:I37"/>
    <mergeCell ref="A36:A37"/>
    <mergeCell ref="B36:G36"/>
    <mergeCell ref="H36:H37"/>
    <mergeCell ref="H6:I6"/>
    <mergeCell ref="A2:I2"/>
    <mergeCell ref="A7:A8"/>
    <mergeCell ref="B7:G7"/>
    <mergeCell ref="H7:H8"/>
    <mergeCell ref="I7:I8"/>
    <mergeCell ref="A3:I3"/>
  </mergeCells>
  <pageMargins left="0.70866141732283472" right="0.70866141732283472" top="0.94488188976377963" bottom="0.19685039370078741" header="0.27559055118110237" footer="0.15748031496062992"/>
  <pageSetup paperSize="9" scale="99" orientation="portrait" verticalDpi="4294967295" r:id="rId1"/>
  <rowBreaks count="2" manualBreakCount="2">
    <brk id="35" max="8" man="1"/>
    <brk id="75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8"/>
  <sheetViews>
    <sheetView workbookViewId="0">
      <pane ySplit="7" topLeftCell="A71" activePane="bottomLeft" state="frozen"/>
      <selection activeCell="B78" sqref="B78"/>
      <selection pane="bottomLeft" activeCell="B78" sqref="B78"/>
    </sheetView>
  </sheetViews>
  <sheetFormatPr defaultColWidth="9.1796875" defaultRowHeight="14.5" x14ac:dyDescent="0.35"/>
  <cols>
    <col min="1" max="1" width="30.1796875" style="68" customWidth="1"/>
    <col min="2" max="2" width="17.54296875" style="67" customWidth="1"/>
    <col min="3" max="3" width="14.81640625" style="67" customWidth="1"/>
    <col min="4" max="5" width="15.81640625" style="67" customWidth="1"/>
    <col min="6" max="7" width="15.453125" style="67" customWidth="1"/>
    <col min="8" max="8" width="11.453125" style="67" bestFit="1" customWidth="1"/>
    <col min="9" max="16384" width="9.1796875" style="67"/>
  </cols>
  <sheetData>
    <row r="1" spans="1:7" x14ac:dyDescent="0.35">
      <c r="A1" s="214" t="s">
        <v>78</v>
      </c>
      <c r="B1" s="215"/>
      <c r="C1" s="215"/>
      <c r="D1" s="215"/>
      <c r="E1" s="215"/>
      <c r="F1" s="215"/>
      <c r="G1" s="215"/>
    </row>
    <row r="2" spans="1:7" ht="15.5" x14ac:dyDescent="0.35">
      <c r="A2" s="225" t="s">
        <v>428</v>
      </c>
      <c r="B2" s="215"/>
      <c r="C2" s="215"/>
      <c r="D2" s="215"/>
      <c r="E2" s="215"/>
      <c r="F2" s="215"/>
      <c r="G2" s="215"/>
    </row>
    <row r="3" spans="1:7" x14ac:dyDescent="0.35">
      <c r="A3" s="215"/>
      <c r="B3" s="215"/>
      <c r="C3" s="215"/>
      <c r="D3" s="215"/>
      <c r="E3" s="215"/>
      <c r="F3" s="215"/>
      <c r="G3" s="215"/>
    </row>
    <row r="4" spans="1:7" ht="20" x14ac:dyDescent="0.35">
      <c r="A4" s="216" t="s">
        <v>79</v>
      </c>
      <c r="B4" s="216" t="s">
        <v>80</v>
      </c>
      <c r="C4" s="215"/>
      <c r="D4" s="215"/>
      <c r="E4" s="215"/>
      <c r="F4" s="215"/>
      <c r="G4" s="215"/>
    </row>
    <row r="5" spans="1:7" x14ac:dyDescent="0.35">
      <c r="A5" s="215"/>
      <c r="B5" s="215"/>
      <c r="C5" s="215"/>
      <c r="D5" s="215"/>
      <c r="E5" s="215"/>
      <c r="F5" s="215"/>
      <c r="G5" s="215"/>
    </row>
    <row r="6" spans="1:7" s="239" customFormat="1" ht="14.5" customHeight="1" x14ac:dyDescent="0.35">
      <c r="A6" s="468" t="s">
        <v>229</v>
      </c>
      <c r="B6" s="470" t="s">
        <v>230</v>
      </c>
      <c r="C6" s="470"/>
      <c r="D6" s="470" t="s">
        <v>231</v>
      </c>
      <c r="E6" s="470"/>
      <c r="F6" s="470" t="s">
        <v>232</v>
      </c>
      <c r="G6" s="470"/>
    </row>
    <row r="7" spans="1:7" s="239" customFormat="1" x14ac:dyDescent="0.35">
      <c r="A7" s="469"/>
      <c r="B7" s="240" t="s">
        <v>83</v>
      </c>
      <c r="C7" s="240" t="s">
        <v>84</v>
      </c>
      <c r="D7" s="240" t="s">
        <v>83</v>
      </c>
      <c r="E7" s="240" t="s">
        <v>84</v>
      </c>
      <c r="F7" s="240" t="s">
        <v>83</v>
      </c>
      <c r="G7" s="240" t="s">
        <v>84</v>
      </c>
    </row>
    <row r="8" spans="1:7" s="239" customFormat="1" x14ac:dyDescent="0.35">
      <c r="A8" s="245" t="s">
        <v>233</v>
      </c>
      <c r="B8" s="246">
        <v>91397389.079999998</v>
      </c>
      <c r="C8" s="247"/>
      <c r="D8" s="246">
        <v>1394632867.6700001</v>
      </c>
      <c r="E8" s="246">
        <v>1484338568.95</v>
      </c>
      <c r="F8" s="246">
        <v>1691687.8</v>
      </c>
      <c r="G8" s="247"/>
    </row>
    <row r="9" spans="1:7" s="239" customFormat="1" ht="23" x14ac:dyDescent="0.35">
      <c r="A9" s="248" t="s">
        <v>234</v>
      </c>
      <c r="B9" s="249">
        <v>7021669.4500000002</v>
      </c>
      <c r="C9" s="250"/>
      <c r="D9" s="249">
        <v>1085785953.51</v>
      </c>
      <c r="E9" s="249">
        <v>1091345426.6099999</v>
      </c>
      <c r="F9" s="249">
        <v>1462196.35</v>
      </c>
      <c r="G9" s="250"/>
    </row>
    <row r="10" spans="1:7" s="239" customFormat="1" ht="23" x14ac:dyDescent="0.35">
      <c r="A10" s="248" t="s">
        <v>235</v>
      </c>
      <c r="B10" s="249">
        <v>84102065.319999993</v>
      </c>
      <c r="C10" s="250"/>
      <c r="D10" s="249">
        <v>232460137.99000001</v>
      </c>
      <c r="E10" s="249">
        <v>316360000</v>
      </c>
      <c r="F10" s="249">
        <v>202203.31</v>
      </c>
      <c r="G10" s="250"/>
    </row>
    <row r="11" spans="1:7" s="239" customFormat="1" x14ac:dyDescent="0.35">
      <c r="A11" s="248" t="s">
        <v>236</v>
      </c>
      <c r="B11" s="249">
        <v>273654.31</v>
      </c>
      <c r="C11" s="250"/>
      <c r="D11" s="249">
        <v>76386776.170000002</v>
      </c>
      <c r="E11" s="249">
        <v>76633142.340000004</v>
      </c>
      <c r="F11" s="249">
        <v>27288.14</v>
      </c>
      <c r="G11" s="250"/>
    </row>
    <row r="12" spans="1:7" s="239" customFormat="1" ht="26" x14ac:dyDescent="0.35">
      <c r="A12" s="245" t="s">
        <v>237</v>
      </c>
      <c r="B12" s="246">
        <v>246648435</v>
      </c>
      <c r="C12" s="247"/>
      <c r="D12" s="246">
        <v>208218107</v>
      </c>
      <c r="E12" s="246">
        <v>61481080</v>
      </c>
      <c r="F12" s="246">
        <v>393385462</v>
      </c>
      <c r="G12" s="247"/>
    </row>
    <row r="13" spans="1:7" s="239" customFormat="1" ht="23" x14ac:dyDescent="0.35">
      <c r="A13" s="248" t="s">
        <v>238</v>
      </c>
      <c r="B13" s="249">
        <v>246648435</v>
      </c>
      <c r="C13" s="250"/>
      <c r="D13" s="249">
        <v>208218107</v>
      </c>
      <c r="E13" s="249">
        <v>61481080</v>
      </c>
      <c r="F13" s="249">
        <v>393385462</v>
      </c>
      <c r="G13" s="250"/>
    </row>
    <row r="14" spans="1:7" s="239" customFormat="1" ht="34.5" x14ac:dyDescent="0.35">
      <c r="A14" s="251" t="s">
        <v>239</v>
      </c>
      <c r="B14" s="249">
        <v>1592544</v>
      </c>
      <c r="C14" s="250"/>
      <c r="D14" s="249">
        <v>14518107</v>
      </c>
      <c r="E14" s="249">
        <v>14384893</v>
      </c>
      <c r="F14" s="249">
        <v>1725758</v>
      </c>
      <c r="G14" s="250"/>
    </row>
    <row r="15" spans="1:7" s="239" customFormat="1" ht="34.5" x14ac:dyDescent="0.35">
      <c r="A15" s="251" t="s">
        <v>240</v>
      </c>
      <c r="B15" s="249">
        <v>245055891</v>
      </c>
      <c r="C15" s="250"/>
      <c r="D15" s="249">
        <v>193700000</v>
      </c>
      <c r="E15" s="249">
        <v>47096187</v>
      </c>
      <c r="F15" s="249">
        <v>391659704</v>
      </c>
      <c r="G15" s="250"/>
    </row>
    <row r="16" spans="1:7" s="239" customFormat="1" ht="26" x14ac:dyDescent="0.35">
      <c r="A16" s="245" t="s">
        <v>241</v>
      </c>
      <c r="B16" s="252">
        <v>-711517.75</v>
      </c>
      <c r="C16" s="247"/>
      <c r="D16" s="246">
        <v>210605506.27000001</v>
      </c>
      <c r="E16" s="246">
        <v>64409960.520000003</v>
      </c>
      <c r="F16" s="246">
        <v>145484028</v>
      </c>
      <c r="G16" s="247"/>
    </row>
    <row r="17" spans="1:8" s="239" customFormat="1" ht="23" x14ac:dyDescent="0.35">
      <c r="A17" s="248" t="s">
        <v>242</v>
      </c>
      <c r="B17" s="249">
        <v>18572643.57</v>
      </c>
      <c r="C17" s="250"/>
      <c r="D17" s="249">
        <v>52803029.270000003</v>
      </c>
      <c r="E17" s="249">
        <v>42686646.520000003</v>
      </c>
      <c r="F17" s="249">
        <v>28689026.32</v>
      </c>
      <c r="G17" s="250"/>
    </row>
    <row r="18" spans="1:8" s="239" customFormat="1" ht="34.5" x14ac:dyDescent="0.35">
      <c r="A18" s="251" t="s">
        <v>243</v>
      </c>
      <c r="B18" s="249">
        <v>12934289</v>
      </c>
      <c r="C18" s="250"/>
      <c r="D18" s="249">
        <v>22371540</v>
      </c>
      <c r="E18" s="249">
        <v>14554541</v>
      </c>
      <c r="F18" s="249">
        <v>20751288</v>
      </c>
      <c r="G18" s="250"/>
    </row>
    <row r="19" spans="1:8" s="239" customFormat="1" ht="46" x14ac:dyDescent="0.35">
      <c r="A19" s="251" t="s">
        <v>244</v>
      </c>
      <c r="B19" s="249">
        <v>5357409.32</v>
      </c>
      <c r="C19" s="250"/>
      <c r="D19" s="249">
        <v>29668665.260000002</v>
      </c>
      <c r="E19" s="249">
        <v>27119721</v>
      </c>
      <c r="F19" s="249">
        <v>7906353.5800000001</v>
      </c>
      <c r="G19" s="250"/>
    </row>
    <row r="20" spans="1:8" s="239" customFormat="1" ht="34.5" x14ac:dyDescent="0.35">
      <c r="A20" s="251" t="s">
        <v>245</v>
      </c>
      <c r="B20" s="249">
        <v>280945.25</v>
      </c>
      <c r="C20" s="250"/>
      <c r="D20" s="249">
        <v>762824.01</v>
      </c>
      <c r="E20" s="249">
        <v>1012384.52</v>
      </c>
      <c r="F20" s="249">
        <v>31384.74</v>
      </c>
      <c r="G20" s="250"/>
    </row>
    <row r="21" spans="1:8" s="239" customFormat="1" ht="23" x14ac:dyDescent="0.35">
      <c r="A21" s="248" t="s">
        <v>246</v>
      </c>
      <c r="B21" s="249">
        <v>3428703.68</v>
      </c>
      <c r="C21" s="250"/>
      <c r="D21" s="249">
        <v>157802477</v>
      </c>
      <c r="E21" s="249">
        <v>8969242</v>
      </c>
      <c r="F21" s="249">
        <v>152261938.68000001</v>
      </c>
      <c r="G21" s="250"/>
    </row>
    <row r="22" spans="1:8" s="239" customFormat="1" ht="23" x14ac:dyDescent="0.35">
      <c r="A22" s="251" t="s">
        <v>247</v>
      </c>
      <c r="B22" s="250"/>
      <c r="C22" s="250"/>
      <c r="D22" s="249">
        <v>969242</v>
      </c>
      <c r="E22" s="249">
        <v>969242</v>
      </c>
      <c r="F22" s="250"/>
      <c r="G22" s="250"/>
    </row>
    <row r="23" spans="1:8" s="239" customFormat="1" ht="23" x14ac:dyDescent="0.35">
      <c r="A23" s="251" t="s">
        <v>248</v>
      </c>
      <c r="B23" s="249">
        <v>267370.68</v>
      </c>
      <c r="C23" s="250"/>
      <c r="D23" s="250"/>
      <c r="E23" s="250"/>
      <c r="F23" s="249">
        <v>267370.68</v>
      </c>
      <c r="G23" s="250"/>
    </row>
    <row r="24" spans="1:8" s="239" customFormat="1" ht="23" x14ac:dyDescent="0.35">
      <c r="A24" s="251" t="s">
        <v>249</v>
      </c>
      <c r="B24" s="249">
        <v>3161333</v>
      </c>
      <c r="C24" s="250"/>
      <c r="D24" s="249">
        <v>156833235</v>
      </c>
      <c r="E24" s="249">
        <v>8000000</v>
      </c>
      <c r="F24" s="249">
        <v>151994568</v>
      </c>
      <c r="G24" s="250"/>
    </row>
    <row r="25" spans="1:8" s="239" customFormat="1" ht="23" x14ac:dyDescent="0.35">
      <c r="A25" s="248" t="s">
        <v>250</v>
      </c>
      <c r="B25" s="250"/>
      <c r="C25" s="249">
        <v>22712865</v>
      </c>
      <c r="D25" s="250"/>
      <c r="E25" s="249">
        <v>12754072</v>
      </c>
      <c r="F25" s="250"/>
      <c r="G25" s="249">
        <v>35466937</v>
      </c>
    </row>
    <row r="26" spans="1:8" s="239" customFormat="1" ht="46" x14ac:dyDescent="0.35">
      <c r="A26" s="251" t="s">
        <v>251</v>
      </c>
      <c r="B26" s="250"/>
      <c r="C26" s="249">
        <v>22712865</v>
      </c>
      <c r="D26" s="250"/>
      <c r="E26" s="249">
        <v>12754072</v>
      </c>
      <c r="F26" s="250"/>
      <c r="G26" s="249">
        <v>35466937</v>
      </c>
    </row>
    <row r="27" spans="1:8" s="239" customFormat="1" x14ac:dyDescent="0.35">
      <c r="A27" s="245" t="s">
        <v>252</v>
      </c>
      <c r="B27" s="246">
        <v>208726.86</v>
      </c>
      <c r="C27" s="247"/>
      <c r="D27" s="246">
        <v>119045</v>
      </c>
      <c r="E27" s="246">
        <v>144461.09</v>
      </c>
      <c r="F27" s="246">
        <v>183310.77</v>
      </c>
      <c r="G27" s="247"/>
    </row>
    <row r="28" spans="1:8" s="239" customFormat="1" x14ac:dyDescent="0.35">
      <c r="A28" s="248" t="s">
        <v>253</v>
      </c>
      <c r="B28" s="249">
        <v>208726.86</v>
      </c>
      <c r="C28" s="250"/>
      <c r="D28" s="249">
        <v>119045</v>
      </c>
      <c r="E28" s="249">
        <v>144461.09</v>
      </c>
      <c r="F28" s="249">
        <v>183310.77</v>
      </c>
      <c r="G28" s="250"/>
      <c r="H28" s="241"/>
    </row>
    <row r="29" spans="1:8" s="239" customFormat="1" ht="26" x14ac:dyDescent="0.35">
      <c r="A29" s="245" t="s">
        <v>254</v>
      </c>
      <c r="B29" s="246">
        <v>1283891.8799999999</v>
      </c>
      <c r="C29" s="247"/>
      <c r="D29" s="246">
        <v>115423.61</v>
      </c>
      <c r="E29" s="247"/>
      <c r="F29" s="246">
        <v>1399315.49</v>
      </c>
      <c r="G29" s="247"/>
    </row>
    <row r="30" spans="1:8" s="239" customFormat="1" ht="23" x14ac:dyDescent="0.35">
      <c r="A30" s="248" t="s">
        <v>255</v>
      </c>
      <c r="B30" s="249">
        <v>5194.66</v>
      </c>
      <c r="C30" s="250"/>
      <c r="D30" s="249">
        <v>114423.61</v>
      </c>
      <c r="E30" s="250"/>
      <c r="F30" s="249">
        <v>119618.27</v>
      </c>
      <c r="G30" s="250"/>
    </row>
    <row r="31" spans="1:8" s="239" customFormat="1" ht="23" x14ac:dyDescent="0.35">
      <c r="A31" s="248" t="s">
        <v>256</v>
      </c>
      <c r="B31" s="249">
        <v>1278697.22</v>
      </c>
      <c r="C31" s="250"/>
      <c r="D31" s="249">
        <v>1000</v>
      </c>
      <c r="E31" s="250"/>
      <c r="F31" s="249">
        <v>1279697.22</v>
      </c>
      <c r="G31" s="250"/>
      <c r="H31" s="241"/>
    </row>
    <row r="32" spans="1:8" s="239" customFormat="1" ht="26" x14ac:dyDescent="0.35">
      <c r="A32" s="245" t="s">
        <v>257</v>
      </c>
      <c r="B32" s="246">
        <v>3370633.15</v>
      </c>
      <c r="C32" s="247"/>
      <c r="D32" s="246">
        <v>10729093.83</v>
      </c>
      <c r="E32" s="246">
        <v>12722826.630000001</v>
      </c>
      <c r="F32" s="246">
        <v>1376900.35</v>
      </c>
      <c r="G32" s="247"/>
    </row>
    <row r="33" spans="1:7" s="239" customFormat="1" ht="23" x14ac:dyDescent="0.35">
      <c r="A33" s="248" t="s">
        <v>258</v>
      </c>
      <c r="B33" s="249">
        <v>3049935.68</v>
      </c>
      <c r="C33" s="250"/>
      <c r="D33" s="249">
        <v>10587571.050000001</v>
      </c>
      <c r="E33" s="249">
        <v>12609232.83</v>
      </c>
      <c r="F33" s="249">
        <v>1028273.9</v>
      </c>
      <c r="G33" s="250"/>
    </row>
    <row r="34" spans="1:7" s="239" customFormat="1" ht="23" x14ac:dyDescent="0.35">
      <c r="A34" s="248" t="s">
        <v>259</v>
      </c>
      <c r="B34" s="249">
        <v>329938.14</v>
      </c>
      <c r="C34" s="250"/>
      <c r="D34" s="249">
        <v>141522.78</v>
      </c>
      <c r="E34" s="249">
        <v>113593.8</v>
      </c>
      <c r="F34" s="249">
        <v>357867.12</v>
      </c>
      <c r="G34" s="250"/>
    </row>
    <row r="35" spans="1:7" s="239" customFormat="1" ht="46" x14ac:dyDescent="0.35">
      <c r="A35" s="248" t="s">
        <v>260</v>
      </c>
      <c r="B35" s="250"/>
      <c r="C35" s="249">
        <v>9240.67</v>
      </c>
      <c r="D35" s="250"/>
      <c r="E35" s="250"/>
      <c r="F35" s="250"/>
      <c r="G35" s="249">
        <v>9240.67</v>
      </c>
    </row>
    <row r="36" spans="1:7" s="239" customFormat="1" ht="26" x14ac:dyDescent="0.35">
      <c r="A36" s="245" t="s">
        <v>261</v>
      </c>
      <c r="B36" s="246">
        <v>1449481694</v>
      </c>
      <c r="C36" s="247"/>
      <c r="D36" s="246">
        <v>209200000</v>
      </c>
      <c r="E36" s="246">
        <v>68237008</v>
      </c>
      <c r="F36" s="246">
        <v>1590444686</v>
      </c>
      <c r="G36" s="247"/>
    </row>
    <row r="37" spans="1:7" s="239" customFormat="1" ht="23" x14ac:dyDescent="0.35">
      <c r="A37" s="248" t="s">
        <v>262</v>
      </c>
      <c r="B37" s="249">
        <v>1449481694</v>
      </c>
      <c r="C37" s="250"/>
      <c r="D37" s="249">
        <v>209200000</v>
      </c>
      <c r="E37" s="249">
        <v>68237008</v>
      </c>
      <c r="F37" s="249">
        <v>1590444686</v>
      </c>
      <c r="G37" s="250"/>
    </row>
    <row r="38" spans="1:7" s="239" customFormat="1" ht="23" x14ac:dyDescent="0.35">
      <c r="A38" s="251" t="s">
        <v>263</v>
      </c>
      <c r="B38" s="249">
        <v>1449481694</v>
      </c>
      <c r="C38" s="250"/>
      <c r="D38" s="249">
        <v>209200000</v>
      </c>
      <c r="E38" s="249">
        <v>68237008</v>
      </c>
      <c r="F38" s="249">
        <v>1590444686</v>
      </c>
      <c r="G38" s="250"/>
    </row>
    <row r="39" spans="1:7" s="239" customFormat="1" ht="26" x14ac:dyDescent="0.35">
      <c r="A39" s="245" t="s">
        <v>264</v>
      </c>
      <c r="B39" s="246">
        <v>12026727.529999999</v>
      </c>
      <c r="C39" s="247"/>
      <c r="D39" s="246">
        <v>71648648.060000002</v>
      </c>
      <c r="E39" s="246">
        <v>69829376.469999999</v>
      </c>
      <c r="F39" s="246">
        <v>13845999.119999999</v>
      </c>
      <c r="G39" s="247"/>
    </row>
    <row r="40" spans="1:7" s="239" customFormat="1" ht="23" x14ac:dyDescent="0.35">
      <c r="A40" s="248" t="s">
        <v>265</v>
      </c>
      <c r="B40" s="249">
        <v>12026727.529999999</v>
      </c>
      <c r="C40" s="250"/>
      <c r="D40" s="249">
        <v>71648648.060000002</v>
      </c>
      <c r="E40" s="249">
        <v>69829376.469999999</v>
      </c>
      <c r="F40" s="249">
        <v>13845999.119999999</v>
      </c>
      <c r="G40" s="250"/>
    </row>
    <row r="41" spans="1:7" s="239" customFormat="1" ht="23" x14ac:dyDescent="0.35">
      <c r="A41" s="251" t="s">
        <v>266</v>
      </c>
      <c r="B41" s="249">
        <v>12026727.529999999</v>
      </c>
      <c r="C41" s="250"/>
      <c r="D41" s="249">
        <v>71648648.060000002</v>
      </c>
      <c r="E41" s="249">
        <v>69829376.469999999</v>
      </c>
      <c r="F41" s="249">
        <v>13845999.119999999</v>
      </c>
      <c r="G41" s="250"/>
    </row>
    <row r="42" spans="1:7" s="239" customFormat="1" x14ac:dyDescent="0.35">
      <c r="A42" s="245" t="s">
        <v>267</v>
      </c>
      <c r="B42" s="246">
        <v>6220330.0099999998</v>
      </c>
      <c r="C42" s="247"/>
      <c r="D42" s="247"/>
      <c r="E42" s="246">
        <v>232211.82</v>
      </c>
      <c r="F42" s="246">
        <v>5988118.1900000004</v>
      </c>
      <c r="G42" s="247"/>
    </row>
    <row r="43" spans="1:7" s="239" customFormat="1" x14ac:dyDescent="0.35">
      <c r="A43" s="248" t="s">
        <v>268</v>
      </c>
      <c r="B43" s="249">
        <v>8683289</v>
      </c>
      <c r="C43" s="250"/>
      <c r="D43" s="250"/>
      <c r="E43" s="250"/>
      <c r="F43" s="249">
        <v>8683289</v>
      </c>
      <c r="G43" s="250"/>
    </row>
    <row r="44" spans="1:7" s="239" customFormat="1" ht="23" x14ac:dyDescent="0.35">
      <c r="A44" s="248" t="s">
        <v>269</v>
      </c>
      <c r="B44" s="250"/>
      <c r="C44" s="249">
        <v>2462958.9900000002</v>
      </c>
      <c r="D44" s="250"/>
      <c r="E44" s="249">
        <v>232211.82</v>
      </c>
      <c r="F44" s="250"/>
      <c r="G44" s="249">
        <v>2695170.81</v>
      </c>
    </row>
    <row r="45" spans="1:7" s="239" customFormat="1" x14ac:dyDescent="0.35">
      <c r="A45" s="245" t="s">
        <v>270</v>
      </c>
      <c r="B45" s="246">
        <v>77921.990000000005</v>
      </c>
      <c r="C45" s="247"/>
      <c r="D45" s="247"/>
      <c r="E45" s="246">
        <v>10890.93</v>
      </c>
      <c r="F45" s="246">
        <v>67031.06</v>
      </c>
      <c r="G45" s="247"/>
    </row>
    <row r="46" spans="1:7" s="239" customFormat="1" ht="23" x14ac:dyDescent="0.35">
      <c r="A46" s="248" t="s">
        <v>271</v>
      </c>
      <c r="B46" s="249">
        <v>348510</v>
      </c>
      <c r="C46" s="250"/>
      <c r="D46" s="250"/>
      <c r="E46" s="250"/>
      <c r="F46" s="249">
        <v>348510</v>
      </c>
      <c r="G46" s="250"/>
    </row>
    <row r="47" spans="1:7" s="239" customFormat="1" ht="23" x14ac:dyDescent="0.35">
      <c r="A47" s="248" t="s">
        <v>272</v>
      </c>
      <c r="B47" s="250"/>
      <c r="C47" s="249">
        <v>270588.01</v>
      </c>
      <c r="D47" s="250"/>
      <c r="E47" s="249">
        <v>10890.93</v>
      </c>
      <c r="F47" s="250"/>
      <c r="G47" s="249">
        <v>281478.94</v>
      </c>
    </row>
    <row r="48" spans="1:7" s="239" customFormat="1" ht="26" x14ac:dyDescent="0.35">
      <c r="A48" s="245" t="s">
        <v>273</v>
      </c>
      <c r="B48" s="246">
        <v>535150</v>
      </c>
      <c r="C48" s="247"/>
      <c r="D48" s="247"/>
      <c r="E48" s="247"/>
      <c r="F48" s="246">
        <v>535150</v>
      </c>
      <c r="G48" s="247"/>
    </row>
    <row r="49" spans="1:7" s="239" customFormat="1" ht="34.5" x14ac:dyDescent="0.35">
      <c r="A49" s="248" t="s">
        <v>274</v>
      </c>
      <c r="B49" s="249">
        <v>535150</v>
      </c>
      <c r="C49" s="250"/>
      <c r="D49" s="250"/>
      <c r="E49" s="250"/>
      <c r="F49" s="249">
        <v>535150</v>
      </c>
      <c r="G49" s="250"/>
    </row>
    <row r="50" spans="1:7" s="239" customFormat="1" ht="26" x14ac:dyDescent="0.35">
      <c r="A50" s="245" t="s">
        <v>400</v>
      </c>
      <c r="B50" s="246">
        <v>456000</v>
      </c>
      <c r="C50" s="247"/>
      <c r="D50" s="247"/>
      <c r="E50" s="247"/>
      <c r="F50" s="246">
        <v>456000</v>
      </c>
      <c r="G50" s="247"/>
    </row>
    <row r="51" spans="1:7" s="239" customFormat="1" ht="23" x14ac:dyDescent="0.35">
      <c r="A51" s="248" t="s">
        <v>401</v>
      </c>
      <c r="B51" s="249">
        <v>456000</v>
      </c>
      <c r="C51" s="250"/>
      <c r="D51" s="250"/>
      <c r="E51" s="250"/>
      <c r="F51" s="249">
        <v>456000</v>
      </c>
      <c r="G51" s="250"/>
    </row>
    <row r="52" spans="1:7" s="239" customFormat="1" ht="26" x14ac:dyDescent="0.35">
      <c r="A52" s="245" t="s">
        <v>275</v>
      </c>
      <c r="B52" s="247"/>
      <c r="C52" s="247"/>
      <c r="D52" s="247"/>
      <c r="E52" s="246">
        <v>113519710.64</v>
      </c>
      <c r="F52" s="247"/>
      <c r="G52" s="246">
        <v>113519710.64</v>
      </c>
    </row>
    <row r="53" spans="1:7" s="239" customFormat="1" ht="46" x14ac:dyDescent="0.35">
      <c r="A53" s="248" t="s">
        <v>276</v>
      </c>
      <c r="B53" s="250"/>
      <c r="C53" s="250"/>
      <c r="D53" s="250"/>
      <c r="E53" s="249">
        <v>113519710.64</v>
      </c>
      <c r="F53" s="250"/>
      <c r="G53" s="249">
        <v>113519710.64</v>
      </c>
    </row>
    <row r="54" spans="1:7" s="239" customFormat="1" ht="26" x14ac:dyDescent="0.35">
      <c r="A54" s="245" t="s">
        <v>277</v>
      </c>
      <c r="B54" s="247"/>
      <c r="C54" s="246">
        <v>28327551</v>
      </c>
      <c r="D54" s="246">
        <v>1177303</v>
      </c>
      <c r="E54" s="246">
        <v>1569655</v>
      </c>
      <c r="F54" s="247"/>
      <c r="G54" s="246">
        <v>28719903</v>
      </c>
    </row>
    <row r="55" spans="1:7" s="239" customFormat="1" ht="23" x14ac:dyDescent="0.35">
      <c r="A55" s="248" t="s">
        <v>278</v>
      </c>
      <c r="B55" s="250"/>
      <c r="C55" s="249">
        <v>28327551</v>
      </c>
      <c r="D55" s="255"/>
      <c r="E55" s="255"/>
      <c r="F55" s="255"/>
      <c r="G55" s="256">
        <v>28327551</v>
      </c>
    </row>
    <row r="56" spans="1:7" s="239" customFormat="1" ht="23" x14ac:dyDescent="0.35">
      <c r="A56" s="248" t="s">
        <v>279</v>
      </c>
      <c r="B56" s="250"/>
      <c r="C56" s="250"/>
      <c r="D56" s="256">
        <v>635394</v>
      </c>
      <c r="E56" s="256">
        <v>849482</v>
      </c>
      <c r="F56" s="255"/>
      <c r="G56" s="256">
        <v>214088</v>
      </c>
    </row>
    <row r="57" spans="1:7" s="239" customFormat="1" x14ac:dyDescent="0.35">
      <c r="A57" s="248" t="s">
        <v>280</v>
      </c>
      <c r="B57" s="250"/>
      <c r="C57" s="250"/>
      <c r="D57" s="256">
        <v>541909</v>
      </c>
      <c r="E57" s="256">
        <v>720173</v>
      </c>
      <c r="F57" s="255"/>
      <c r="G57" s="256">
        <v>178264</v>
      </c>
    </row>
    <row r="58" spans="1:7" s="239" customFormat="1" ht="39" x14ac:dyDescent="0.35">
      <c r="A58" s="245" t="s">
        <v>281</v>
      </c>
      <c r="B58" s="247"/>
      <c r="C58" s="247"/>
      <c r="D58" s="246">
        <v>1442259</v>
      </c>
      <c r="E58" s="246">
        <v>1750711</v>
      </c>
      <c r="F58" s="247"/>
      <c r="G58" s="246">
        <v>308452</v>
      </c>
    </row>
    <row r="59" spans="1:7" s="239" customFormat="1" ht="23" x14ac:dyDescent="0.35">
      <c r="A59" s="248" t="s">
        <v>282</v>
      </c>
      <c r="B59" s="250"/>
      <c r="C59" s="250"/>
      <c r="D59" s="256">
        <v>643102</v>
      </c>
      <c r="E59" s="256">
        <v>815225</v>
      </c>
      <c r="F59" s="255"/>
      <c r="G59" s="256">
        <v>172123</v>
      </c>
    </row>
    <row r="60" spans="1:7" s="239" customFormat="1" ht="23" x14ac:dyDescent="0.35">
      <c r="A60" s="251" t="s">
        <v>283</v>
      </c>
      <c r="B60" s="250"/>
      <c r="C60" s="250"/>
      <c r="D60" s="256">
        <v>286575</v>
      </c>
      <c r="E60" s="256">
        <v>368528</v>
      </c>
      <c r="F60" s="255"/>
      <c r="G60" s="256">
        <v>81953</v>
      </c>
    </row>
    <row r="61" spans="1:7" s="239" customFormat="1" ht="34.5" x14ac:dyDescent="0.35">
      <c r="A61" s="251" t="s">
        <v>284</v>
      </c>
      <c r="B61" s="250"/>
      <c r="C61" s="250"/>
      <c r="D61" s="256">
        <v>144811</v>
      </c>
      <c r="E61" s="256">
        <v>180679</v>
      </c>
      <c r="F61" s="255"/>
      <c r="G61" s="256">
        <v>35868</v>
      </c>
    </row>
    <row r="62" spans="1:7" s="239" customFormat="1" ht="34.5" x14ac:dyDescent="0.35">
      <c r="A62" s="251" t="s">
        <v>285</v>
      </c>
      <c r="B62" s="250"/>
      <c r="C62" s="250"/>
      <c r="D62" s="256">
        <v>211716</v>
      </c>
      <c r="E62" s="256">
        <v>266018</v>
      </c>
      <c r="F62" s="255"/>
      <c r="G62" s="256">
        <v>54302</v>
      </c>
    </row>
    <row r="63" spans="1:7" s="239" customFormat="1" ht="23" x14ac:dyDescent="0.35">
      <c r="A63" s="248" t="s">
        <v>286</v>
      </c>
      <c r="B63" s="250"/>
      <c r="C63" s="250"/>
      <c r="D63" s="256">
        <v>655143</v>
      </c>
      <c r="E63" s="256">
        <v>748387</v>
      </c>
      <c r="F63" s="255"/>
      <c r="G63" s="256">
        <v>93244</v>
      </c>
    </row>
    <row r="64" spans="1:7" s="239" customFormat="1" ht="34.5" x14ac:dyDescent="0.35">
      <c r="A64" s="248" t="s">
        <v>413</v>
      </c>
      <c r="B64" s="250"/>
      <c r="C64" s="250"/>
      <c r="D64" s="256">
        <v>144014</v>
      </c>
      <c r="E64" s="256">
        <v>187099</v>
      </c>
      <c r="F64" s="255"/>
      <c r="G64" s="256">
        <v>43085</v>
      </c>
    </row>
    <row r="65" spans="1:7" s="239" customFormat="1" ht="26" x14ac:dyDescent="0.35">
      <c r="A65" s="245" t="s">
        <v>287</v>
      </c>
      <c r="B65" s="247"/>
      <c r="C65" s="246">
        <v>594916.4</v>
      </c>
      <c r="D65" s="246">
        <v>25345945.16</v>
      </c>
      <c r="E65" s="246">
        <v>27111842.809999999</v>
      </c>
      <c r="F65" s="247"/>
      <c r="G65" s="246">
        <v>2360814.0499999998</v>
      </c>
    </row>
    <row r="66" spans="1:7" s="239" customFormat="1" ht="34.5" x14ac:dyDescent="0.35">
      <c r="A66" s="248" t="s">
        <v>288</v>
      </c>
      <c r="B66" s="250"/>
      <c r="C66" s="249">
        <v>414685.98</v>
      </c>
      <c r="D66" s="256">
        <v>13017293.140000001</v>
      </c>
      <c r="E66" s="256">
        <v>12722005.640000001</v>
      </c>
      <c r="F66" s="255"/>
      <c r="G66" s="256">
        <v>119398.48</v>
      </c>
    </row>
    <row r="67" spans="1:7" s="239" customFormat="1" ht="23" x14ac:dyDescent="0.35">
      <c r="A67" s="248" t="s">
        <v>289</v>
      </c>
      <c r="B67" s="250"/>
      <c r="C67" s="250"/>
      <c r="D67" s="256">
        <v>10150536</v>
      </c>
      <c r="E67" s="256">
        <v>10150536</v>
      </c>
      <c r="F67" s="255"/>
      <c r="G67" s="255"/>
    </row>
    <row r="68" spans="1:7" s="239" customFormat="1" ht="23" x14ac:dyDescent="0.35">
      <c r="A68" s="248" t="s">
        <v>290</v>
      </c>
      <c r="B68" s="250"/>
      <c r="C68" s="250"/>
      <c r="D68" s="256">
        <v>1882226.02</v>
      </c>
      <c r="E68" s="256">
        <v>3943411.17</v>
      </c>
      <c r="F68" s="255"/>
      <c r="G68" s="256">
        <v>2061185.15</v>
      </c>
    </row>
    <row r="69" spans="1:7" s="239" customFormat="1" ht="23" x14ac:dyDescent="0.35">
      <c r="A69" s="248" t="s">
        <v>291</v>
      </c>
      <c r="B69" s="250"/>
      <c r="C69" s="249">
        <v>180230.42</v>
      </c>
      <c r="D69" s="256">
        <v>295890</v>
      </c>
      <c r="E69" s="256">
        <v>295890</v>
      </c>
      <c r="F69" s="255"/>
      <c r="G69" s="256">
        <v>180230.42</v>
      </c>
    </row>
    <row r="70" spans="1:7" s="239" customFormat="1" ht="34.5" x14ac:dyDescent="0.35">
      <c r="A70" s="251" t="s">
        <v>292</v>
      </c>
      <c r="B70" s="250"/>
      <c r="C70" s="249">
        <v>165230.42000000001</v>
      </c>
      <c r="D70" s="255"/>
      <c r="E70" s="255"/>
      <c r="F70" s="255"/>
      <c r="G70" s="256">
        <v>165230.42000000001</v>
      </c>
    </row>
    <row r="71" spans="1:7" s="239" customFormat="1" ht="23" x14ac:dyDescent="0.35">
      <c r="A71" s="251" t="s">
        <v>402</v>
      </c>
      <c r="B71" s="250"/>
      <c r="C71" s="249">
        <v>15000</v>
      </c>
      <c r="D71" s="255"/>
      <c r="E71" s="255"/>
      <c r="F71" s="255"/>
      <c r="G71" s="256">
        <v>15000</v>
      </c>
    </row>
    <row r="72" spans="1:7" s="239" customFormat="1" ht="23" x14ac:dyDescent="0.35">
      <c r="A72" s="251" t="s">
        <v>293</v>
      </c>
      <c r="B72" s="250"/>
      <c r="C72" s="250"/>
      <c r="D72" s="256">
        <v>295890</v>
      </c>
      <c r="E72" s="256">
        <v>295890</v>
      </c>
      <c r="F72" s="255"/>
      <c r="G72" s="255"/>
    </row>
    <row r="73" spans="1:7" s="239" customFormat="1" ht="26" x14ac:dyDescent="0.35">
      <c r="A73" s="245" t="s">
        <v>294</v>
      </c>
      <c r="B73" s="247"/>
      <c r="C73" s="246">
        <v>4312070</v>
      </c>
      <c r="D73" s="247"/>
      <c r="E73" s="247"/>
      <c r="F73" s="247"/>
      <c r="G73" s="246">
        <v>4312070</v>
      </c>
    </row>
    <row r="74" spans="1:7" s="239" customFormat="1" ht="34.5" x14ac:dyDescent="0.35">
      <c r="A74" s="248" t="s">
        <v>295</v>
      </c>
      <c r="B74" s="250"/>
      <c r="C74" s="249">
        <v>4312070</v>
      </c>
      <c r="D74" s="255"/>
      <c r="E74" s="255"/>
      <c r="F74" s="255"/>
      <c r="G74" s="256">
        <v>4312070</v>
      </c>
    </row>
    <row r="75" spans="1:7" s="239" customFormat="1" ht="26" x14ac:dyDescent="0.35">
      <c r="A75" s="245" t="s">
        <v>296</v>
      </c>
      <c r="B75" s="247"/>
      <c r="C75" s="246">
        <v>24558505</v>
      </c>
      <c r="D75" s="246">
        <v>245280685.47</v>
      </c>
      <c r="E75" s="246">
        <v>241950935.47</v>
      </c>
      <c r="F75" s="247"/>
      <c r="G75" s="246">
        <v>21228755</v>
      </c>
    </row>
    <row r="76" spans="1:7" s="239" customFormat="1" ht="23" x14ac:dyDescent="0.35">
      <c r="A76" s="248" t="s">
        <v>297</v>
      </c>
      <c r="B76" s="250"/>
      <c r="C76" s="249">
        <v>24558505</v>
      </c>
      <c r="D76" s="256">
        <v>245280685.47</v>
      </c>
      <c r="E76" s="256">
        <v>241950935.47</v>
      </c>
      <c r="F76" s="255"/>
      <c r="G76" s="256">
        <v>21228755</v>
      </c>
    </row>
    <row r="77" spans="1:7" s="239" customFormat="1" ht="26" x14ac:dyDescent="0.35">
      <c r="A77" s="245" t="s">
        <v>298</v>
      </c>
      <c r="B77" s="247"/>
      <c r="C77" s="246">
        <v>1126918000</v>
      </c>
      <c r="D77" s="246">
        <v>85419662.099999994</v>
      </c>
      <c r="E77" s="246">
        <v>429367732.01999998</v>
      </c>
      <c r="F77" s="247"/>
      <c r="G77" s="246">
        <v>1470866069.9200001</v>
      </c>
    </row>
    <row r="78" spans="1:7" s="239" customFormat="1" ht="34.5" x14ac:dyDescent="0.35">
      <c r="A78" s="248" t="s">
        <v>299</v>
      </c>
      <c r="B78" s="250"/>
      <c r="C78" s="250"/>
      <c r="D78" s="256">
        <v>82874930.079999998</v>
      </c>
      <c r="E78" s="256">
        <v>353000000</v>
      </c>
      <c r="F78" s="255"/>
      <c r="G78" s="256">
        <v>270125069.92000002</v>
      </c>
    </row>
    <row r="79" spans="1:7" s="239" customFormat="1" ht="23" x14ac:dyDescent="0.35">
      <c r="A79" s="248" t="s">
        <v>300</v>
      </c>
      <c r="B79" s="250"/>
      <c r="C79" s="249">
        <v>1126918000</v>
      </c>
      <c r="D79" s="256">
        <v>2544732.02</v>
      </c>
      <c r="E79" s="256">
        <v>76367732.019999996</v>
      </c>
      <c r="F79" s="255"/>
      <c r="G79" s="256">
        <v>1200741000</v>
      </c>
    </row>
    <row r="80" spans="1:7" s="239" customFormat="1" ht="26" x14ac:dyDescent="0.35">
      <c r="A80" s="245" t="s">
        <v>301</v>
      </c>
      <c r="B80" s="247"/>
      <c r="C80" s="246">
        <v>18406327.329999998</v>
      </c>
      <c r="D80" s="246">
        <v>126515840</v>
      </c>
      <c r="E80" s="246">
        <v>143331248.66999999</v>
      </c>
      <c r="F80" s="247"/>
      <c r="G80" s="246">
        <v>35221736</v>
      </c>
    </row>
    <row r="81" spans="1:7" s="239" customFormat="1" ht="23" x14ac:dyDescent="0.35">
      <c r="A81" s="248" t="s">
        <v>302</v>
      </c>
      <c r="B81" s="250"/>
      <c r="C81" s="249">
        <v>18406327.329999998</v>
      </c>
      <c r="D81" s="256">
        <v>126515840</v>
      </c>
      <c r="E81" s="256">
        <v>143331248.66999999</v>
      </c>
      <c r="F81" s="255"/>
      <c r="G81" s="256">
        <v>35221736</v>
      </c>
    </row>
    <row r="82" spans="1:7" s="239" customFormat="1" x14ac:dyDescent="0.35">
      <c r="A82" s="245" t="s">
        <v>303</v>
      </c>
      <c r="B82" s="247"/>
      <c r="C82" s="246">
        <v>200000000</v>
      </c>
      <c r="D82" s="247"/>
      <c r="E82" s="247"/>
      <c r="F82" s="247"/>
      <c r="G82" s="246">
        <v>200000000</v>
      </c>
    </row>
    <row r="83" spans="1:7" s="239" customFormat="1" x14ac:dyDescent="0.35">
      <c r="A83" s="248" t="s">
        <v>304</v>
      </c>
      <c r="B83" s="250"/>
      <c r="C83" s="249">
        <v>200000000</v>
      </c>
      <c r="D83" s="255"/>
      <c r="E83" s="255"/>
      <c r="F83" s="255"/>
      <c r="G83" s="256">
        <v>200000000</v>
      </c>
    </row>
    <row r="84" spans="1:7" s="239" customFormat="1" ht="26" x14ac:dyDescent="0.35">
      <c r="A84" s="245" t="s">
        <v>305</v>
      </c>
      <c r="B84" s="247"/>
      <c r="C84" s="246">
        <v>407878012.01999998</v>
      </c>
      <c r="D84" s="246">
        <v>227039421.28</v>
      </c>
      <c r="E84" s="246">
        <v>97481587.430000007</v>
      </c>
      <c r="F84" s="247"/>
      <c r="G84" s="246">
        <v>278320178.17000002</v>
      </c>
    </row>
    <row r="85" spans="1:7" s="239" customFormat="1" ht="34.5" x14ac:dyDescent="0.35">
      <c r="A85" s="248" t="s">
        <v>306</v>
      </c>
      <c r="B85" s="250"/>
      <c r="C85" s="249">
        <v>113519710.64</v>
      </c>
      <c r="D85" s="256">
        <v>113519710.64</v>
      </c>
      <c r="E85" s="257">
        <v>-16038123.210000001</v>
      </c>
      <c r="F85" s="255"/>
      <c r="G85" s="257">
        <v>-16038123.210000001</v>
      </c>
    </row>
    <row r="86" spans="1:7" s="239" customFormat="1" ht="34.5" x14ac:dyDescent="0.35">
      <c r="A86" s="248" t="s">
        <v>307</v>
      </c>
      <c r="B86" s="250"/>
      <c r="C86" s="249">
        <v>294358301.38</v>
      </c>
      <c r="D86" s="256">
        <v>113519710.64</v>
      </c>
      <c r="E86" s="256">
        <v>113519710.64</v>
      </c>
      <c r="F86" s="255"/>
      <c r="G86" s="256">
        <v>294358301.38</v>
      </c>
    </row>
    <row r="87" spans="1:7" s="239" customFormat="1" ht="26" x14ac:dyDescent="0.35">
      <c r="A87" s="245" t="s">
        <v>308</v>
      </c>
      <c r="B87" s="247"/>
      <c r="C87" s="247"/>
      <c r="D87" s="246">
        <v>105594111.34999999</v>
      </c>
      <c r="E87" s="246">
        <v>105594111.34999999</v>
      </c>
      <c r="F87" s="247"/>
      <c r="G87" s="247"/>
    </row>
    <row r="88" spans="1:7" s="239" customFormat="1" ht="23" x14ac:dyDescent="0.35">
      <c r="A88" s="248" t="s">
        <v>309</v>
      </c>
      <c r="B88" s="250"/>
      <c r="C88" s="250"/>
      <c r="D88" s="249">
        <v>105594111.34999999</v>
      </c>
      <c r="E88" s="249">
        <v>105594111.34999999</v>
      </c>
      <c r="F88" s="250"/>
      <c r="G88" s="250"/>
    </row>
    <row r="89" spans="1:7" s="239" customFormat="1" ht="26" x14ac:dyDescent="0.35">
      <c r="A89" s="245" t="s">
        <v>310</v>
      </c>
      <c r="B89" s="247"/>
      <c r="C89" s="247"/>
      <c r="D89" s="246">
        <v>104624869.34999999</v>
      </c>
      <c r="E89" s="246">
        <v>104624869.34999999</v>
      </c>
      <c r="F89" s="247"/>
      <c r="G89" s="247"/>
    </row>
    <row r="90" spans="1:7" s="239" customFormat="1" ht="23" x14ac:dyDescent="0.35">
      <c r="A90" s="248" t="s">
        <v>311</v>
      </c>
      <c r="B90" s="250"/>
      <c r="C90" s="250"/>
      <c r="D90" s="249">
        <v>101317313.31999999</v>
      </c>
      <c r="E90" s="249">
        <v>101317313.31999999</v>
      </c>
      <c r="F90" s="250"/>
      <c r="G90" s="250"/>
    </row>
    <row r="91" spans="1:7" s="239" customFormat="1" ht="34.5" x14ac:dyDescent="0.35">
      <c r="A91" s="251" t="s">
        <v>312</v>
      </c>
      <c r="B91" s="250"/>
      <c r="C91" s="250"/>
      <c r="D91" s="249">
        <v>101317313.31999999</v>
      </c>
      <c r="E91" s="249">
        <v>101317313.31999999</v>
      </c>
      <c r="F91" s="250"/>
      <c r="G91" s="250"/>
    </row>
    <row r="92" spans="1:7" s="239" customFormat="1" ht="34.5" x14ac:dyDescent="0.35">
      <c r="A92" s="248" t="s">
        <v>313</v>
      </c>
      <c r="B92" s="250"/>
      <c r="C92" s="250"/>
      <c r="D92" s="249">
        <v>762824.01</v>
      </c>
      <c r="E92" s="249">
        <v>762824.01</v>
      </c>
      <c r="F92" s="250"/>
      <c r="G92" s="250"/>
    </row>
    <row r="93" spans="1:7" s="239" customFormat="1" ht="23" x14ac:dyDescent="0.35">
      <c r="A93" s="248" t="s">
        <v>314</v>
      </c>
      <c r="B93" s="250"/>
      <c r="C93" s="250"/>
      <c r="D93" s="249">
        <v>2544732.02</v>
      </c>
      <c r="E93" s="249">
        <v>2544732.02</v>
      </c>
      <c r="F93" s="250"/>
      <c r="G93" s="250"/>
    </row>
    <row r="94" spans="1:7" s="239" customFormat="1" x14ac:dyDescent="0.35">
      <c r="A94" s="245" t="s">
        <v>315</v>
      </c>
      <c r="B94" s="247"/>
      <c r="C94" s="247"/>
      <c r="D94" s="246">
        <v>969242</v>
      </c>
      <c r="E94" s="246">
        <v>969242</v>
      </c>
      <c r="F94" s="247"/>
      <c r="G94" s="247"/>
    </row>
    <row r="95" spans="1:7" s="239" customFormat="1" x14ac:dyDescent="0.35">
      <c r="A95" s="245"/>
      <c r="B95" s="247"/>
      <c r="C95" s="247"/>
      <c r="D95" s="246"/>
      <c r="E95" s="246"/>
      <c r="F95" s="247"/>
      <c r="G95" s="247"/>
    </row>
    <row r="96" spans="1:7" s="239" customFormat="1" x14ac:dyDescent="0.35">
      <c r="A96" s="248" t="s">
        <v>316</v>
      </c>
      <c r="B96" s="250"/>
      <c r="C96" s="250"/>
      <c r="D96" s="249">
        <v>969242</v>
      </c>
      <c r="E96" s="249">
        <v>969242</v>
      </c>
      <c r="F96" s="250"/>
      <c r="G96" s="250"/>
    </row>
    <row r="97" spans="1:7" s="239" customFormat="1" ht="23" x14ac:dyDescent="0.35">
      <c r="A97" s="251" t="s">
        <v>317</v>
      </c>
      <c r="B97" s="250"/>
      <c r="C97" s="250"/>
      <c r="D97" s="249">
        <v>969242</v>
      </c>
      <c r="E97" s="249">
        <v>969242</v>
      </c>
      <c r="F97" s="250"/>
      <c r="G97" s="250"/>
    </row>
    <row r="98" spans="1:7" s="239" customFormat="1" ht="26" x14ac:dyDescent="0.35">
      <c r="A98" s="245" t="s">
        <v>318</v>
      </c>
      <c r="B98" s="247"/>
      <c r="C98" s="247"/>
      <c r="D98" s="246">
        <v>8795653.5800000001</v>
      </c>
      <c r="E98" s="246">
        <v>8795653.5800000001</v>
      </c>
      <c r="F98" s="247"/>
      <c r="G98" s="247"/>
    </row>
    <row r="99" spans="1:7" s="239" customFormat="1" ht="23" x14ac:dyDescent="0.35">
      <c r="A99" s="248" t="s">
        <v>319</v>
      </c>
      <c r="B99" s="250"/>
      <c r="C99" s="250"/>
      <c r="D99" s="256">
        <v>8795653.5800000001</v>
      </c>
      <c r="E99" s="256">
        <v>8795653.5800000001</v>
      </c>
      <c r="F99" s="250"/>
      <c r="G99" s="250"/>
    </row>
    <row r="100" spans="1:7" s="239" customFormat="1" ht="26" x14ac:dyDescent="0.35">
      <c r="A100" s="245" t="s">
        <v>320</v>
      </c>
      <c r="B100" s="247"/>
      <c r="C100" s="247"/>
      <c r="D100" s="246">
        <v>16065769.140000001</v>
      </c>
      <c r="E100" s="246">
        <v>16065769.140000001</v>
      </c>
      <c r="F100" s="247"/>
      <c r="G100" s="247"/>
    </row>
    <row r="101" spans="1:7" s="239" customFormat="1" x14ac:dyDescent="0.35">
      <c r="A101" s="248" t="s">
        <v>321</v>
      </c>
      <c r="B101" s="250"/>
      <c r="C101" s="250"/>
      <c r="D101" s="256">
        <v>15887532.140000001</v>
      </c>
      <c r="E101" s="256">
        <v>15887532.140000001</v>
      </c>
      <c r="F101" s="250"/>
      <c r="G101" s="250"/>
    </row>
    <row r="102" spans="1:7" s="239" customFormat="1" ht="23" x14ac:dyDescent="0.35">
      <c r="A102" s="248" t="s">
        <v>322</v>
      </c>
      <c r="B102" s="250"/>
      <c r="C102" s="250"/>
      <c r="D102" s="256">
        <v>178237</v>
      </c>
      <c r="E102" s="256">
        <v>178237</v>
      </c>
      <c r="F102" s="250"/>
      <c r="G102" s="250"/>
    </row>
    <row r="103" spans="1:7" s="239" customFormat="1" ht="26" x14ac:dyDescent="0.35">
      <c r="A103" s="245" t="s">
        <v>323</v>
      </c>
      <c r="B103" s="247"/>
      <c r="C103" s="247"/>
      <c r="D103" s="246">
        <v>84016739.840000004</v>
      </c>
      <c r="E103" s="246">
        <v>84016739.840000004</v>
      </c>
      <c r="F103" s="247"/>
      <c r="G103" s="247"/>
    </row>
    <row r="104" spans="1:7" s="239" customFormat="1" ht="23" x14ac:dyDescent="0.35">
      <c r="A104" s="248" t="s">
        <v>324</v>
      </c>
      <c r="B104" s="250"/>
      <c r="C104" s="250"/>
      <c r="D104" s="256">
        <v>84016739.840000004</v>
      </c>
      <c r="E104" s="256">
        <v>84016739.840000004</v>
      </c>
      <c r="F104" s="250"/>
      <c r="G104" s="250"/>
    </row>
    <row r="105" spans="1:7" s="239" customFormat="1" x14ac:dyDescent="0.35">
      <c r="A105" s="245" t="s">
        <v>325</v>
      </c>
      <c r="B105" s="247"/>
      <c r="C105" s="247"/>
      <c r="D105" s="246">
        <v>12754072</v>
      </c>
      <c r="E105" s="246">
        <v>12754072</v>
      </c>
      <c r="F105" s="247"/>
      <c r="G105" s="247"/>
    </row>
    <row r="106" spans="1:7" s="239" customFormat="1" ht="23" x14ac:dyDescent="0.35">
      <c r="A106" s="248" t="s">
        <v>326</v>
      </c>
      <c r="B106" s="250"/>
      <c r="C106" s="250"/>
      <c r="D106" s="256">
        <v>12754072</v>
      </c>
      <c r="E106" s="256">
        <v>12754072</v>
      </c>
      <c r="F106" s="250"/>
      <c r="G106" s="250"/>
    </row>
    <row r="107" spans="1:7" s="239" customFormat="1" ht="46" x14ac:dyDescent="0.35">
      <c r="A107" s="251" t="s">
        <v>327</v>
      </c>
      <c r="B107" s="250"/>
      <c r="C107" s="250"/>
      <c r="D107" s="256">
        <v>12754072</v>
      </c>
      <c r="E107" s="256">
        <v>12754072</v>
      </c>
      <c r="F107" s="250"/>
      <c r="G107" s="250"/>
    </row>
    <row r="108" spans="1:7" x14ac:dyDescent="0.35">
      <c r="A108" s="253" t="s">
        <v>328</v>
      </c>
      <c r="B108" s="254">
        <v>1810995381.7500002</v>
      </c>
      <c r="C108" s="254">
        <v>1810995381.7500002</v>
      </c>
      <c r="D108" s="258">
        <v>3150310264.71</v>
      </c>
      <c r="E108" s="258">
        <v>3150310264.71</v>
      </c>
      <c r="F108" s="258">
        <v>2154857688.7800002</v>
      </c>
      <c r="G108" s="258">
        <v>2154857688.7800002</v>
      </c>
    </row>
    <row r="109" spans="1:7" x14ac:dyDescent="0.35">
      <c r="A109" s="224"/>
      <c r="B109" s="224"/>
      <c r="C109" s="224"/>
      <c r="D109" s="224"/>
      <c r="E109" s="224"/>
      <c r="F109" s="224"/>
      <c r="G109" s="224"/>
    </row>
    <row r="110" spans="1:7" x14ac:dyDescent="0.35">
      <c r="A110" s="224"/>
      <c r="B110" s="224"/>
      <c r="C110" s="224"/>
      <c r="D110" s="224"/>
      <c r="E110" s="224"/>
      <c r="F110" s="224"/>
      <c r="G110" s="224"/>
    </row>
    <row r="111" spans="1:7" x14ac:dyDescent="0.35">
      <c r="A111" s="224"/>
      <c r="B111" s="224"/>
      <c r="C111" s="224"/>
      <c r="D111" s="224"/>
      <c r="E111" s="224"/>
      <c r="F111" s="224"/>
      <c r="G111" s="224"/>
    </row>
    <row r="112" spans="1:7" x14ac:dyDescent="0.35">
      <c r="A112" s="224"/>
      <c r="B112" s="224"/>
      <c r="C112" s="224"/>
      <c r="D112" s="224"/>
      <c r="E112" s="224"/>
      <c r="F112" s="224"/>
      <c r="G112" s="224"/>
    </row>
    <row r="113" spans="1:7" x14ac:dyDescent="0.35">
      <c r="A113" s="224"/>
      <c r="B113" s="224"/>
      <c r="C113" s="224"/>
      <c r="D113" s="224"/>
      <c r="E113" s="224"/>
      <c r="F113" s="224"/>
      <c r="G113" s="224"/>
    </row>
    <row r="114" spans="1:7" x14ac:dyDescent="0.35">
      <c r="A114" s="224"/>
      <c r="B114" s="224"/>
      <c r="C114" s="224"/>
      <c r="D114" s="224"/>
      <c r="E114" s="224"/>
      <c r="F114" s="224"/>
      <c r="G114" s="224"/>
    </row>
    <row r="115" spans="1:7" x14ac:dyDescent="0.35">
      <c r="A115" s="224"/>
      <c r="B115" s="224"/>
      <c r="C115" s="224"/>
      <c r="D115" s="224"/>
      <c r="E115" s="224"/>
      <c r="F115" s="224"/>
      <c r="G115" s="224"/>
    </row>
    <row r="116" spans="1:7" x14ac:dyDescent="0.35">
      <c r="A116" s="224"/>
      <c r="B116" s="224"/>
      <c r="C116" s="224"/>
      <c r="D116" s="224"/>
      <c r="E116" s="224"/>
      <c r="F116" s="224"/>
      <c r="G116" s="224"/>
    </row>
    <row r="117" spans="1:7" x14ac:dyDescent="0.35">
      <c r="A117" s="224"/>
      <c r="B117" s="224"/>
      <c r="C117" s="224"/>
      <c r="D117" s="224"/>
      <c r="E117" s="224"/>
      <c r="F117" s="224"/>
      <c r="G117" s="224"/>
    </row>
    <row r="118" spans="1:7" x14ac:dyDescent="0.35">
      <c r="A118" s="224"/>
      <c r="B118" s="224"/>
      <c r="C118" s="224"/>
      <c r="D118" s="224"/>
      <c r="E118" s="224"/>
      <c r="F118" s="224"/>
      <c r="G118" s="224"/>
    </row>
    <row r="119" spans="1:7" x14ac:dyDescent="0.35">
      <c r="A119" s="224"/>
      <c r="B119" s="224"/>
      <c r="C119" s="224"/>
      <c r="D119" s="224"/>
      <c r="E119" s="224"/>
      <c r="F119" s="224"/>
      <c r="G119" s="224"/>
    </row>
    <row r="120" spans="1:7" x14ac:dyDescent="0.35">
      <c r="A120" s="224"/>
      <c r="B120" s="224"/>
      <c r="C120" s="224"/>
      <c r="D120" s="224"/>
      <c r="E120" s="224"/>
      <c r="F120" s="224"/>
      <c r="G120" s="224"/>
    </row>
    <row r="121" spans="1:7" x14ac:dyDescent="0.35">
      <c r="A121" s="224"/>
      <c r="B121" s="224"/>
      <c r="C121" s="224"/>
      <c r="D121" s="224"/>
      <c r="E121" s="224"/>
      <c r="F121" s="224"/>
      <c r="G121" s="224"/>
    </row>
    <row r="122" spans="1:7" x14ac:dyDescent="0.35">
      <c r="A122" s="224"/>
      <c r="B122" s="224"/>
      <c r="C122" s="224"/>
      <c r="D122" s="224"/>
      <c r="E122" s="224"/>
      <c r="F122" s="224"/>
      <c r="G122" s="224"/>
    </row>
    <row r="123" spans="1:7" x14ac:dyDescent="0.35">
      <c r="A123" s="224"/>
      <c r="B123" s="224"/>
      <c r="C123" s="224"/>
      <c r="D123" s="224"/>
      <c r="E123" s="224"/>
      <c r="F123" s="224"/>
      <c r="G123" s="224"/>
    </row>
    <row r="124" spans="1:7" x14ac:dyDescent="0.35">
      <c r="A124" s="224"/>
      <c r="B124" s="224"/>
      <c r="C124" s="224"/>
      <c r="D124" s="224"/>
      <c r="E124" s="224"/>
      <c r="F124" s="224"/>
      <c r="G124" s="224"/>
    </row>
    <row r="125" spans="1:7" x14ac:dyDescent="0.35">
      <c r="A125" s="224"/>
      <c r="B125" s="224"/>
      <c r="C125" s="224"/>
      <c r="D125" s="224"/>
      <c r="E125" s="224"/>
      <c r="F125" s="224"/>
      <c r="G125" s="224"/>
    </row>
    <row r="126" spans="1:7" x14ac:dyDescent="0.35">
      <c r="A126" s="224"/>
      <c r="B126" s="224"/>
      <c r="C126" s="224"/>
      <c r="D126" s="224"/>
      <c r="E126" s="224"/>
      <c r="F126" s="224"/>
      <c r="G126" s="224"/>
    </row>
    <row r="127" spans="1:7" x14ac:dyDescent="0.35">
      <c r="A127" s="224"/>
      <c r="B127" s="224"/>
      <c r="C127" s="224"/>
      <c r="D127" s="224"/>
      <c r="E127" s="224"/>
      <c r="F127" s="224"/>
      <c r="G127" s="224"/>
    </row>
    <row r="128" spans="1:7" x14ac:dyDescent="0.35">
      <c r="A128" s="224"/>
      <c r="B128" s="224"/>
      <c r="C128" s="224"/>
      <c r="D128" s="224"/>
      <c r="E128" s="224"/>
      <c r="F128" s="224"/>
      <c r="G128" s="224"/>
    </row>
  </sheetData>
  <mergeCells count="4">
    <mergeCell ref="A6:A7"/>
    <mergeCell ref="B6:C6"/>
    <mergeCell ref="D6:E6"/>
    <mergeCell ref="F6:G6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78"/>
  <sheetViews>
    <sheetView topLeftCell="B70" workbookViewId="0">
      <selection activeCell="B78" sqref="B78"/>
    </sheetView>
  </sheetViews>
  <sheetFormatPr defaultRowHeight="14.5" x14ac:dyDescent="0.35"/>
  <cols>
    <col min="1" max="1" width="46.08984375" style="150" customWidth="1"/>
    <col min="2" max="3" width="18.90625" style="150" customWidth="1"/>
    <col min="4" max="4" width="15.7265625" style="150" customWidth="1"/>
    <col min="5" max="5" width="25.36328125" style="150" customWidth="1"/>
    <col min="6" max="6" width="16.08984375" style="150" customWidth="1"/>
    <col min="7" max="7" width="38.81640625" style="150" customWidth="1"/>
    <col min="8" max="8" width="16" style="150" customWidth="1"/>
    <col min="9" max="9" width="21.7265625" style="150" customWidth="1"/>
    <col min="10" max="10" width="20" style="150" customWidth="1"/>
    <col min="11" max="11" width="21.08984375" style="150" customWidth="1"/>
    <col min="12" max="12" width="23.08984375" style="150" customWidth="1"/>
    <col min="13" max="16384" width="8.7265625" style="150"/>
  </cols>
  <sheetData>
    <row r="1" spans="1:11" x14ac:dyDescent="0.35">
      <c r="E1" s="325" t="s">
        <v>470</v>
      </c>
      <c r="F1"/>
      <c r="G1" s="67"/>
      <c r="H1"/>
    </row>
    <row r="2" spans="1:11" ht="28" x14ac:dyDescent="0.35">
      <c r="A2" s="149" t="s">
        <v>169</v>
      </c>
      <c r="B2" s="294" t="s">
        <v>437</v>
      </c>
      <c r="C2" s="294" t="s">
        <v>436</v>
      </c>
      <c r="E2" s="327"/>
      <c r="F2" s="141" t="s">
        <v>437</v>
      </c>
      <c r="G2" s="342" t="s">
        <v>436</v>
      </c>
      <c r="I2" s="165"/>
      <c r="J2" s="141" t="s">
        <v>437</v>
      </c>
      <c r="K2" s="141" t="s">
        <v>436</v>
      </c>
    </row>
    <row r="3" spans="1:11" ht="56" x14ac:dyDescent="0.35">
      <c r="A3" s="151" t="s">
        <v>171</v>
      </c>
      <c r="B3" s="152">
        <f>Ф1!C8</f>
        <v>1462</v>
      </c>
      <c r="C3" s="295">
        <v>7022</v>
      </c>
      <c r="E3" s="170" t="s">
        <v>174</v>
      </c>
      <c r="F3" s="171">
        <f>Ф1!C12</f>
        <v>31</v>
      </c>
      <c r="G3" s="343">
        <f>Ф1!D12</f>
        <v>281</v>
      </c>
      <c r="I3" s="170" t="s">
        <v>352</v>
      </c>
      <c r="J3" s="171">
        <v>3161</v>
      </c>
      <c r="K3" s="171">
        <v>3161</v>
      </c>
    </row>
    <row r="4" spans="1:11" ht="28.5" thickBot="1" x14ac:dyDescent="0.4">
      <c r="A4" s="151" t="s">
        <v>212</v>
      </c>
      <c r="B4" s="152">
        <f>Ф1!C9</f>
        <v>28</v>
      </c>
      <c r="C4" s="296">
        <v>274</v>
      </c>
      <c r="E4" s="170" t="s">
        <v>226</v>
      </c>
      <c r="F4" s="326">
        <f>Ф1!C13</f>
        <v>151995</v>
      </c>
      <c r="G4" s="344">
        <f>Ф1!D13</f>
        <v>3161</v>
      </c>
      <c r="I4" s="170" t="s">
        <v>354</v>
      </c>
      <c r="J4" s="173">
        <f>F4-J3</f>
        <v>148834</v>
      </c>
      <c r="K4" s="173"/>
    </row>
    <row r="5" spans="1:11" x14ac:dyDescent="0.35">
      <c r="A5" s="151" t="s">
        <v>172</v>
      </c>
      <c r="B5" s="152">
        <f>Ф1!C10</f>
        <v>202</v>
      </c>
      <c r="C5" s="295">
        <v>84102</v>
      </c>
      <c r="E5" s="165" t="s">
        <v>328</v>
      </c>
      <c r="F5" s="175">
        <f>SUM(F3:F4)</f>
        <v>152026</v>
      </c>
      <c r="G5" s="345">
        <f>SUM(G3:G4)</f>
        <v>3442</v>
      </c>
      <c r="I5" s="165" t="s">
        <v>328</v>
      </c>
      <c r="J5" s="175">
        <f>SUM(J3:J4)</f>
        <v>151995</v>
      </c>
      <c r="K5" s="175">
        <f>SUM(K3:K4)</f>
        <v>3161</v>
      </c>
    </row>
    <row r="6" spans="1:11" x14ac:dyDescent="0.35">
      <c r="A6" s="149" t="s">
        <v>328</v>
      </c>
      <c r="B6" s="23">
        <f>SUM(B3:B5)</f>
        <v>1692</v>
      </c>
      <c r="C6" s="23">
        <f>SUM(C3:C5)</f>
        <v>91398</v>
      </c>
      <c r="F6" s="153">
        <f>Ф1!C12+Ф1!C13</f>
        <v>152026</v>
      </c>
      <c r="G6" s="153">
        <f>Ф1!D12+Ф1!D13</f>
        <v>3442</v>
      </c>
    </row>
    <row r="7" spans="1:11" x14ac:dyDescent="0.35">
      <c r="B7" s="153">
        <f>Ф1!C7</f>
        <v>1692</v>
      </c>
      <c r="C7" s="153">
        <f>Ф1!D7</f>
        <v>91398</v>
      </c>
      <c r="E7" s="325"/>
      <c r="F7"/>
      <c r="G7" s="67"/>
      <c r="H7"/>
    </row>
    <row r="9" spans="1:11" x14ac:dyDescent="0.35">
      <c r="A9" s="328"/>
      <c r="B9" s="329"/>
      <c r="C9" s="329"/>
      <c r="E9" s="154"/>
      <c r="F9" s="154"/>
    </row>
    <row r="10" spans="1:11" ht="28" x14ac:dyDescent="0.35">
      <c r="A10" s="305"/>
      <c r="B10" s="334" t="s">
        <v>471</v>
      </c>
      <c r="C10" s="335" t="s">
        <v>472</v>
      </c>
      <c r="D10" s="335" t="s">
        <v>341</v>
      </c>
      <c r="E10" s="330"/>
      <c r="F10" s="329"/>
      <c r="G10" s="305"/>
      <c r="H10" s="335" t="s">
        <v>478</v>
      </c>
      <c r="I10" s="334" t="s">
        <v>479</v>
      </c>
      <c r="J10" s="335" t="s">
        <v>341</v>
      </c>
    </row>
    <row r="11" spans="1:11" x14ac:dyDescent="0.35">
      <c r="A11" s="148" t="s">
        <v>473</v>
      </c>
      <c r="B11" s="331">
        <v>3567</v>
      </c>
      <c r="C11" s="331">
        <f>5077+39</f>
        <v>5116</v>
      </c>
      <c r="D11" s="331">
        <f>SUM(B11:C11)</f>
        <v>8683</v>
      </c>
      <c r="E11" s="330"/>
      <c r="F11" s="329"/>
      <c r="G11" s="148" t="s">
        <v>473</v>
      </c>
      <c r="H11" s="333">
        <v>261</v>
      </c>
      <c r="I11" s="179">
        <v>88</v>
      </c>
      <c r="J11" s="331">
        <f>SUM(H11:I11)</f>
        <v>349</v>
      </c>
    </row>
    <row r="12" spans="1:11" x14ac:dyDescent="0.35">
      <c r="A12" s="148" t="s">
        <v>474</v>
      </c>
      <c r="B12" s="339">
        <v>-1812</v>
      </c>
      <c r="C12" s="335">
        <f>-619-32</f>
        <v>-651</v>
      </c>
      <c r="D12" s="336">
        <f t="shared" ref="D12:D16" si="0">SUM(B12:C12)</f>
        <v>-2463</v>
      </c>
      <c r="E12" s="330"/>
      <c r="F12" s="329"/>
      <c r="G12" s="148" t="s">
        <v>474</v>
      </c>
      <c r="H12" s="341">
        <v>-229</v>
      </c>
      <c r="I12" s="375">
        <v>-42</v>
      </c>
      <c r="J12" s="336">
        <f t="shared" ref="J12:J18" si="1">SUM(H12:I12)</f>
        <v>-271</v>
      </c>
    </row>
    <row r="13" spans="1:11" x14ac:dyDescent="0.35">
      <c r="A13" s="179" t="s">
        <v>475</v>
      </c>
      <c r="B13" s="337">
        <f>SUM(B11:B12)</f>
        <v>1755</v>
      </c>
      <c r="C13" s="337">
        <f t="shared" ref="C13:D13" si="2">SUM(C11:C12)</f>
        <v>4465</v>
      </c>
      <c r="D13" s="337">
        <f t="shared" si="2"/>
        <v>6220</v>
      </c>
      <c r="E13" s="155">
        <f>Ф1!D14</f>
        <v>6220</v>
      </c>
      <c r="F13" s="329"/>
      <c r="G13" s="179" t="s">
        <v>475</v>
      </c>
      <c r="H13" s="340">
        <f>SUM(H11:H12)</f>
        <v>32</v>
      </c>
      <c r="I13" s="376">
        <f>SUM(I11:I12)</f>
        <v>46</v>
      </c>
      <c r="J13" s="338">
        <f t="shared" si="1"/>
        <v>78</v>
      </c>
      <c r="K13" s="150">
        <f>Ф1!D15</f>
        <v>78</v>
      </c>
    </row>
    <row r="14" spans="1:11" x14ac:dyDescent="0.35">
      <c r="A14" s="177" t="s">
        <v>476</v>
      </c>
      <c r="B14" s="332"/>
      <c r="C14" s="306"/>
      <c r="D14" s="331">
        <f t="shared" si="0"/>
        <v>0</v>
      </c>
      <c r="E14" s="330"/>
      <c r="F14" s="329"/>
      <c r="G14" s="177" t="s">
        <v>476</v>
      </c>
      <c r="H14" s="324"/>
      <c r="I14" s="305"/>
      <c r="J14" s="331">
        <f t="shared" si="1"/>
        <v>0</v>
      </c>
    </row>
    <row r="15" spans="1:11" x14ac:dyDescent="0.35">
      <c r="A15" s="148" t="s">
        <v>480</v>
      </c>
      <c r="B15" s="306">
        <f>B11+B14</f>
        <v>3567</v>
      </c>
      <c r="C15" s="306">
        <f>C11+C14</f>
        <v>5116</v>
      </c>
      <c r="D15" s="331">
        <f t="shared" si="0"/>
        <v>8683</v>
      </c>
      <c r="E15" s="330"/>
      <c r="F15" s="329"/>
      <c r="G15" s="148" t="s">
        <v>480</v>
      </c>
      <c r="H15" s="306">
        <f>H11+H14</f>
        <v>261</v>
      </c>
      <c r="I15" s="377">
        <f>I11+I14</f>
        <v>88</v>
      </c>
      <c r="J15" s="331">
        <f t="shared" si="1"/>
        <v>349</v>
      </c>
    </row>
    <row r="16" spans="1:11" x14ac:dyDescent="0.35">
      <c r="A16" s="134" t="s">
        <v>477</v>
      </c>
      <c r="B16" s="136">
        <f>1812-1919</f>
        <v>-107</v>
      </c>
      <c r="C16" s="138">
        <f>-776-C12</f>
        <v>-125</v>
      </c>
      <c r="D16" s="331">
        <f t="shared" si="0"/>
        <v>-232</v>
      </c>
      <c r="E16" s="330"/>
      <c r="F16" s="329"/>
      <c r="G16" s="134" t="s">
        <v>477</v>
      </c>
      <c r="H16" s="138">
        <v>-8</v>
      </c>
      <c r="I16" s="134">
        <v>-3</v>
      </c>
      <c r="J16" s="331">
        <f t="shared" si="1"/>
        <v>-11</v>
      </c>
    </row>
    <row r="17" spans="1:11" x14ac:dyDescent="0.35">
      <c r="A17" s="148" t="s">
        <v>481</v>
      </c>
      <c r="B17" s="336">
        <f>B12+B16</f>
        <v>-1919</v>
      </c>
      <c r="C17" s="336">
        <f t="shared" ref="C17:D17" si="3">C12+C16</f>
        <v>-776</v>
      </c>
      <c r="D17" s="336">
        <f t="shared" si="3"/>
        <v>-2695</v>
      </c>
      <c r="E17" s="330"/>
      <c r="F17" s="329"/>
      <c r="G17" s="148" t="s">
        <v>481</v>
      </c>
      <c r="H17" s="336">
        <f>H12+H16</f>
        <v>-237</v>
      </c>
      <c r="I17" s="378">
        <f t="shared" ref="I17" si="4">I12+I16</f>
        <v>-45</v>
      </c>
      <c r="J17" s="336">
        <f t="shared" si="1"/>
        <v>-282</v>
      </c>
    </row>
    <row r="18" spans="1:11" x14ac:dyDescent="0.35">
      <c r="A18" s="148" t="s">
        <v>482</v>
      </c>
      <c r="B18" s="337">
        <f>B15+B17</f>
        <v>1648</v>
      </c>
      <c r="C18" s="337">
        <f t="shared" ref="C18:D18" si="5">C15+C17</f>
        <v>4340</v>
      </c>
      <c r="D18" s="337">
        <f t="shared" si="5"/>
        <v>5988</v>
      </c>
      <c r="E18" s="155">
        <f>Ф1!C14</f>
        <v>5988</v>
      </c>
      <c r="F18" s="329"/>
      <c r="G18" s="148" t="s">
        <v>482</v>
      </c>
      <c r="H18" s="337">
        <f>H15+H17</f>
        <v>24</v>
      </c>
      <c r="I18" s="379">
        <f t="shared" ref="I18" si="6">I15+I17</f>
        <v>43</v>
      </c>
      <c r="J18" s="338">
        <f t="shared" si="1"/>
        <v>67</v>
      </c>
      <c r="K18" s="153">
        <f>Ф1!C15</f>
        <v>67</v>
      </c>
    </row>
    <row r="19" spans="1:11" x14ac:dyDescent="0.35">
      <c r="A19" s="148"/>
      <c r="B19" s="210"/>
      <c r="C19" s="210"/>
      <c r="D19" s="210"/>
      <c r="E19" s="155"/>
      <c r="F19" s="329"/>
      <c r="G19" s="148"/>
      <c r="H19" s="210"/>
      <c r="I19" s="380"/>
      <c r="J19" s="360"/>
      <c r="K19" s="153"/>
    </row>
    <row r="20" spans="1:11" ht="28" x14ac:dyDescent="0.35">
      <c r="A20" s="148"/>
      <c r="B20" s="210"/>
      <c r="C20" s="210"/>
      <c r="D20" s="210"/>
      <c r="E20" s="155"/>
      <c r="F20" s="329"/>
      <c r="G20" s="354"/>
      <c r="H20" s="141" t="s">
        <v>439</v>
      </c>
      <c r="I20" s="342" t="s">
        <v>436</v>
      </c>
      <c r="J20" s="360"/>
      <c r="K20" s="153"/>
    </row>
    <row r="21" spans="1:11" x14ac:dyDescent="0.35">
      <c r="A21" s="328"/>
      <c r="B21" s="329"/>
      <c r="C21" s="329"/>
      <c r="D21" s="329"/>
      <c r="E21" s="330"/>
      <c r="F21" s="329"/>
      <c r="G21" s="195" t="s">
        <v>483</v>
      </c>
      <c r="H21" s="297">
        <v>11</v>
      </c>
      <c r="I21" s="381"/>
    </row>
    <row r="22" spans="1:11" x14ac:dyDescent="0.35">
      <c r="A22" s="328"/>
      <c r="B22" s="329"/>
      <c r="C22" s="329"/>
      <c r="D22" s="329"/>
      <c r="E22" s="330"/>
      <c r="F22" s="329"/>
      <c r="G22" s="195" t="s">
        <v>484</v>
      </c>
      <c r="H22" s="297">
        <v>565</v>
      </c>
      <c r="I22" s="381">
        <v>580</v>
      </c>
    </row>
    <row r="23" spans="1:11" x14ac:dyDescent="0.35">
      <c r="A23" s="328"/>
      <c r="B23" s="329"/>
      <c r="C23" s="329"/>
      <c r="D23" s="329"/>
      <c r="E23" s="330"/>
      <c r="F23" s="329"/>
      <c r="G23" s="195" t="s">
        <v>485</v>
      </c>
      <c r="H23" s="297">
        <v>14</v>
      </c>
      <c r="I23" s="381">
        <v>14</v>
      </c>
    </row>
    <row r="24" spans="1:11" x14ac:dyDescent="0.35">
      <c r="A24" s="154"/>
      <c r="B24" s="154"/>
      <c r="C24" s="154"/>
      <c r="G24" s="195" t="s">
        <v>487</v>
      </c>
      <c r="H24" s="297"/>
      <c r="I24" s="381">
        <v>1500</v>
      </c>
    </row>
    <row r="25" spans="1:11" ht="28" x14ac:dyDescent="0.35">
      <c r="G25" s="195" t="s">
        <v>488</v>
      </c>
      <c r="H25" s="297">
        <v>9</v>
      </c>
      <c r="I25" s="381">
        <v>9</v>
      </c>
    </row>
    <row r="26" spans="1:11" ht="28" x14ac:dyDescent="0.35">
      <c r="A26" s="156"/>
      <c r="B26" s="141" t="s">
        <v>439</v>
      </c>
      <c r="C26" s="141" t="s">
        <v>436</v>
      </c>
      <c r="G26" s="195" t="s">
        <v>495</v>
      </c>
      <c r="H26" s="297">
        <v>-9</v>
      </c>
      <c r="I26" s="381">
        <v>-9</v>
      </c>
    </row>
    <row r="27" spans="1:11" x14ac:dyDescent="0.35">
      <c r="A27" s="157" t="s">
        <v>338</v>
      </c>
      <c r="B27" s="297">
        <v>1028</v>
      </c>
      <c r="C27" s="158">
        <v>3050</v>
      </c>
      <c r="G27" s="195" t="s">
        <v>486</v>
      </c>
      <c r="H27" s="297"/>
      <c r="I27" s="381"/>
    </row>
    <row r="28" spans="1:11" x14ac:dyDescent="0.35">
      <c r="A28" s="157" t="s">
        <v>339</v>
      </c>
      <c r="B28" s="297">
        <v>358</v>
      </c>
      <c r="C28" s="157">
        <v>330</v>
      </c>
      <c r="G28" s="195" t="s">
        <v>489</v>
      </c>
      <c r="H28" s="297">
        <v>32</v>
      </c>
      <c r="I28" s="381">
        <v>99</v>
      </c>
    </row>
    <row r="29" spans="1:11" x14ac:dyDescent="0.35">
      <c r="A29" s="195" t="s">
        <v>440</v>
      </c>
      <c r="B29" s="159">
        <v>456</v>
      </c>
      <c r="C29" s="157">
        <v>456</v>
      </c>
      <c r="G29" s="195" t="s">
        <v>490</v>
      </c>
      <c r="H29" s="297">
        <v>130</v>
      </c>
      <c r="I29" s="381">
        <v>257</v>
      </c>
    </row>
    <row r="30" spans="1:11" ht="28.5" thickBot="1" x14ac:dyDescent="0.4">
      <c r="A30" s="157" t="s">
        <v>340</v>
      </c>
      <c r="B30" s="159">
        <v>-9</v>
      </c>
      <c r="C30" s="160">
        <v>-9</v>
      </c>
      <c r="G30" s="195" t="s">
        <v>491</v>
      </c>
      <c r="H30" s="297"/>
      <c r="I30" s="381">
        <v>20</v>
      </c>
    </row>
    <row r="31" spans="1:11" ht="28" x14ac:dyDescent="0.35">
      <c r="A31" s="161" t="s">
        <v>341</v>
      </c>
      <c r="B31" s="162">
        <f>SUM(B27:B30)</f>
        <v>1833</v>
      </c>
      <c r="C31" s="162">
        <f>SUM(C27:C30)</f>
        <v>3827</v>
      </c>
      <c r="G31" s="195" t="s">
        <v>492</v>
      </c>
      <c r="H31" s="297">
        <v>169</v>
      </c>
      <c r="I31" s="381">
        <v>465</v>
      </c>
    </row>
    <row r="32" spans="1:11" x14ac:dyDescent="0.35">
      <c r="B32" s="153">
        <f>Ф1!C20+Ф1!C17</f>
        <v>1833</v>
      </c>
      <c r="C32" s="153">
        <f>Ф1!D20+Ф1!D17</f>
        <v>3827</v>
      </c>
      <c r="G32" s="195" t="s">
        <v>493</v>
      </c>
      <c r="H32" s="297"/>
      <c r="I32" s="381">
        <v>106</v>
      </c>
    </row>
    <row r="33" spans="1:10" ht="28" x14ac:dyDescent="0.35">
      <c r="G33" s="195" t="s">
        <v>494</v>
      </c>
      <c r="H33" s="370">
        <v>98</v>
      </c>
      <c r="I33" s="382"/>
    </row>
    <row r="34" spans="1:10" x14ac:dyDescent="0.35">
      <c r="A34" s="150" t="s">
        <v>342</v>
      </c>
      <c r="G34" s="358" t="s">
        <v>328</v>
      </c>
      <c r="H34" s="369">
        <f>SUM(H21:H33)</f>
        <v>1019</v>
      </c>
      <c r="I34" s="383">
        <f>SUM(I21:I33)</f>
        <v>3041</v>
      </c>
    </row>
    <row r="35" spans="1:10" x14ac:dyDescent="0.35">
      <c r="A35" s="473"/>
      <c r="B35" s="474" t="s">
        <v>439</v>
      </c>
      <c r="C35" s="291"/>
      <c r="D35" s="291"/>
      <c r="E35" s="474" t="s">
        <v>454</v>
      </c>
      <c r="G35" s="189"/>
      <c r="H35" s="359">
        <f>B27+B30</f>
        <v>1019</v>
      </c>
      <c r="I35" s="359">
        <f>C27+C30</f>
        <v>3041</v>
      </c>
    </row>
    <row r="36" spans="1:10" x14ac:dyDescent="0.35">
      <c r="A36" s="473"/>
      <c r="B36" s="474"/>
      <c r="C36" s="189" t="s">
        <v>398</v>
      </c>
      <c r="D36" s="189" t="s">
        <v>399</v>
      </c>
      <c r="E36" s="474"/>
      <c r="F36" s="150" t="s">
        <v>398</v>
      </c>
      <c r="G36" s="150" t="s">
        <v>399</v>
      </c>
    </row>
    <row r="37" spans="1:10" s="189" customFormat="1" x14ac:dyDescent="0.35">
      <c r="A37" s="187" t="s">
        <v>343</v>
      </c>
      <c r="B37" s="188">
        <f>B51</f>
        <v>272186</v>
      </c>
      <c r="E37" s="188">
        <f>E51</f>
        <v>0</v>
      </c>
    </row>
    <row r="38" spans="1:10" ht="23" x14ac:dyDescent="0.35">
      <c r="A38" s="298" t="s">
        <v>441</v>
      </c>
      <c r="B38" s="167">
        <f>SUM(C38:D38)</f>
        <v>14500</v>
      </c>
      <c r="C38" s="167">
        <v>14500</v>
      </c>
      <c r="D38" s="135"/>
      <c r="E38" s="135" t="s">
        <v>6</v>
      </c>
      <c r="F38" s="167"/>
    </row>
    <row r="39" spans="1:10" ht="23" x14ac:dyDescent="0.35">
      <c r="A39" s="298" t="s">
        <v>442</v>
      </c>
      <c r="B39" s="167">
        <f t="shared" ref="B39:B50" si="7">SUM(C39:D39)</f>
        <v>8456</v>
      </c>
      <c r="C39" s="135">
        <v>8456</v>
      </c>
      <c r="D39" s="299"/>
      <c r="E39" s="135" t="s">
        <v>6</v>
      </c>
      <c r="F39" s="135"/>
      <c r="G39" s="313"/>
      <c r="H39" s="313"/>
      <c r="I39" s="313"/>
      <c r="J39" s="313"/>
    </row>
    <row r="40" spans="1:10" ht="23" x14ac:dyDescent="0.35">
      <c r="A40" s="298" t="s">
        <v>443</v>
      </c>
      <c r="B40" s="167">
        <f t="shared" si="7"/>
        <v>9560</v>
      </c>
      <c r="C40" s="135">
        <v>9494</v>
      </c>
      <c r="D40" s="135">
        <v>66</v>
      </c>
      <c r="E40" s="135" t="s">
        <v>6</v>
      </c>
      <c r="F40" s="361"/>
      <c r="G40" s="364"/>
      <c r="H40" s="365"/>
      <c r="I40" s="364"/>
      <c r="J40" s="154"/>
    </row>
    <row r="41" spans="1:10" ht="23" x14ac:dyDescent="0.35">
      <c r="A41" s="298" t="s">
        <v>444</v>
      </c>
      <c r="B41" s="167">
        <f t="shared" si="7"/>
        <v>19194</v>
      </c>
      <c r="C41" s="135">
        <v>19052</v>
      </c>
      <c r="D41" s="135">
        <v>142</v>
      </c>
      <c r="E41" s="135" t="s">
        <v>6</v>
      </c>
      <c r="F41" s="361"/>
      <c r="G41" s="154"/>
      <c r="H41" s="154"/>
      <c r="I41" s="154"/>
      <c r="J41" s="154"/>
    </row>
    <row r="42" spans="1:10" ht="23" x14ac:dyDescent="0.35">
      <c r="A42" s="298" t="s">
        <v>445</v>
      </c>
      <c r="B42" s="167">
        <f t="shared" si="7"/>
        <v>33532</v>
      </c>
      <c r="C42" s="135">
        <v>33284</v>
      </c>
      <c r="D42" s="135">
        <v>248</v>
      </c>
      <c r="E42" s="135" t="s">
        <v>6</v>
      </c>
      <c r="F42" s="361"/>
      <c r="G42" s="154"/>
      <c r="H42" s="154"/>
      <c r="I42" s="154"/>
      <c r="J42" s="154"/>
    </row>
    <row r="43" spans="1:10" ht="23" x14ac:dyDescent="0.35">
      <c r="A43" s="298" t="s">
        <v>446</v>
      </c>
      <c r="B43" s="167">
        <f t="shared" si="7"/>
        <v>6687</v>
      </c>
      <c r="C43" s="135">
        <v>6638</v>
      </c>
      <c r="D43" s="135">
        <v>49</v>
      </c>
      <c r="E43" s="135" t="s">
        <v>6</v>
      </c>
      <c r="F43" s="361"/>
      <c r="G43" s="364"/>
      <c r="H43" s="365"/>
      <c r="I43" s="364"/>
      <c r="J43" s="154"/>
    </row>
    <row r="44" spans="1:10" ht="23" x14ac:dyDescent="0.35">
      <c r="A44" s="298" t="s">
        <v>447</v>
      </c>
      <c r="B44" s="167">
        <f t="shared" si="7"/>
        <v>35984</v>
      </c>
      <c r="C44" s="135">
        <v>35500</v>
      </c>
      <c r="D44" s="135">
        <v>484</v>
      </c>
      <c r="E44" s="135" t="s">
        <v>6</v>
      </c>
      <c r="F44" s="361"/>
      <c r="G44" s="364"/>
      <c r="H44" s="365"/>
      <c r="I44" s="364"/>
      <c r="J44" s="154"/>
    </row>
    <row r="45" spans="1:10" ht="23" x14ac:dyDescent="0.35">
      <c r="A45" s="298" t="s">
        <v>448</v>
      </c>
      <c r="B45" s="167">
        <f t="shared" si="7"/>
        <v>4000</v>
      </c>
      <c r="C45" s="135">
        <v>4000</v>
      </c>
      <c r="D45" s="135"/>
      <c r="E45" s="135" t="s">
        <v>6</v>
      </c>
      <c r="F45" s="361"/>
      <c r="G45" s="154"/>
      <c r="H45" s="154"/>
      <c r="I45" s="154"/>
      <c r="J45" s="154"/>
    </row>
    <row r="46" spans="1:10" ht="23" x14ac:dyDescent="0.35">
      <c r="A46" s="298" t="s">
        <v>449</v>
      </c>
      <c r="B46" s="167">
        <f t="shared" si="7"/>
        <v>20272</v>
      </c>
      <c r="C46" s="135">
        <v>20000</v>
      </c>
      <c r="D46" s="135">
        <v>272</v>
      </c>
      <c r="E46" s="135" t="s">
        <v>6</v>
      </c>
      <c r="F46" s="361"/>
      <c r="G46" s="366"/>
      <c r="H46" s="367"/>
      <c r="I46" s="384"/>
      <c r="J46" s="154"/>
    </row>
    <row r="47" spans="1:10" ht="23" x14ac:dyDescent="0.35">
      <c r="A47" s="298" t="s">
        <v>450</v>
      </c>
      <c r="B47" s="167">
        <f t="shared" si="7"/>
        <v>89949</v>
      </c>
      <c r="C47" s="135">
        <v>89201</v>
      </c>
      <c r="D47" s="135">
        <v>748</v>
      </c>
      <c r="E47" s="135" t="s">
        <v>6</v>
      </c>
      <c r="F47" s="361"/>
      <c r="G47" s="368"/>
      <c r="H47" s="154"/>
      <c r="I47" s="154"/>
      <c r="J47" s="154"/>
    </row>
    <row r="48" spans="1:10" ht="23" x14ac:dyDescent="0.35">
      <c r="A48" s="298" t="s">
        <v>451</v>
      </c>
      <c r="B48" s="167">
        <f t="shared" si="7"/>
        <v>6052</v>
      </c>
      <c r="C48" s="135">
        <v>6000</v>
      </c>
      <c r="D48" s="135">
        <v>52</v>
      </c>
      <c r="E48" s="135" t="s">
        <v>6</v>
      </c>
      <c r="F48" s="361"/>
      <c r="G48" s="368"/>
      <c r="H48" s="154"/>
      <c r="I48" s="154"/>
      <c r="J48" s="154"/>
    </row>
    <row r="49" spans="1:7" ht="23" x14ac:dyDescent="0.35">
      <c r="A49" s="298" t="s">
        <v>452</v>
      </c>
      <c r="B49" s="167">
        <f t="shared" si="7"/>
        <v>3000</v>
      </c>
      <c r="C49" s="135">
        <v>3000</v>
      </c>
      <c r="D49" s="135"/>
      <c r="E49" s="135" t="s">
        <v>6</v>
      </c>
      <c r="F49" s="135"/>
      <c r="G49" s="362"/>
    </row>
    <row r="50" spans="1:7" ht="23" x14ac:dyDescent="0.35">
      <c r="A50" s="298" t="s">
        <v>453</v>
      </c>
      <c r="B50" s="167">
        <f t="shared" si="7"/>
        <v>21000</v>
      </c>
      <c r="C50" s="135">
        <v>21000</v>
      </c>
      <c r="D50" s="135"/>
      <c r="E50" s="135" t="s">
        <v>6</v>
      </c>
      <c r="F50" s="135"/>
      <c r="G50" s="346"/>
    </row>
    <row r="51" spans="1:7" s="189" customFormat="1" x14ac:dyDescent="0.35">
      <c r="A51" s="190" t="s">
        <v>328</v>
      </c>
      <c r="B51" s="191">
        <f>SUM(B38:B50)</f>
        <v>272186</v>
      </c>
      <c r="C51" s="191">
        <f t="shared" ref="C51:D51" si="8">SUM(C38:C50)</f>
        <v>270125</v>
      </c>
      <c r="D51" s="191">
        <f t="shared" si="8"/>
        <v>2061</v>
      </c>
      <c r="E51" s="191">
        <f t="shared" ref="E51:F51" si="9">SUM(E38:E50)</f>
        <v>0</v>
      </c>
      <c r="F51" s="191">
        <f t="shared" si="9"/>
        <v>0</v>
      </c>
      <c r="G51" s="347">
        <f>SUM(G29:G50)</f>
        <v>0</v>
      </c>
    </row>
    <row r="52" spans="1:7" x14ac:dyDescent="0.35">
      <c r="B52" s="153">
        <f>Ф1!C23</f>
        <v>272186</v>
      </c>
      <c r="C52" s="153"/>
      <c r="D52" s="153"/>
      <c r="E52" s="153" t="str">
        <f>Ф1!D23</f>
        <v>-</v>
      </c>
    </row>
    <row r="54" spans="1:7" ht="28" x14ac:dyDescent="0.35">
      <c r="A54" s="164"/>
      <c r="B54" s="143" t="s">
        <v>439</v>
      </c>
      <c r="C54" s="143" t="s">
        <v>454</v>
      </c>
    </row>
    <row r="55" spans="1:7" x14ac:dyDescent="0.35">
      <c r="A55" s="134" t="s">
        <v>344</v>
      </c>
      <c r="B55" s="167">
        <v>1200741</v>
      </c>
      <c r="C55" s="136">
        <v>1126918</v>
      </c>
    </row>
    <row r="56" spans="1:7" ht="15" thickBot="1" x14ac:dyDescent="0.4">
      <c r="A56" s="170" t="s">
        <v>345</v>
      </c>
      <c r="B56" s="168">
        <v>35222</v>
      </c>
      <c r="C56" s="136">
        <v>18406</v>
      </c>
    </row>
    <row r="57" spans="1:7" x14ac:dyDescent="0.35">
      <c r="A57" s="165" t="s">
        <v>341</v>
      </c>
      <c r="B57" s="140">
        <f>SUM(B55:B56)</f>
        <v>1235963</v>
      </c>
      <c r="C57" s="140">
        <f>SUM(C55:C56)</f>
        <v>1145324</v>
      </c>
    </row>
    <row r="58" spans="1:7" x14ac:dyDescent="0.35">
      <c r="B58" s="166">
        <f>Ф1!C24</f>
        <v>1235963</v>
      </c>
      <c r="C58" s="166">
        <f>Ф1!D24</f>
        <v>1145324</v>
      </c>
    </row>
    <row r="59" spans="1:7" ht="26" x14ac:dyDescent="0.35">
      <c r="E59" s="314" t="s">
        <v>254</v>
      </c>
    </row>
    <row r="60" spans="1:7" ht="42.5" thickBot="1" x14ac:dyDescent="0.4">
      <c r="A60" s="192"/>
      <c r="B60" s="142" t="s">
        <v>438</v>
      </c>
      <c r="C60" s="371" t="s">
        <v>454</v>
      </c>
      <c r="E60" s="192"/>
      <c r="F60" s="290" t="s">
        <v>438</v>
      </c>
      <c r="G60" s="165" t="s">
        <v>454</v>
      </c>
    </row>
    <row r="61" spans="1:7" ht="42" x14ac:dyDescent="0.35">
      <c r="A61" s="134" t="s">
        <v>392</v>
      </c>
      <c r="B61" s="136">
        <v>28328</v>
      </c>
      <c r="C61" s="136">
        <v>28328</v>
      </c>
      <c r="E61" s="134" t="s">
        <v>392</v>
      </c>
      <c r="F61" s="136">
        <v>120</v>
      </c>
      <c r="G61" s="348">
        <v>5</v>
      </c>
    </row>
    <row r="62" spans="1:7" x14ac:dyDescent="0.35">
      <c r="A62" s="134" t="s">
        <v>467</v>
      </c>
      <c r="B62" s="136">
        <v>214</v>
      </c>
      <c r="C62" s="136"/>
      <c r="E62" s="134" t="s">
        <v>468</v>
      </c>
      <c r="F62" s="136">
        <v>1255</v>
      </c>
      <c r="G62" s="348">
        <v>1255</v>
      </c>
    </row>
    <row r="63" spans="1:7" ht="15" thickBot="1" x14ac:dyDescent="0.4">
      <c r="A63" s="193" t="s">
        <v>369</v>
      </c>
      <c r="B63" s="372">
        <v>178</v>
      </c>
      <c r="C63" s="373"/>
      <c r="E63" s="193" t="s">
        <v>469</v>
      </c>
      <c r="F63" s="136">
        <v>24</v>
      </c>
      <c r="G63" s="349">
        <v>24</v>
      </c>
    </row>
    <row r="64" spans="1:7" x14ac:dyDescent="0.35">
      <c r="A64" s="194" t="s">
        <v>341</v>
      </c>
      <c r="B64" s="210">
        <f>SUM(B61:B63)</f>
        <v>28720</v>
      </c>
      <c r="C64" s="197">
        <f>SUM(C61:C63)</f>
        <v>28328</v>
      </c>
      <c r="E64" s="194" t="s">
        <v>341</v>
      </c>
      <c r="F64" s="139">
        <f>SUM(F61:F63)</f>
        <v>1399</v>
      </c>
      <c r="G64" s="350">
        <f>SUM(G61:G63)</f>
        <v>1284</v>
      </c>
    </row>
    <row r="65" spans="1:7" x14ac:dyDescent="0.35">
      <c r="B65" s="153">
        <f>Ф1!C27</f>
        <v>28720</v>
      </c>
      <c r="C65" s="153">
        <f>Ф1!D27</f>
        <v>28328</v>
      </c>
      <c r="F65" s="153">
        <f>Ф1!C18</f>
        <v>1399</v>
      </c>
      <c r="G65" s="153">
        <f>Ф1!D18</f>
        <v>1284</v>
      </c>
    </row>
    <row r="66" spans="1:7" ht="28" x14ac:dyDescent="0.35">
      <c r="A66" s="164"/>
      <c r="B66" s="143" t="s">
        <v>439</v>
      </c>
      <c r="C66" s="143" t="s">
        <v>454</v>
      </c>
      <c r="E66" s="289"/>
      <c r="F66" s="371" t="s">
        <v>439</v>
      </c>
      <c r="G66" s="371" t="s">
        <v>454</v>
      </c>
    </row>
    <row r="67" spans="1:7" ht="28" x14ac:dyDescent="0.35">
      <c r="A67" s="134" t="s">
        <v>346</v>
      </c>
      <c r="B67" s="138">
        <v>119</v>
      </c>
      <c r="C67" s="138">
        <v>415</v>
      </c>
      <c r="E67" s="421" t="s">
        <v>496</v>
      </c>
      <c r="F67" s="171">
        <v>21229</v>
      </c>
      <c r="G67" s="374">
        <v>24559</v>
      </c>
    </row>
    <row r="68" spans="1:7" ht="42.5" thickBot="1" x14ac:dyDescent="0.4">
      <c r="A68" s="170" t="s">
        <v>347</v>
      </c>
      <c r="B68" s="138">
        <v>180</v>
      </c>
      <c r="C68" s="144">
        <v>180</v>
      </c>
      <c r="E68" s="363" t="s">
        <v>497</v>
      </c>
      <c r="F68" s="419">
        <v>308</v>
      </c>
      <c r="G68" s="420" t="s">
        <v>6</v>
      </c>
    </row>
    <row r="69" spans="1:7" ht="70" x14ac:dyDescent="0.35">
      <c r="A69" s="165" t="s">
        <v>341</v>
      </c>
      <c r="B69" s="145">
        <f>SUM(B67:B68)</f>
        <v>299</v>
      </c>
      <c r="C69" s="145">
        <f>SUM(C67:C68)</f>
        <v>595</v>
      </c>
      <c r="E69" s="422" t="s">
        <v>510</v>
      </c>
      <c r="F69" s="423">
        <f>Ф1!C28</f>
        <v>4312</v>
      </c>
      <c r="G69" s="423">
        <f>Ф1!D28</f>
        <v>4312</v>
      </c>
    </row>
    <row r="70" spans="1:7" x14ac:dyDescent="0.35">
      <c r="B70" s="150">
        <f>Ф1!C26</f>
        <v>299</v>
      </c>
      <c r="C70" s="150">
        <f>Ф1!D26</f>
        <v>595</v>
      </c>
      <c r="E70" s="165" t="s">
        <v>328</v>
      </c>
      <c r="F70" s="197">
        <f>SUM(F67:F69)</f>
        <v>25849</v>
      </c>
      <c r="G70" s="197">
        <f>SUM(G67:G69)</f>
        <v>28871</v>
      </c>
    </row>
    <row r="71" spans="1:7" x14ac:dyDescent="0.35">
      <c r="F71" s="153">
        <f>Ф1!C29</f>
        <v>21537</v>
      </c>
      <c r="G71" s="153">
        <f>Ф1!D29</f>
        <v>24559</v>
      </c>
    </row>
    <row r="73" spans="1:7" ht="28" x14ac:dyDescent="0.35">
      <c r="A73" s="137"/>
      <c r="B73" s="143" t="s">
        <v>439</v>
      </c>
      <c r="C73" s="143" t="s">
        <v>454</v>
      </c>
      <c r="E73" s="170"/>
      <c r="F73" s="143" t="s">
        <v>439</v>
      </c>
      <c r="G73" s="143" t="s">
        <v>454</v>
      </c>
    </row>
    <row r="74" spans="1:7" ht="28" x14ac:dyDescent="0.35">
      <c r="A74" s="134" t="s">
        <v>348</v>
      </c>
      <c r="B74" s="136">
        <v>200000</v>
      </c>
      <c r="C74" s="136">
        <v>200000</v>
      </c>
      <c r="E74" s="195" t="s">
        <v>511</v>
      </c>
      <c r="F74" s="136">
        <v>3944</v>
      </c>
      <c r="G74" s="136">
        <v>2603</v>
      </c>
    </row>
    <row r="75" spans="1:7" ht="15" thickBot="1" x14ac:dyDescent="0.4">
      <c r="A75" s="170" t="s">
        <v>349</v>
      </c>
      <c r="B75" s="136">
        <f>Ф1!C34</f>
        <v>278320</v>
      </c>
      <c r="C75" s="136">
        <v>407878</v>
      </c>
      <c r="E75" s="170" t="s">
        <v>512</v>
      </c>
      <c r="F75" s="136">
        <v>80073</v>
      </c>
      <c r="G75" s="136">
        <v>42723</v>
      </c>
    </row>
    <row r="76" spans="1:7" x14ac:dyDescent="0.35">
      <c r="A76" s="165" t="s">
        <v>350</v>
      </c>
      <c r="B76" s="139">
        <f>SUM(B74:B75)</f>
        <v>478320</v>
      </c>
      <c r="C76" s="139">
        <f>SUM(C74:C75)</f>
        <v>607878</v>
      </c>
      <c r="E76" s="165" t="s">
        <v>350</v>
      </c>
      <c r="F76" s="139">
        <f>SUM(F74:F75)</f>
        <v>84017</v>
      </c>
      <c r="G76" s="139">
        <f>SUM(G74:G75)</f>
        <v>45326</v>
      </c>
    </row>
    <row r="77" spans="1:7" x14ac:dyDescent="0.35">
      <c r="B77" s="153">
        <f>Ф1!C37</f>
        <v>478320</v>
      </c>
      <c r="C77" s="153">
        <f>Ф1!D37</f>
        <v>607878</v>
      </c>
      <c r="F77" s="153">
        <f>Ф2!E12</f>
        <v>-84017</v>
      </c>
      <c r="G77" s="153">
        <f>Ф2!F12</f>
        <v>-45326</v>
      </c>
    </row>
    <row r="79" spans="1:7" ht="28" x14ac:dyDescent="0.35">
      <c r="A79" s="288"/>
      <c r="B79" s="165" t="s">
        <v>439</v>
      </c>
      <c r="C79" s="165" t="s">
        <v>351</v>
      </c>
      <c r="D79" s="143" t="s">
        <v>454</v>
      </c>
      <c r="E79" s="165" t="s">
        <v>351</v>
      </c>
    </row>
    <row r="80" spans="1:7" x14ac:dyDescent="0.35">
      <c r="A80" s="170" t="s">
        <v>352</v>
      </c>
      <c r="B80" s="171">
        <v>67000</v>
      </c>
      <c r="C80" s="172">
        <v>0.33500000000000002</v>
      </c>
      <c r="D80" s="171">
        <v>67000</v>
      </c>
      <c r="E80" s="183">
        <v>0.33500000000000002</v>
      </c>
    </row>
    <row r="81" spans="1:6" x14ac:dyDescent="0.35">
      <c r="A81" s="170" t="s">
        <v>353</v>
      </c>
      <c r="B81" s="171">
        <v>67000</v>
      </c>
      <c r="C81" s="172">
        <v>0.33500000000000002</v>
      </c>
      <c r="D81" s="171">
        <v>67000</v>
      </c>
      <c r="E81" s="183">
        <v>0.33500000000000002</v>
      </c>
    </row>
    <row r="82" spans="1:6" ht="15" thickBot="1" x14ac:dyDescent="0.4">
      <c r="A82" s="170" t="s">
        <v>354</v>
      </c>
      <c r="B82" s="173">
        <v>66000</v>
      </c>
      <c r="C82" s="174">
        <v>0.33</v>
      </c>
      <c r="D82" s="173">
        <v>66000</v>
      </c>
      <c r="E82" s="184">
        <v>0.33</v>
      </c>
    </row>
    <row r="83" spans="1:6" x14ac:dyDescent="0.35">
      <c r="A83" s="165" t="s">
        <v>328</v>
      </c>
      <c r="B83" s="175">
        <v>200000</v>
      </c>
      <c r="C83" s="176">
        <v>1</v>
      </c>
      <c r="D83" s="175">
        <v>200000</v>
      </c>
      <c r="E83" s="185">
        <v>1</v>
      </c>
    </row>
    <row r="84" spans="1:6" x14ac:dyDescent="0.35">
      <c r="E84" s="177"/>
      <c r="F84" s="163"/>
    </row>
    <row r="85" spans="1:6" x14ac:dyDescent="0.35">
      <c r="A85" s="181" t="s">
        <v>383</v>
      </c>
      <c r="E85" s="177"/>
      <c r="F85" s="144"/>
    </row>
    <row r="86" spans="1:6" ht="56.5" thickBot="1" x14ac:dyDescent="0.4">
      <c r="A86" s="180"/>
      <c r="B86" s="169" t="s">
        <v>455</v>
      </c>
      <c r="C86" s="169" t="s">
        <v>456</v>
      </c>
      <c r="E86" s="177"/>
      <c r="F86" s="144"/>
    </row>
    <row r="87" spans="1:6" ht="16" thickBot="1" x14ac:dyDescent="0.4">
      <c r="A87" s="179" t="s">
        <v>355</v>
      </c>
      <c r="B87" s="322"/>
      <c r="C87" s="322"/>
      <c r="E87" s="177"/>
      <c r="F87" s="163"/>
    </row>
    <row r="88" spans="1:6" ht="28.5" thickBot="1" x14ac:dyDescent="0.4">
      <c r="A88" s="134" t="s">
        <v>356</v>
      </c>
      <c r="B88" s="320">
        <v>101318</v>
      </c>
      <c r="C88" s="318">
        <v>111255</v>
      </c>
      <c r="E88" s="181"/>
      <c r="F88" s="182"/>
    </row>
    <row r="89" spans="1:6" ht="28" x14ac:dyDescent="0.35">
      <c r="A89" s="134" t="s">
        <v>357</v>
      </c>
      <c r="B89" s="320">
        <v>763</v>
      </c>
      <c r="C89" s="318">
        <v>2999</v>
      </c>
    </row>
    <row r="90" spans="1:6" x14ac:dyDescent="0.35">
      <c r="A90" s="134" t="s">
        <v>358</v>
      </c>
      <c r="B90" s="321">
        <v>969</v>
      </c>
      <c r="C90" s="319">
        <f>830+1189</f>
        <v>2019</v>
      </c>
    </row>
    <row r="91" spans="1:6" x14ac:dyDescent="0.35">
      <c r="A91" s="181" t="s">
        <v>328</v>
      </c>
      <c r="B91" s="317">
        <f>SUM(B88:B90)</f>
        <v>103050</v>
      </c>
      <c r="C91" s="317">
        <f>SUM(C88:C90)</f>
        <v>116273</v>
      </c>
    </row>
    <row r="92" spans="1:6" x14ac:dyDescent="0.35">
      <c r="B92" s="153">
        <f>Ф2!E8</f>
        <v>103050</v>
      </c>
      <c r="C92" s="153">
        <f>Ф2!F8+Ф2!F18</f>
        <v>116273</v>
      </c>
    </row>
    <row r="94" spans="1:6" x14ac:dyDescent="0.35">
      <c r="A94" s="181" t="s">
        <v>384</v>
      </c>
    </row>
    <row r="95" spans="1:6" ht="56.5" thickBot="1" x14ac:dyDescent="0.4">
      <c r="A95" s="164"/>
      <c r="B95" s="169" t="s">
        <v>455</v>
      </c>
      <c r="C95" s="169" t="s">
        <v>456</v>
      </c>
    </row>
    <row r="96" spans="1:6" ht="28" x14ac:dyDescent="0.35">
      <c r="A96" s="134" t="s">
        <v>359</v>
      </c>
      <c r="B96" s="196"/>
      <c r="C96" s="315">
        <v>5434</v>
      </c>
    </row>
    <row r="97" spans="1:13" ht="28.5" thickBot="1" x14ac:dyDescent="0.4">
      <c r="A97" s="134" t="s">
        <v>360</v>
      </c>
      <c r="B97" s="201">
        <v>-12754</v>
      </c>
      <c r="C97" s="316">
        <v>-21265</v>
      </c>
    </row>
    <row r="98" spans="1:13" ht="28" x14ac:dyDescent="0.35">
      <c r="A98" s="148" t="s">
        <v>361</v>
      </c>
      <c r="B98" s="197">
        <f>SUM(B96:B97)</f>
        <v>-12754</v>
      </c>
      <c r="C98" s="197">
        <f>SUM(C96:C97)</f>
        <v>-15831</v>
      </c>
      <c r="F98" s="150">
        <v>2025</v>
      </c>
      <c r="J98" s="150">
        <v>2024</v>
      </c>
    </row>
    <row r="99" spans="1:13" x14ac:dyDescent="0.35">
      <c r="B99" s="198">
        <f>Ф2!E14</f>
        <v>-12754</v>
      </c>
      <c r="C99" s="198">
        <f>Ф2!F14</f>
        <v>-15831</v>
      </c>
      <c r="E99" s="300" t="s">
        <v>81</v>
      </c>
      <c r="F99" s="300" t="s">
        <v>231</v>
      </c>
      <c r="G99" s="300"/>
      <c r="I99" s="300" t="s">
        <v>81</v>
      </c>
      <c r="J99" s="300" t="s">
        <v>231</v>
      </c>
      <c r="K99" s="300"/>
    </row>
    <row r="100" spans="1:13" x14ac:dyDescent="0.35">
      <c r="B100" s="199"/>
      <c r="C100" s="199"/>
      <c r="D100" s="223"/>
      <c r="E100" s="471" t="s">
        <v>457</v>
      </c>
      <c r="F100" s="471" t="s">
        <v>83</v>
      </c>
      <c r="G100" s="471"/>
      <c r="H100" s="135"/>
      <c r="I100" s="471" t="s">
        <v>457</v>
      </c>
      <c r="J100" s="471" t="s">
        <v>83</v>
      </c>
      <c r="K100" s="471"/>
    </row>
    <row r="101" spans="1:13" ht="15" x14ac:dyDescent="0.35">
      <c r="A101" s="178"/>
      <c r="B101" s="200"/>
      <c r="C101" s="200"/>
      <c r="D101" s="223"/>
      <c r="E101" s="472"/>
      <c r="F101" s="472"/>
      <c r="G101" s="472"/>
      <c r="H101" s="135"/>
      <c r="I101" s="472"/>
      <c r="J101" s="472"/>
      <c r="K101" s="472"/>
    </row>
    <row r="102" spans="1:13" x14ac:dyDescent="0.35">
      <c r="A102" s="179" t="s">
        <v>362</v>
      </c>
      <c r="B102"/>
      <c r="C102"/>
      <c r="D102" s="223"/>
      <c r="E102" s="301" t="s">
        <v>458</v>
      </c>
      <c r="F102" s="303">
        <v>8795653.5800000001</v>
      </c>
      <c r="G102" s="351"/>
      <c r="H102" s="135"/>
      <c r="I102" s="147"/>
    </row>
    <row r="103" spans="1:13" ht="56.5" thickBot="1" x14ac:dyDescent="0.4">
      <c r="A103" s="203"/>
      <c r="B103" s="169" t="s">
        <v>455</v>
      </c>
      <c r="C103" s="169" t="s">
        <v>456</v>
      </c>
      <c r="D103" s="223"/>
      <c r="E103" s="147" t="s">
        <v>459</v>
      </c>
      <c r="F103" s="299"/>
      <c r="G103" s="346"/>
      <c r="H103" s="135"/>
      <c r="I103" s="147"/>
    </row>
    <row r="104" spans="1:13" x14ac:dyDescent="0.35">
      <c r="A104" s="202" t="str">
        <f>E104</f>
        <v>Аренда</v>
      </c>
      <c r="B104" s="204">
        <f>ROUND(F104/1000,0)</f>
        <v>1929</v>
      </c>
      <c r="C104" s="204">
        <f>ROUND(J104/1000,0)+1</f>
        <v>1371</v>
      </c>
      <c r="D104" s="223"/>
      <c r="E104" s="147" t="s">
        <v>363</v>
      </c>
      <c r="F104" s="135">
        <v>1928600</v>
      </c>
      <c r="G104" s="147"/>
      <c r="H104" s="135"/>
      <c r="I104" s="147" t="s">
        <v>363</v>
      </c>
      <c r="J104" s="135">
        <v>1370400</v>
      </c>
      <c r="L104" s="170" t="s">
        <v>363</v>
      </c>
      <c r="M104" s="293">
        <v>1371</v>
      </c>
    </row>
    <row r="105" spans="1:13" ht="34.5" x14ac:dyDescent="0.35">
      <c r="A105" s="202" t="str">
        <f t="shared" ref="A105:A111" si="10">E105</f>
        <v>Обязательные пенсионные взносы работодателя</v>
      </c>
      <c r="B105" s="204">
        <f t="shared" ref="B105:B111" si="11">ROUND(F105/1000,0)</f>
        <v>23</v>
      </c>
      <c r="C105" s="204">
        <f t="shared" ref="C105:C108" si="12">ROUND(J105/1000,0)</f>
        <v>30</v>
      </c>
      <c r="D105" s="223"/>
      <c r="E105" s="147" t="s">
        <v>377</v>
      </c>
      <c r="F105" s="135">
        <v>22919</v>
      </c>
      <c r="G105" s="147"/>
      <c r="H105" s="135"/>
      <c r="I105" s="147" t="s">
        <v>377</v>
      </c>
      <c r="J105" s="135">
        <v>30149</v>
      </c>
    </row>
    <row r="106" spans="1:13" ht="28" x14ac:dyDescent="0.35">
      <c r="A106" s="202" t="str">
        <f t="shared" si="10"/>
        <v>Отчисления ОСМС</v>
      </c>
      <c r="B106" s="204">
        <f t="shared" si="11"/>
        <v>28</v>
      </c>
      <c r="C106" s="204">
        <f t="shared" si="12"/>
        <v>60</v>
      </c>
      <c r="E106" s="147" t="s">
        <v>378</v>
      </c>
      <c r="F106" s="135">
        <v>27502</v>
      </c>
      <c r="G106" s="147"/>
      <c r="H106" s="135"/>
      <c r="I106" s="147" t="s">
        <v>378</v>
      </c>
      <c r="J106" s="135">
        <v>60298</v>
      </c>
      <c r="L106" s="170" t="s">
        <v>462</v>
      </c>
      <c r="M106" s="138">
        <v>90</v>
      </c>
    </row>
    <row r="107" spans="1:13" x14ac:dyDescent="0.35">
      <c r="A107" s="202" t="str">
        <f t="shared" si="10"/>
        <v>Охрана и сигнадизация</v>
      </c>
      <c r="B107" s="204">
        <f t="shared" si="11"/>
        <v>33</v>
      </c>
      <c r="C107" s="204">
        <f t="shared" si="12"/>
        <v>33</v>
      </c>
      <c r="D107" s="223"/>
      <c r="E107" s="147" t="s">
        <v>385</v>
      </c>
      <c r="F107" s="135">
        <v>33000</v>
      </c>
      <c r="G107" s="147"/>
      <c r="H107" s="135"/>
      <c r="I107" s="147" t="s">
        <v>385</v>
      </c>
      <c r="J107" s="135">
        <v>33000</v>
      </c>
      <c r="L107" s="170" t="s">
        <v>463</v>
      </c>
      <c r="M107" s="138">
        <v>33</v>
      </c>
    </row>
    <row r="108" spans="1:13" x14ac:dyDescent="0.35">
      <c r="A108" s="202" t="str">
        <f t="shared" si="10"/>
        <v>Расходы по оплате труда</v>
      </c>
      <c r="B108" s="204">
        <f t="shared" si="11"/>
        <v>917</v>
      </c>
      <c r="C108" s="204">
        <f t="shared" si="12"/>
        <v>2010</v>
      </c>
      <c r="D108" s="223"/>
      <c r="E108" s="147" t="s">
        <v>366</v>
      </c>
      <c r="F108" s="135">
        <v>916726</v>
      </c>
      <c r="G108" s="147"/>
      <c r="H108" s="135"/>
      <c r="I108" s="147" t="s">
        <v>366</v>
      </c>
      <c r="J108" s="135">
        <v>2009909</v>
      </c>
      <c r="L108" s="170" t="s">
        <v>366</v>
      </c>
      <c r="M108" s="136">
        <v>2010</v>
      </c>
    </row>
    <row r="109" spans="1:13" ht="28" x14ac:dyDescent="0.35">
      <c r="A109" s="202" t="str">
        <f t="shared" si="10"/>
        <v>Социальные отчисления</v>
      </c>
      <c r="B109" s="204">
        <f t="shared" si="11"/>
        <v>41</v>
      </c>
      <c r="C109" s="204">
        <f>ROUND(J110/1000,0)</f>
        <v>63</v>
      </c>
      <c r="E109" s="147" t="s">
        <v>368</v>
      </c>
      <c r="F109" s="135">
        <v>41254</v>
      </c>
      <c r="G109" s="147"/>
      <c r="H109" s="135"/>
      <c r="I109" s="170" t="s">
        <v>367</v>
      </c>
      <c r="J109" s="307">
        <v>75000</v>
      </c>
      <c r="L109" s="170" t="s">
        <v>367</v>
      </c>
      <c r="M109" s="307">
        <v>75</v>
      </c>
    </row>
    <row r="110" spans="1:13" x14ac:dyDescent="0.35">
      <c r="A110" s="202" t="str">
        <f t="shared" si="10"/>
        <v>Социальный налог</v>
      </c>
      <c r="B110" s="204">
        <f t="shared" si="11"/>
        <v>47</v>
      </c>
      <c r="C110" s="204">
        <f>ROUND(J111/1000,0)</f>
        <v>105</v>
      </c>
      <c r="D110" s="223"/>
      <c r="E110" s="147" t="s">
        <v>369</v>
      </c>
      <c r="F110" s="135">
        <v>47485</v>
      </c>
      <c r="G110" s="147"/>
      <c r="H110" s="135"/>
      <c r="I110" s="147" t="s">
        <v>368</v>
      </c>
      <c r="J110" s="135">
        <v>63315</v>
      </c>
      <c r="L110" s="170" t="s">
        <v>368</v>
      </c>
      <c r="M110" s="138">
        <v>63</v>
      </c>
    </row>
    <row r="111" spans="1:13" x14ac:dyDescent="0.35">
      <c r="A111" s="202" t="str">
        <f t="shared" si="10"/>
        <v>Списание материалов</v>
      </c>
      <c r="B111" s="204">
        <f t="shared" si="11"/>
        <v>144</v>
      </c>
      <c r="C111" s="204">
        <f>ROUND(J112/1000,0)</f>
        <v>102</v>
      </c>
      <c r="D111" s="223"/>
      <c r="E111" s="147" t="s">
        <v>380</v>
      </c>
      <c r="F111" s="135">
        <v>144461.09</v>
      </c>
      <c r="G111" s="147"/>
      <c r="H111" s="135"/>
      <c r="I111" s="147" t="s">
        <v>369</v>
      </c>
      <c r="J111" s="135">
        <v>104714</v>
      </c>
      <c r="L111" s="170" t="s">
        <v>369</v>
      </c>
      <c r="M111" s="138">
        <v>105</v>
      </c>
    </row>
    <row r="112" spans="1:13" x14ac:dyDescent="0.35">
      <c r="A112" s="202" t="str">
        <f t="shared" ref="A112:A114" si="13">E112</f>
        <v>Расходы связи (интернет)</v>
      </c>
      <c r="B112" s="204">
        <f t="shared" ref="B112:B117" si="14">ROUND(F112/1000,0)</f>
        <v>0</v>
      </c>
      <c r="C112" s="204">
        <f>ROUND(J109/1000,0)</f>
        <v>75</v>
      </c>
      <c r="D112" s="223"/>
      <c r="E112" s="170" t="s">
        <v>367</v>
      </c>
      <c r="F112" s="135"/>
      <c r="G112" s="147"/>
      <c r="H112" s="135"/>
      <c r="I112" s="147" t="s">
        <v>380</v>
      </c>
      <c r="J112" s="308">
        <f>129231.8-27000</f>
        <v>102231.8</v>
      </c>
      <c r="L112" s="170" t="s">
        <v>364</v>
      </c>
      <c r="M112" s="307">
        <v>102</v>
      </c>
    </row>
    <row r="113" spans="1:13" x14ac:dyDescent="0.35">
      <c r="A113" s="202" t="str">
        <f t="shared" si="13"/>
        <v>Услуги Депозитария</v>
      </c>
      <c r="B113" s="204">
        <f t="shared" si="14"/>
        <v>0</v>
      </c>
      <c r="C113" s="204">
        <f>ROUND(J113/1000,0)</f>
        <v>63</v>
      </c>
      <c r="D113" s="223"/>
      <c r="E113" s="170" t="s">
        <v>371</v>
      </c>
      <c r="F113" s="135"/>
      <c r="G113" s="147"/>
      <c r="H113" s="135"/>
      <c r="I113" s="170" t="s">
        <v>371</v>
      </c>
      <c r="J113" s="307">
        <f>52150+11000</f>
        <v>63150</v>
      </c>
      <c r="L113" s="170" t="s">
        <v>371</v>
      </c>
      <c r="M113" s="307">
        <v>63</v>
      </c>
    </row>
    <row r="114" spans="1:13" x14ac:dyDescent="0.35">
      <c r="A114" s="202" t="str">
        <f t="shared" si="13"/>
        <v>Услуги кредитного бюро</v>
      </c>
      <c r="B114" s="204">
        <f t="shared" si="14"/>
        <v>134</v>
      </c>
      <c r="C114" s="204">
        <f>ROUND(J114/1000,0)</f>
        <v>125</v>
      </c>
      <c r="D114" s="223"/>
      <c r="E114" s="147" t="s">
        <v>372</v>
      </c>
      <c r="F114" s="135">
        <v>133706.49</v>
      </c>
      <c r="G114" s="147"/>
      <c r="I114" s="147" t="s">
        <v>372</v>
      </c>
      <c r="J114" s="135">
        <v>125343.67999999999</v>
      </c>
      <c r="L114" s="170" t="s">
        <v>372</v>
      </c>
      <c r="M114" s="138">
        <v>125</v>
      </c>
    </row>
    <row r="115" spans="1:13" x14ac:dyDescent="0.35">
      <c r="A115" s="147" t="s">
        <v>386</v>
      </c>
      <c r="B115" s="204">
        <f t="shared" si="14"/>
        <v>5500</v>
      </c>
      <c r="C115" s="204"/>
      <c r="D115" s="223"/>
      <c r="E115" s="147" t="s">
        <v>386</v>
      </c>
      <c r="F115" s="135">
        <v>5500000</v>
      </c>
      <c r="G115" s="147"/>
      <c r="I115" s="147"/>
      <c r="J115" s="135"/>
      <c r="L115" s="170"/>
      <c r="M115" s="138"/>
    </row>
    <row r="116" spans="1:13" x14ac:dyDescent="0.35">
      <c r="A116" s="202" t="str">
        <f>E116</f>
        <v>услуги перевода</v>
      </c>
      <c r="B116" s="204">
        <f t="shared" si="14"/>
        <v>0</v>
      </c>
      <c r="C116" s="204">
        <f>ROUND(J116/1000,0)</f>
        <v>20</v>
      </c>
      <c r="D116" s="223"/>
      <c r="E116" s="147" t="s">
        <v>387</v>
      </c>
      <c r="F116" s="304"/>
      <c r="G116" s="147"/>
      <c r="I116" s="147" t="s">
        <v>387</v>
      </c>
      <c r="J116" s="135">
        <v>19900</v>
      </c>
      <c r="L116" s="325" t="s">
        <v>337</v>
      </c>
      <c r="M116" s="332">
        <v>470</v>
      </c>
    </row>
    <row r="117" spans="1:13" x14ac:dyDescent="0.35">
      <c r="A117" s="202" t="str">
        <f>E117</f>
        <v>услуги рекламы</v>
      </c>
      <c r="B117" s="204">
        <f t="shared" si="14"/>
        <v>0</v>
      </c>
      <c r="C117" s="204">
        <f>ROUND(J117/1000,0)</f>
        <v>450</v>
      </c>
      <c r="D117" s="223"/>
      <c r="E117" s="147" t="s">
        <v>388</v>
      </c>
      <c r="F117" s="304"/>
      <c r="G117" s="186"/>
      <c r="H117" s="146"/>
      <c r="I117" s="147" t="s">
        <v>388</v>
      </c>
      <c r="J117" s="135">
        <v>450000</v>
      </c>
    </row>
    <row r="118" spans="1:13" x14ac:dyDescent="0.35">
      <c r="A118" s="205" t="s">
        <v>328</v>
      </c>
      <c r="B118" s="206">
        <f>SUM(B104:B117)</f>
        <v>8796</v>
      </c>
      <c r="C118" s="206">
        <f>SUM(C104:C117)</f>
        <v>4507</v>
      </c>
      <c r="E118" s="302" t="s">
        <v>328</v>
      </c>
      <c r="F118" s="311">
        <f>SUM(F104:F117)</f>
        <v>8795653.5800000001</v>
      </c>
      <c r="G118" s="186"/>
      <c r="I118" s="302" t="s">
        <v>328</v>
      </c>
      <c r="J118" s="146">
        <f>SUM(J104:J117)</f>
        <v>4507410.4800000004</v>
      </c>
      <c r="L118" s="181" t="s">
        <v>328</v>
      </c>
      <c r="M118" s="331">
        <v>4507</v>
      </c>
    </row>
    <row r="119" spans="1:13" x14ac:dyDescent="0.35">
      <c r="B119" s="153">
        <f>Ф2!E16</f>
        <v>-8796</v>
      </c>
      <c r="C119" s="153">
        <f>Ф2!F16</f>
        <v>-4507</v>
      </c>
      <c r="D119" s="147"/>
      <c r="F119" s="146">
        <v>8795653.5800000001</v>
      </c>
      <c r="G119" s="352">
        <v>8795653.5800000001</v>
      </c>
    </row>
    <row r="120" spans="1:13" x14ac:dyDescent="0.35">
      <c r="C120" s="153">
        <f>SUM(C118:C119)</f>
        <v>0</v>
      </c>
      <c r="D120" s="147"/>
      <c r="E120" s="300" t="s">
        <v>81</v>
      </c>
      <c r="F120" s="300" t="s">
        <v>231</v>
      </c>
    </row>
    <row r="121" spans="1:13" x14ac:dyDescent="0.35">
      <c r="C121" s="153"/>
      <c r="D121" s="147"/>
      <c r="E121" s="471" t="s">
        <v>457</v>
      </c>
      <c r="F121" s="471" t="s">
        <v>83</v>
      </c>
      <c r="G121" s="300"/>
    </row>
    <row r="122" spans="1:13" x14ac:dyDescent="0.35">
      <c r="C122" s="153"/>
      <c r="D122" s="147"/>
      <c r="E122" s="472"/>
      <c r="F122" s="472"/>
      <c r="G122" s="471" t="s">
        <v>84</v>
      </c>
    </row>
    <row r="123" spans="1:13" x14ac:dyDescent="0.35">
      <c r="A123" s="179" t="s">
        <v>373</v>
      </c>
      <c r="B123"/>
      <c r="C123"/>
      <c r="D123" s="147"/>
      <c r="E123" s="301" t="s">
        <v>460</v>
      </c>
      <c r="F123" s="303">
        <v>16065769.140000001</v>
      </c>
      <c r="G123" s="472"/>
      <c r="I123" s="301" t="s">
        <v>460</v>
      </c>
      <c r="J123" s="303">
        <v>17066456.870000001</v>
      </c>
    </row>
    <row r="124" spans="1:13" ht="56.5" thickBot="1" x14ac:dyDescent="0.4">
      <c r="A124" s="207"/>
      <c r="B124" s="169" t="s">
        <v>455</v>
      </c>
      <c r="C124" s="169" t="s">
        <v>456</v>
      </c>
      <c r="D124" s="195"/>
      <c r="E124" s="393" t="s">
        <v>459</v>
      </c>
      <c r="F124" s="355"/>
      <c r="G124" s="351"/>
      <c r="I124" s="147" t="s">
        <v>459</v>
      </c>
      <c r="J124" s="299"/>
    </row>
    <row r="125" spans="1:13" x14ac:dyDescent="0.35">
      <c r="A125" s="363" t="str">
        <f>E125</f>
        <v>Амортизация ФА</v>
      </c>
      <c r="B125" s="208">
        <f>ROUND(F125/1000,0)</f>
        <v>243</v>
      </c>
      <c r="C125" s="208">
        <f>ROUND(J125/1000,0)</f>
        <v>231</v>
      </c>
      <c r="D125" s="195"/>
      <c r="E125" s="195" t="s">
        <v>374</v>
      </c>
      <c r="F125" s="222">
        <v>243102.75</v>
      </c>
      <c r="G125" s="346"/>
      <c r="I125" s="147" t="s">
        <v>374</v>
      </c>
      <c r="J125" s="135">
        <v>230585.54</v>
      </c>
      <c r="L125" s="325" t="s">
        <v>374</v>
      </c>
      <c r="M125" s="385">
        <v>231</v>
      </c>
    </row>
    <row r="126" spans="1:13" x14ac:dyDescent="0.35">
      <c r="A126" s="363" t="str">
        <f t="shared" ref="A126:A142" si="15">E126</f>
        <v>Аудит</v>
      </c>
      <c r="B126" s="208">
        <f t="shared" ref="B126:B141" si="16">ROUND(F126/1000,0)</f>
        <v>3000</v>
      </c>
      <c r="C126" s="208">
        <f t="shared" ref="C126:C141" si="17">ROUND(J126/1000,0)</f>
        <v>3000</v>
      </c>
      <c r="D126" s="195"/>
      <c r="E126" s="195" t="s">
        <v>375</v>
      </c>
      <c r="F126" s="222">
        <v>3000000</v>
      </c>
      <c r="G126" s="147"/>
      <c r="I126" s="147" t="s">
        <v>375</v>
      </c>
      <c r="J126" s="135">
        <v>3000000</v>
      </c>
      <c r="L126" s="325" t="s">
        <v>375</v>
      </c>
      <c r="M126" s="386">
        <v>3000</v>
      </c>
    </row>
    <row r="127" spans="1:13" x14ac:dyDescent="0.35">
      <c r="A127" s="363" t="str">
        <f t="shared" si="15"/>
        <v>Обучение</v>
      </c>
      <c r="B127" s="208">
        <f t="shared" si="16"/>
        <v>0</v>
      </c>
      <c r="C127" s="208">
        <f t="shared" si="17"/>
        <v>35</v>
      </c>
      <c r="D127" s="195"/>
      <c r="E127" s="195" t="s">
        <v>376</v>
      </c>
      <c r="F127" s="222"/>
      <c r="G127" s="147"/>
      <c r="I127" s="147" t="s">
        <v>376</v>
      </c>
      <c r="J127" s="135">
        <v>35000</v>
      </c>
      <c r="L127" s="325" t="s">
        <v>376</v>
      </c>
      <c r="M127" s="332">
        <v>35</v>
      </c>
    </row>
    <row r="128" spans="1:13" ht="24" customHeight="1" x14ac:dyDescent="0.35">
      <c r="A128" s="363" t="str">
        <f t="shared" si="15"/>
        <v>Обязательные пенсионные взносы работодателя</v>
      </c>
      <c r="B128" s="208">
        <f t="shared" si="16"/>
        <v>164</v>
      </c>
      <c r="C128" s="208">
        <f t="shared" si="17"/>
        <v>119</v>
      </c>
      <c r="D128" s="195"/>
      <c r="E128" s="195" t="s">
        <v>377</v>
      </c>
      <c r="F128" s="222">
        <v>164180</v>
      </c>
      <c r="G128" s="147"/>
      <c r="I128" s="147" t="s">
        <v>377</v>
      </c>
      <c r="J128" s="135">
        <v>118827</v>
      </c>
      <c r="L128" s="325" t="s">
        <v>377</v>
      </c>
      <c r="M128" s="332">
        <v>119</v>
      </c>
    </row>
    <row r="129" spans="1:13" x14ac:dyDescent="0.35">
      <c r="A129" s="363" t="str">
        <f t="shared" si="15"/>
        <v>Отчисления ОСМС</v>
      </c>
      <c r="B129" s="208">
        <f t="shared" si="16"/>
        <v>178</v>
      </c>
      <c r="C129" s="208">
        <f t="shared" si="17"/>
        <v>172</v>
      </c>
      <c r="D129" s="195"/>
      <c r="E129" s="195" t="s">
        <v>378</v>
      </c>
      <c r="F129" s="222">
        <v>177516</v>
      </c>
      <c r="G129" s="147"/>
      <c r="I129" s="147" t="s">
        <v>378</v>
      </c>
      <c r="J129" s="135">
        <v>171724</v>
      </c>
      <c r="L129" s="325" t="s">
        <v>378</v>
      </c>
      <c r="M129" s="332">
        <v>172</v>
      </c>
    </row>
    <row r="130" spans="1:13" x14ac:dyDescent="0.35">
      <c r="A130" s="363" t="str">
        <f t="shared" si="15"/>
        <v>Поиск вакансий</v>
      </c>
      <c r="B130" s="208">
        <f t="shared" si="16"/>
        <v>115</v>
      </c>
      <c r="C130" s="208">
        <f t="shared" si="17"/>
        <v>260</v>
      </c>
      <c r="D130" s="195"/>
      <c r="E130" s="195" t="s">
        <v>379</v>
      </c>
      <c r="F130" s="222">
        <v>115000</v>
      </c>
      <c r="G130" s="147"/>
      <c r="I130" s="147" t="s">
        <v>379</v>
      </c>
      <c r="J130" s="135">
        <v>260000</v>
      </c>
      <c r="L130" s="325" t="s">
        <v>379</v>
      </c>
      <c r="M130" s="332">
        <v>260</v>
      </c>
    </row>
    <row r="131" spans="1:13" ht="28" x14ac:dyDescent="0.35">
      <c r="A131" s="363" t="str">
        <f t="shared" si="15"/>
        <v>Расходы на выпуск ценных бумаг</v>
      </c>
      <c r="B131" s="208">
        <f t="shared" si="16"/>
        <v>127</v>
      </c>
      <c r="C131" s="208">
        <f t="shared" si="17"/>
        <v>90</v>
      </c>
      <c r="D131" s="195"/>
      <c r="E131" s="195" t="s">
        <v>389</v>
      </c>
      <c r="F131" s="394">
        <f>127018</f>
        <v>127018</v>
      </c>
      <c r="G131" s="353"/>
      <c r="H131" s="313"/>
      <c r="I131" s="353" t="s">
        <v>389</v>
      </c>
      <c r="J131" s="312">
        <f>90283</f>
        <v>90283</v>
      </c>
      <c r="L131" s="325" t="s">
        <v>465</v>
      </c>
      <c r="M131" s="310">
        <v>327</v>
      </c>
    </row>
    <row r="132" spans="1:13" ht="28" x14ac:dyDescent="0.35">
      <c r="A132" s="363" t="str">
        <f t="shared" si="15"/>
        <v>Расходы на содержание ценных бумаг</v>
      </c>
      <c r="B132" s="208">
        <f>ROUND(F132/1000,0)-1</f>
        <v>115</v>
      </c>
      <c r="C132" s="208">
        <f t="shared" si="17"/>
        <v>237</v>
      </c>
      <c r="D132" s="195"/>
      <c r="E132" s="195" t="s">
        <v>390</v>
      </c>
      <c r="F132" s="222">
        <v>115569.39</v>
      </c>
      <c r="G132" s="147"/>
      <c r="I132" s="147" t="s">
        <v>390</v>
      </c>
      <c r="J132" s="309">
        <f>299551.21-63000</f>
        <v>236551.21000000002</v>
      </c>
      <c r="L132" s="325"/>
      <c r="M132" s="332"/>
    </row>
    <row r="133" spans="1:13" ht="46" x14ac:dyDescent="0.35">
      <c r="A133" s="363" t="str">
        <f t="shared" si="15"/>
        <v>Расходы по настройке/обслуживанию программного обеспечения</v>
      </c>
      <c r="B133" s="208">
        <f t="shared" si="16"/>
        <v>292</v>
      </c>
      <c r="C133" s="208">
        <f t="shared" si="17"/>
        <v>15</v>
      </c>
      <c r="D133" s="195"/>
      <c r="E133" s="195" t="s">
        <v>365</v>
      </c>
      <c r="F133" s="222">
        <v>291600</v>
      </c>
      <c r="G133" s="147"/>
      <c r="I133" s="147" t="s">
        <v>365</v>
      </c>
      <c r="J133" s="135">
        <v>15000</v>
      </c>
      <c r="L133" s="325" t="s">
        <v>365</v>
      </c>
      <c r="M133" s="310">
        <v>15</v>
      </c>
    </row>
    <row r="134" spans="1:13" x14ac:dyDescent="0.35">
      <c r="A134" s="363" t="str">
        <f t="shared" si="15"/>
        <v>Расходы по оплате труда</v>
      </c>
      <c r="B134" s="208">
        <f t="shared" si="16"/>
        <v>9234</v>
      </c>
      <c r="C134" s="208">
        <f t="shared" si="17"/>
        <v>10588</v>
      </c>
      <c r="D134" s="195"/>
      <c r="E134" s="195" t="s">
        <v>366</v>
      </c>
      <c r="F134" s="222">
        <v>9233810</v>
      </c>
      <c r="G134" s="147"/>
      <c r="I134" s="147" t="s">
        <v>366</v>
      </c>
      <c r="J134" s="135">
        <v>10588427</v>
      </c>
      <c r="L134" s="325" t="s">
        <v>366</v>
      </c>
      <c r="M134" s="387">
        <v>10588</v>
      </c>
    </row>
    <row r="135" spans="1:13" x14ac:dyDescent="0.35">
      <c r="A135" s="363" t="str">
        <f t="shared" si="15"/>
        <v>Расходы связи (интернет)</v>
      </c>
      <c r="B135" s="208">
        <f t="shared" si="16"/>
        <v>177</v>
      </c>
      <c r="C135" s="208">
        <f t="shared" si="17"/>
        <v>74</v>
      </c>
      <c r="D135" s="195"/>
      <c r="E135" s="195" t="s">
        <v>367</v>
      </c>
      <c r="F135" s="394">
        <f>177107.2</f>
        <v>177107.20000000001</v>
      </c>
      <c r="G135" s="147"/>
      <c r="I135" s="147" t="s">
        <v>367</v>
      </c>
      <c r="J135" s="309">
        <f>148973.19-75000</f>
        <v>73973.19</v>
      </c>
      <c r="L135" s="325" t="s">
        <v>367</v>
      </c>
      <c r="M135" s="310">
        <v>74</v>
      </c>
    </row>
    <row r="136" spans="1:13" x14ac:dyDescent="0.35">
      <c r="A136" s="363" t="str">
        <f t="shared" si="15"/>
        <v>Социальные отчисления</v>
      </c>
      <c r="B136" s="208">
        <f t="shared" si="16"/>
        <v>258</v>
      </c>
      <c r="C136" s="208">
        <f t="shared" si="17"/>
        <v>162</v>
      </c>
      <c r="D136" s="195"/>
      <c r="E136" s="195" t="s">
        <v>368</v>
      </c>
      <c r="F136" s="222">
        <v>257774</v>
      </c>
      <c r="G136" s="147"/>
      <c r="I136" s="147" t="s">
        <v>368</v>
      </c>
      <c r="J136" s="135">
        <v>162466</v>
      </c>
      <c r="L136" s="325" t="s">
        <v>368</v>
      </c>
      <c r="M136" s="310">
        <v>162</v>
      </c>
    </row>
    <row r="137" spans="1:13" x14ac:dyDescent="0.35">
      <c r="A137" s="363" t="str">
        <f t="shared" si="15"/>
        <v>Социальный налог</v>
      </c>
      <c r="B137" s="208">
        <f t="shared" si="16"/>
        <v>673</v>
      </c>
      <c r="C137" s="208">
        <f t="shared" si="17"/>
        <v>757</v>
      </c>
      <c r="D137" s="195"/>
      <c r="E137" s="195" t="s">
        <v>369</v>
      </c>
      <c r="F137" s="222">
        <v>672688</v>
      </c>
      <c r="G137" s="147"/>
      <c r="I137" s="147" t="s">
        <v>369</v>
      </c>
      <c r="J137" s="135">
        <v>757304</v>
      </c>
      <c r="L137" s="325" t="s">
        <v>369</v>
      </c>
      <c r="M137" s="310">
        <v>757</v>
      </c>
    </row>
    <row r="138" spans="1:13" x14ac:dyDescent="0.35">
      <c r="A138" s="363" t="str">
        <f t="shared" si="15"/>
        <v>Списание материалов</v>
      </c>
      <c r="B138" s="208">
        <f t="shared" si="16"/>
        <v>0</v>
      </c>
      <c r="C138" s="208">
        <f t="shared" si="17"/>
        <v>36</v>
      </c>
      <c r="D138" s="195"/>
      <c r="E138" s="195" t="s">
        <v>380</v>
      </c>
      <c r="F138" s="222"/>
      <c r="G138" s="147"/>
      <c r="I138" s="147" t="s">
        <v>380</v>
      </c>
      <c r="J138" s="309">
        <f>8449+28000</f>
        <v>36449</v>
      </c>
      <c r="L138" s="325" t="s">
        <v>380</v>
      </c>
      <c r="M138" s="310">
        <v>36</v>
      </c>
    </row>
    <row r="139" spans="1:13" ht="28" x14ac:dyDescent="0.35">
      <c r="A139" s="363" t="str">
        <f t="shared" si="15"/>
        <v>Списание процентов по займам</v>
      </c>
      <c r="B139" s="208">
        <f t="shared" si="16"/>
        <v>176</v>
      </c>
      <c r="C139" s="208">
        <f t="shared" si="17"/>
        <v>108</v>
      </c>
      <c r="D139" s="195"/>
      <c r="E139" s="195" t="s">
        <v>461</v>
      </c>
      <c r="F139" s="222">
        <v>176220</v>
      </c>
      <c r="G139" s="147"/>
      <c r="I139" s="147" t="s">
        <v>370</v>
      </c>
      <c r="J139" s="135">
        <v>108049.41</v>
      </c>
      <c r="L139" s="325" t="s">
        <v>466</v>
      </c>
      <c r="M139" s="310">
        <v>127</v>
      </c>
    </row>
    <row r="140" spans="1:13" ht="28" x14ac:dyDescent="0.35">
      <c r="A140" s="363" t="str">
        <f t="shared" si="15"/>
        <v>Страхование залогового имущества</v>
      </c>
      <c r="B140" s="208">
        <f t="shared" si="16"/>
        <v>84</v>
      </c>
      <c r="C140" s="208">
        <f t="shared" si="17"/>
        <v>19</v>
      </c>
      <c r="D140" s="195"/>
      <c r="E140" s="195" t="s">
        <v>370</v>
      </c>
      <c r="F140" s="222">
        <v>83682.77</v>
      </c>
      <c r="G140" s="147"/>
      <c r="I140" s="147" t="s">
        <v>391</v>
      </c>
      <c r="J140" s="135">
        <v>19052.52</v>
      </c>
      <c r="L140" s="388" t="s">
        <v>464</v>
      </c>
      <c r="M140" s="389">
        <v>5</v>
      </c>
    </row>
    <row r="141" spans="1:13" x14ac:dyDescent="0.35">
      <c r="A141" s="363" t="str">
        <f t="shared" si="15"/>
        <v>Страхование работников</v>
      </c>
      <c r="B141" s="208">
        <f t="shared" si="16"/>
        <v>30</v>
      </c>
      <c r="C141" s="208">
        <f t="shared" si="17"/>
        <v>872</v>
      </c>
      <c r="D141" s="195"/>
      <c r="E141" s="195" t="s">
        <v>391</v>
      </c>
      <c r="F141" s="222">
        <v>29911.03</v>
      </c>
      <c r="G141" s="147"/>
      <c r="I141" s="147" t="s">
        <v>381</v>
      </c>
      <c r="J141" s="135">
        <v>871850</v>
      </c>
      <c r="L141" s="325" t="s">
        <v>381</v>
      </c>
      <c r="M141" s="310">
        <v>867</v>
      </c>
    </row>
    <row r="142" spans="1:13" x14ac:dyDescent="0.35">
      <c r="A142" s="363" t="str">
        <f t="shared" si="15"/>
        <v>услуги банка</v>
      </c>
      <c r="B142" s="208">
        <f>ROUND(F142/1000,0)-1</f>
        <v>852</v>
      </c>
      <c r="C142" s="208">
        <f>ROUND(J142/1000,0)-1</f>
        <v>49</v>
      </c>
      <c r="D142" s="363"/>
      <c r="E142" s="195" t="s">
        <v>381</v>
      </c>
      <c r="F142" s="222">
        <v>852550</v>
      </c>
      <c r="G142" s="147"/>
      <c r="I142" s="147" t="s">
        <v>371</v>
      </c>
      <c r="J142" s="135">
        <v>50025</v>
      </c>
      <c r="L142" s="325" t="s">
        <v>371</v>
      </c>
      <c r="M142" s="332">
        <v>49</v>
      </c>
    </row>
    <row r="143" spans="1:13" x14ac:dyDescent="0.35">
      <c r="A143" s="363" t="str">
        <f t="shared" ref="A143:A144" si="18">E143</f>
        <v>Услуги Депозитария</v>
      </c>
      <c r="B143" s="208">
        <f t="shared" ref="B143:B144" si="19">ROUND(F143/1000,0)</f>
        <v>52</v>
      </c>
      <c r="C143" s="208">
        <f t="shared" ref="C143:C144" si="20">ROUND(J143/1000,0)</f>
        <v>0</v>
      </c>
      <c r="D143" s="390"/>
      <c r="E143" s="195" t="s">
        <v>371</v>
      </c>
      <c r="F143" s="394">
        <v>52150</v>
      </c>
      <c r="G143" s="147"/>
      <c r="H143" s="135"/>
      <c r="I143" s="147"/>
      <c r="J143" s="135"/>
      <c r="L143" s="325" t="s">
        <v>382</v>
      </c>
      <c r="M143" s="332">
        <v>131</v>
      </c>
    </row>
    <row r="144" spans="1:13" x14ac:dyDescent="0.35">
      <c r="A144" s="363" t="str">
        <f t="shared" si="18"/>
        <v>членский взнос</v>
      </c>
      <c r="B144" s="208">
        <f t="shared" si="19"/>
        <v>296</v>
      </c>
      <c r="C144" s="208">
        <f t="shared" si="20"/>
        <v>131</v>
      </c>
      <c r="D144" s="390"/>
      <c r="E144" s="195" t="s">
        <v>382</v>
      </c>
      <c r="F144" s="222">
        <v>295890</v>
      </c>
      <c r="G144" s="147"/>
      <c r="I144" s="147" t="s">
        <v>382</v>
      </c>
      <c r="J144" s="135">
        <v>130890</v>
      </c>
    </row>
    <row r="145" spans="1:13" x14ac:dyDescent="0.35">
      <c r="A145" s="209" t="s">
        <v>328</v>
      </c>
      <c r="B145" s="210">
        <f>SUM(B125:B144)</f>
        <v>16066</v>
      </c>
      <c r="C145" s="210">
        <f>SUM(C125:C144)</f>
        <v>16955</v>
      </c>
      <c r="D145" s="390"/>
      <c r="E145" s="356" t="s">
        <v>328</v>
      </c>
      <c r="F145" s="391">
        <f>SUM(F125:F144)</f>
        <v>16065769.139999999</v>
      </c>
      <c r="G145" s="352">
        <v>16065769.140000001</v>
      </c>
      <c r="I145" s="302" t="s">
        <v>328</v>
      </c>
      <c r="J145" s="311">
        <f>SUM(J125:J144)</f>
        <v>16956456.869999997</v>
      </c>
    </row>
    <row r="146" spans="1:13" x14ac:dyDescent="0.35">
      <c r="B146" s="392">
        <f>Ф2!E17</f>
        <v>-16066</v>
      </c>
      <c r="C146" s="392">
        <f>Ф2!F17</f>
        <v>-16955</v>
      </c>
      <c r="D146" s="390"/>
      <c r="E146" s="195"/>
      <c r="F146" s="357">
        <v>16065769.140000001</v>
      </c>
      <c r="J146" s="146">
        <v>17066456.870000001</v>
      </c>
      <c r="L146" s="325"/>
      <c r="M146" s="332"/>
    </row>
    <row r="147" spans="1:13" x14ac:dyDescent="0.35">
      <c r="E147" s="147"/>
      <c r="F147" s="135"/>
      <c r="L147" s="181" t="s">
        <v>328</v>
      </c>
      <c r="M147" s="331">
        <v>16955</v>
      </c>
    </row>
    <row r="148" spans="1:13" x14ac:dyDescent="0.35">
      <c r="E148" s="397"/>
      <c r="F148" s="135"/>
    </row>
    <row r="149" spans="1:13" ht="45.5" thickBot="1" x14ac:dyDescent="0.4">
      <c r="A149" s="398" t="s">
        <v>498</v>
      </c>
      <c r="B149" s="407" t="s">
        <v>502</v>
      </c>
      <c r="C149" s="407" t="s">
        <v>500</v>
      </c>
      <c r="D149" s="407" t="s">
        <v>499</v>
      </c>
      <c r="E149" s="407" t="s">
        <v>500</v>
      </c>
      <c r="F149" s="395"/>
    </row>
    <row r="150" spans="1:13" ht="15.5" x14ac:dyDescent="0.35">
      <c r="A150" s="399" t="s">
        <v>1</v>
      </c>
      <c r="B150" s="403" t="s">
        <v>6</v>
      </c>
      <c r="C150" s="403" t="s">
        <v>6</v>
      </c>
      <c r="D150" s="403" t="s">
        <v>6</v>
      </c>
      <c r="E150" s="404" t="s">
        <v>6</v>
      </c>
      <c r="F150" s="303">
        <f>68178329.34+68453333.33+57985416.67+69846389.77+69831126.3</f>
        <v>334294595.41000003</v>
      </c>
      <c r="G150" s="303">
        <f>68178329.34+68453333.33+56510416.67+70005833.3+70021388.77</f>
        <v>333169301.41000003</v>
      </c>
      <c r="H150" s="150">
        <f>23.33*2+27.5+55.62</f>
        <v>129.78</v>
      </c>
    </row>
    <row r="151" spans="1:13" ht="15.5" x14ac:dyDescent="0.35">
      <c r="A151" s="400" t="s">
        <v>173</v>
      </c>
      <c r="B151" s="401">
        <v>334295</v>
      </c>
      <c r="C151" s="402">
        <v>0.2843</v>
      </c>
      <c r="D151" s="401">
        <v>333169</v>
      </c>
      <c r="E151" s="402">
        <v>0.2757</v>
      </c>
      <c r="F151" s="396"/>
      <c r="H151" s="150">
        <f>H150/4</f>
        <v>32.445</v>
      </c>
    </row>
    <row r="152" spans="1:13" ht="15.5" x14ac:dyDescent="0.35">
      <c r="A152" s="400" t="s">
        <v>501</v>
      </c>
      <c r="B152" s="405">
        <v>151995</v>
      </c>
      <c r="C152" s="406">
        <v>0</v>
      </c>
      <c r="D152" s="405">
        <v>3161</v>
      </c>
      <c r="E152" s="406">
        <v>0</v>
      </c>
      <c r="F152" s="150">
        <f>44+25+44+25+30*2+1</f>
        <v>199</v>
      </c>
      <c r="G152" s="395">
        <f>68178</f>
        <v>68178</v>
      </c>
    </row>
    <row r="153" spans="1:13" ht="15.5" x14ac:dyDescent="0.35">
      <c r="A153" s="399" t="s">
        <v>178</v>
      </c>
      <c r="B153" s="403" t="s">
        <v>6</v>
      </c>
      <c r="C153" s="403" t="s">
        <v>6</v>
      </c>
      <c r="D153" s="403" t="s">
        <v>6</v>
      </c>
      <c r="E153" s="403" t="s">
        <v>6</v>
      </c>
      <c r="F153" s="395">
        <f>F152/7</f>
        <v>28.428571428571427</v>
      </c>
    </row>
    <row r="154" spans="1:13" ht="15.5" x14ac:dyDescent="0.35">
      <c r="A154" s="400" t="s">
        <v>179</v>
      </c>
      <c r="B154" s="400" t="s">
        <v>6</v>
      </c>
      <c r="C154" s="400" t="s">
        <v>6</v>
      </c>
      <c r="D154" s="400" t="s">
        <v>6</v>
      </c>
      <c r="E154" s="400" t="s">
        <v>6</v>
      </c>
    </row>
    <row r="156" spans="1:13" x14ac:dyDescent="0.35">
      <c r="D156" s="150">
        <v>263148</v>
      </c>
    </row>
    <row r="157" spans="1:13" x14ac:dyDescent="0.35">
      <c r="D157" s="153">
        <f>D151-D156</f>
        <v>70021</v>
      </c>
    </row>
    <row r="159" spans="1:13" ht="28" x14ac:dyDescent="0.35">
      <c r="A159" s="192"/>
      <c r="B159" s="143" t="s">
        <v>439</v>
      </c>
      <c r="C159" s="143" t="s">
        <v>454</v>
      </c>
    </row>
    <row r="160" spans="1:13" ht="15.5" x14ac:dyDescent="0.35">
      <c r="A160" s="137" t="s">
        <v>173</v>
      </c>
      <c r="B160" s="171">
        <f>Ф1!C11</f>
        <v>1991134</v>
      </c>
      <c r="C160" s="171">
        <f>Ф1!D11</f>
        <v>1704003</v>
      </c>
    </row>
    <row r="161" spans="1:3" ht="31" x14ac:dyDescent="0.35">
      <c r="A161" s="408" t="s">
        <v>171</v>
      </c>
      <c r="B161" s="171">
        <f>Ф1!C8</f>
        <v>1462</v>
      </c>
      <c r="C161" s="171">
        <f>Ф1!D8</f>
        <v>7022</v>
      </c>
    </row>
    <row r="162" spans="1:3" ht="15.5" x14ac:dyDescent="0.35">
      <c r="A162" s="137" t="s">
        <v>212</v>
      </c>
      <c r="B162" s="171">
        <f>Ф1!C9</f>
        <v>28</v>
      </c>
      <c r="C162" s="171">
        <f>Ф1!D9</f>
        <v>274</v>
      </c>
    </row>
    <row r="163" spans="1:3" ht="15.5" x14ac:dyDescent="0.35">
      <c r="A163" s="408" t="s">
        <v>172</v>
      </c>
      <c r="B163" s="171">
        <f>Ф1!C10</f>
        <v>202</v>
      </c>
      <c r="C163" s="171">
        <f>Ф1!D10</f>
        <v>84102</v>
      </c>
    </row>
    <row r="164" spans="1:3" ht="31" x14ac:dyDescent="0.35">
      <c r="A164" s="137" t="s">
        <v>174</v>
      </c>
      <c r="B164" s="409">
        <f>Ф1!C12</f>
        <v>31</v>
      </c>
      <c r="C164" s="409">
        <f>Ф1!D12</f>
        <v>281</v>
      </c>
    </row>
    <row r="165" spans="1:3" ht="16" thickBot="1" x14ac:dyDescent="0.4">
      <c r="A165" s="137" t="s">
        <v>503</v>
      </c>
      <c r="B165" s="409">
        <f>Ф1!C13</f>
        <v>151995</v>
      </c>
      <c r="C165" s="409">
        <f>Ф1!D13</f>
        <v>3161</v>
      </c>
    </row>
    <row r="166" spans="1:3" ht="15" x14ac:dyDescent="0.35">
      <c r="A166" s="410" t="s">
        <v>504</v>
      </c>
      <c r="B166" s="411">
        <f>SUM(B160:B165)</f>
        <v>2144852</v>
      </c>
      <c r="C166" s="411">
        <f>SUM(C160:C165)</f>
        <v>1798843</v>
      </c>
    </row>
    <row r="169" spans="1:3" ht="28" x14ac:dyDescent="0.35">
      <c r="A169" s="327" t="s">
        <v>505</v>
      </c>
      <c r="B169" s="371" t="s">
        <v>439</v>
      </c>
      <c r="C169" s="371" t="s">
        <v>454</v>
      </c>
    </row>
    <row r="170" spans="1:3" x14ac:dyDescent="0.35">
      <c r="A170" s="170" t="s">
        <v>506</v>
      </c>
      <c r="B170" s="412">
        <f>Ф1!C37</f>
        <v>478320</v>
      </c>
      <c r="C170" s="412">
        <f>Ф1!D37</f>
        <v>607878</v>
      </c>
    </row>
    <row r="171" spans="1:3" x14ac:dyDescent="0.35">
      <c r="A171" s="415" t="s">
        <v>507</v>
      </c>
      <c r="B171" s="416">
        <f>Ф1!C21</f>
        <v>2154857</v>
      </c>
      <c r="C171" s="416">
        <f>Ф1!D21</f>
        <v>1810996</v>
      </c>
    </row>
    <row r="172" spans="1:3" x14ac:dyDescent="0.35">
      <c r="A172" s="417" t="s">
        <v>508</v>
      </c>
      <c r="B172" s="418">
        <f>ROUND(B170/B171,2)</f>
        <v>0.22</v>
      </c>
      <c r="C172" s="418">
        <f>ROUND(C170/C171,2)</f>
        <v>0.34</v>
      </c>
    </row>
    <row r="175" spans="1:3" ht="28" x14ac:dyDescent="0.35">
      <c r="A175" s="413" t="s">
        <v>505</v>
      </c>
      <c r="B175" s="414" t="s">
        <v>439</v>
      </c>
      <c r="C175" s="414" t="s">
        <v>454</v>
      </c>
    </row>
    <row r="176" spans="1:3" x14ac:dyDescent="0.35">
      <c r="A176" s="170" t="s">
        <v>506</v>
      </c>
      <c r="B176" s="412">
        <f>B170</f>
        <v>478320</v>
      </c>
      <c r="C176" s="412">
        <f>C170</f>
        <v>607878</v>
      </c>
    </row>
    <row r="177" spans="1:3" x14ac:dyDescent="0.35">
      <c r="A177" s="415" t="s">
        <v>509</v>
      </c>
      <c r="B177" s="416">
        <f>Ф1!C31</f>
        <v>1676537</v>
      </c>
      <c r="C177" s="416">
        <f>Ф1!D31</f>
        <v>1203118</v>
      </c>
    </row>
    <row r="178" spans="1:3" x14ac:dyDescent="0.35">
      <c r="A178" s="417"/>
      <c r="B178" s="418">
        <f>ROUND(B177/B176,2)</f>
        <v>3.51</v>
      </c>
      <c r="C178" s="418">
        <f>ROUND(C177/C176,2)</f>
        <v>1.98</v>
      </c>
    </row>
  </sheetData>
  <mergeCells count="12">
    <mergeCell ref="A35:A36"/>
    <mergeCell ref="B35:B36"/>
    <mergeCell ref="E35:E36"/>
    <mergeCell ref="J100:J101"/>
    <mergeCell ref="K100:K101"/>
    <mergeCell ref="E121:E122"/>
    <mergeCell ref="F121:F122"/>
    <mergeCell ref="G122:G123"/>
    <mergeCell ref="E100:E101"/>
    <mergeCell ref="F100:F101"/>
    <mergeCell ref="G100:G101"/>
    <mergeCell ref="I100:I101"/>
  </mergeCell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Ф1</vt:lpstr>
      <vt:lpstr>Ф2</vt:lpstr>
      <vt:lpstr>Ф3</vt:lpstr>
      <vt:lpstr>Ф4</vt:lpstr>
      <vt:lpstr>ОСВ </vt:lpstr>
      <vt:lpstr>Расшифровки</vt:lpstr>
      <vt:lpstr>Ф4!Область_печати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Irina</dc:creator>
  <cp:lastModifiedBy>Irina</cp:lastModifiedBy>
  <cp:lastPrinted>2022-06-04T08:14:21Z</cp:lastPrinted>
  <dcterms:created xsi:type="dcterms:W3CDTF">2022-05-04T17:19:45Z</dcterms:created>
  <dcterms:modified xsi:type="dcterms:W3CDTF">2025-04-28T15:17:40Z</dcterms:modified>
</cp:coreProperties>
</file>