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970" windowHeight="6300" activeTab="1"/>
  </bookViews>
  <sheets>
    <sheet name="Ф1" sheetId="35" r:id="rId1"/>
    <sheet name="Ф2" sheetId="44" r:id="rId2"/>
    <sheet name="Ф3" sheetId="43" r:id="rId3"/>
    <sheet name="Ф4" sheetId="38" r:id="rId4"/>
  </sheets>
  <calcPr calcId="162913"/>
</workbook>
</file>

<file path=xl/calcChain.xml><?xml version="1.0" encoding="utf-8"?>
<calcChain xmlns="http://schemas.openxmlformats.org/spreadsheetml/2006/main">
  <c r="D14" i="44" l="1"/>
  <c r="C14" i="44"/>
  <c r="D13" i="44"/>
  <c r="C13" i="44"/>
  <c r="D9" i="44"/>
  <c r="C9" i="44"/>
  <c r="C17" i="44" l="1"/>
  <c r="C19" i="44" s="1"/>
  <c r="C20" i="44" s="1"/>
  <c r="D17" i="44"/>
  <c r="D19" i="44" s="1"/>
  <c r="D20" i="44" s="1"/>
  <c r="B41" i="43"/>
  <c r="B10" i="43"/>
  <c r="B36" i="43"/>
  <c r="B27" i="43"/>
  <c r="B24" i="43" s="1"/>
  <c r="B26" i="43"/>
  <c r="B25" i="43"/>
  <c r="B39" i="43"/>
  <c r="B18" i="43"/>
  <c r="B44" i="43"/>
  <c r="B38" i="43"/>
  <c r="B15" i="43"/>
  <c r="B16" i="43"/>
  <c r="B17" i="43"/>
  <c r="B12" i="43"/>
  <c r="B8" i="43"/>
  <c r="B9" i="43"/>
  <c r="B30" i="43"/>
  <c r="B21" i="43"/>
  <c r="C44" i="43"/>
  <c r="C41" i="43"/>
  <c r="C39" i="43"/>
  <c r="C37" i="43"/>
  <c r="C34" i="43"/>
  <c r="C30" i="43" s="1"/>
  <c r="C27" i="43"/>
  <c r="C26" i="43"/>
  <c r="C25" i="43"/>
  <c r="C21" i="43"/>
  <c r="C18" i="43"/>
  <c r="C17" i="43"/>
  <c r="C16" i="43"/>
  <c r="C15" i="43"/>
  <c r="C14" i="43"/>
  <c r="C13" i="43"/>
  <c r="C12" i="43"/>
  <c r="C10" i="43"/>
  <c r="C9" i="43"/>
  <c r="C8" i="43"/>
  <c r="B11" i="43" l="1"/>
  <c r="B35" i="43"/>
  <c r="B40" i="43" s="1"/>
  <c r="B7" i="43"/>
  <c r="B19" i="43" s="1"/>
  <c r="B28" i="43"/>
  <c r="C7" i="43"/>
  <c r="C11" i="43"/>
  <c r="C19" i="43" s="1"/>
  <c r="C24" i="43"/>
  <c r="C28" i="43" s="1"/>
  <c r="C35" i="43"/>
  <c r="C40" i="43" s="1"/>
  <c r="B42" i="43" l="1"/>
  <c r="B45" i="43" s="1"/>
  <c r="C42" i="43"/>
  <c r="C45" i="43" s="1"/>
  <c r="C22" i="35" l="1"/>
  <c r="C46" i="35"/>
  <c r="C47" i="35" s="1"/>
  <c r="C37" i="35"/>
  <c r="D37" i="35"/>
  <c r="C27" i="35"/>
  <c r="C31" i="35" s="1"/>
  <c r="C16" i="35"/>
  <c r="C23" i="35" s="1"/>
  <c r="C10" i="35"/>
  <c r="C13" i="35" s="1"/>
  <c r="D46" i="35"/>
  <c r="D22" i="35"/>
  <c r="C48" i="35" l="1"/>
  <c r="C49" i="35" s="1"/>
  <c r="C24" i="35"/>
  <c r="D27" i="35"/>
  <c r="D16" i="35"/>
  <c r="D10" i="35"/>
  <c r="C10" i="38" l="1"/>
  <c r="C12" i="38" s="1"/>
  <c r="D10" i="38"/>
  <c r="D12" i="38" s="1"/>
  <c r="B10" i="38"/>
  <c r="B12" i="38" s="1"/>
  <c r="F8" i="38"/>
  <c r="D23" i="35" l="1"/>
  <c r="D47" i="35" l="1"/>
  <c r="D48" i="35" s="1"/>
  <c r="D31" i="35"/>
  <c r="D13" i="35"/>
  <c r="D24" i="35" s="1"/>
  <c r="D49" i="35" l="1"/>
  <c r="F11" i="38"/>
  <c r="F9" i="38" l="1"/>
  <c r="F10" i="38" s="1"/>
  <c r="H10" i="38" s="1"/>
  <c r="E10" i="38"/>
  <c r="E12" i="38" s="1"/>
  <c r="C50" i="35"/>
  <c r="F12" i="38" l="1"/>
  <c r="H12" i="38" s="1"/>
  <c r="D50" i="35"/>
</calcChain>
</file>

<file path=xl/sharedStrings.xml><?xml version="1.0" encoding="utf-8"?>
<sst xmlns="http://schemas.openxmlformats.org/spreadsheetml/2006/main" count="151" uniqueCount="121">
  <si>
    <t>Авансы выданные</t>
  </si>
  <si>
    <t xml:space="preserve">          (фамилия, имя, отчество)                                          (подпись)</t>
  </si>
  <si>
    <t xml:space="preserve">           (фамилия, имя, отчество)                                         (подпись)</t>
  </si>
  <si>
    <t>АО "Оптово-розничное предприятие торговли"</t>
  </si>
  <si>
    <t>тыс. тенге</t>
  </si>
  <si>
    <t>В тыс. тенге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</si>
  <si>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</si>
  <si>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</si>
  <si>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</si>
  <si>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</si>
  <si>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</si>
  <si>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</si>
  <si>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</si>
  <si>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</si>
  <si>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Денежные средства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</si>
  <si>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</si>
  <si>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</si>
  <si>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</si>
  <si>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НДС к возмещению</t>
  </si>
  <si>
    <t>Текущие налоговые активы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</si>
  <si>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</si>
  <si>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</si>
  <si>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</si>
  <si>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</si>
  <si>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</si>
  <si>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Уставный капитал</t>
  </si>
  <si>
    <t>Привилегированные акции, удерживаемые внутри Компании</t>
  </si>
  <si>
    <t>Эмиссионный доход</t>
  </si>
  <si>
    <t>Нераспределённая прибыль</t>
  </si>
  <si>
    <t>ИТОГО КАПИТАЛ</t>
  </si>
  <si>
    <t>Долгосрочные обязательства</t>
  </si>
  <si>
    <t>Обязательство по привилегированным акциям</t>
  </si>
  <si>
    <t>Обязательство по отложенному налогу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</si>
  <si>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</si>
  <si>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</si>
  <si>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</si>
  <si>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</si>
  <si>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Вознаграждения работникам</t>
  </si>
  <si>
    <t>Обязательство по прочим налогам и другим обязательным платежам</t>
  </si>
  <si>
    <t>Займы</t>
  </si>
  <si>
    <t>Резервы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</si>
  <si>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</si>
  <si>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</si>
  <si>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</si>
  <si>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</si>
  <si>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Выручка по договорам с покупателями</t>
  </si>
  <si>
    <t>Себестоимость реализованных товаров и оказанных услуг</t>
  </si>
  <si>
    <t>Валовой доход</t>
  </si>
  <si>
    <t xml:space="preserve">   Административные расходы</t>
  </si>
  <si>
    <t>Прочие  доходы</t>
  </si>
  <si>
    <t>Прочие расходы</t>
  </si>
  <si>
    <t xml:space="preserve">Доходы/Убытки от обесценения финансовых активов </t>
  </si>
  <si>
    <t>Финансовые расходы</t>
  </si>
  <si>
    <t>Финансовые доходы</t>
  </si>
  <si>
    <t>Прибыль до налогообложения</t>
  </si>
  <si>
    <t>На 31.12.2020г.</t>
  </si>
  <si>
    <t>2020 год</t>
  </si>
  <si>
    <t>Расходы по налогу на прибыль</t>
  </si>
  <si>
    <t xml:space="preserve">   Доходы от изменения справедливой стоимости инвестиционной недвижимости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</si>
  <si>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</si>
  <si>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</si>
  <si>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</si>
  <si>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Авансы полученные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</si>
  <si>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</si>
  <si>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</si>
  <si>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</si>
  <si>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</si>
  <si>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</si>
  <si>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 xml:space="preserve">Выплаты по прочим налогам и другим обязательным платежам </t>
  </si>
  <si>
    <t>Выплата вознаграждения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</si>
  <si>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</si>
  <si>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</si>
  <si>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</si>
  <si>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</si>
  <si>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>Приобретения основных средств</t>
  </si>
  <si>
    <t>Авансы выданные под приобретение долгосрочных активов</t>
  </si>
  <si>
    <t>Чистый отток денежных средств от инвестиционной деятельности</t>
  </si>
  <si>
    <t>ДЕНЕЖНЫЕ ПОТОКИ ОТ ФИНАНСОВОЙ ДЕЯТЕЛЬНОСТИ:</t>
  </si>
  <si>
    <t xml:space="preserve">   Эмиссия финансовых инструментов</t>
  </si>
  <si>
    <t xml:space="preserve">   Прочие поступления от финансовой деятельности</t>
  </si>
  <si>
    <t>Выплата вознаграждения по облигациям</t>
  </si>
  <si>
    <t>Выплата дивидендов</t>
  </si>
  <si>
    <t>Чистое поступление денежных средств от финансовой деятельности</t>
  </si>
  <si>
    <t>Влияние курсовой разницы на денежные средства</t>
  </si>
  <si>
    <t>Чистое увеличение денежных средств</t>
  </si>
  <si>
    <t>Денежные средства на начало года</t>
  </si>
  <si>
    <t>Денежные средства на конец года</t>
  </si>
  <si>
    <t xml:space="preserve">Уставный капитал </t>
  </si>
  <si>
    <t>Нераспределенная прибыль</t>
  </si>
  <si>
    <t xml:space="preserve">Итого </t>
  </si>
  <si>
    <t>капитал</t>
  </si>
  <si>
    <t>На 31 декабря 2019 года</t>
  </si>
  <si>
    <t>Прибыль за период</t>
  </si>
  <si>
    <t xml:space="preserve">За период с 01.01.2020 по 31.12.2020г. </t>
  </si>
  <si>
    <t>Приобретение инвестиционной недвижимости</t>
  </si>
  <si>
    <t>Начисление/восстановление убытка от обесценения денежных средств</t>
  </si>
  <si>
    <t>Поступления вознаграждения по депозиту</t>
  </si>
  <si>
    <t>Прибыль на акцию</t>
  </si>
  <si>
    <t>ОТЧЕТ ОБ ИЗМЕНЕНИЯХ В КАПИТАЛЕ</t>
  </si>
  <si>
    <t>На 31 декабря 2020 года</t>
  </si>
  <si>
    <t>ОТЧЕТ О ФИНАНСОВОМ ПОЛОЖЕНИИ</t>
  </si>
  <si>
    <t>ОТЧЕТ О СОВОКУПНОМ ДОХОДЕ</t>
  </si>
  <si>
    <t>О ДВИЖЕНИИ ДЕНЕЖНЫХ СРЕДСТВ (ПРЯМОЙ МЕТОД)</t>
  </si>
  <si>
    <t>На 31.12.2021 г.</t>
  </si>
  <si>
    <r>
      <t>Руководитель</t>
    </r>
    <r>
      <rPr>
        <sz val="9"/>
        <rFont val="Times New Roman"/>
        <family val="1"/>
        <charset val="204"/>
      </rPr>
      <t xml:space="preserve"> Ким С.К. _______________________________</t>
    </r>
  </si>
  <si>
    <r>
      <t>Главный бухгалтер</t>
    </r>
    <r>
      <rPr>
        <sz val="9"/>
        <rFont val="Times New Roman"/>
        <family val="1"/>
        <charset val="204"/>
      </rPr>
      <t xml:space="preserve"> Токтамысова Т.М. ___________________________</t>
    </r>
  </si>
  <si>
    <t>2021 год</t>
  </si>
  <si>
    <r>
      <t>Главный бухгалтер</t>
    </r>
    <r>
      <rPr>
        <sz val="9"/>
        <rFont val="Times New Roman"/>
        <family val="1"/>
        <charset val="204"/>
      </rPr>
      <t xml:space="preserve"> Токтамысова Т.М.___________________________</t>
    </r>
  </si>
  <si>
    <t xml:space="preserve">За период с 01.01.2021 по 31.12.2021г. </t>
  </si>
  <si>
    <t>За год, закончившийся 31 декабря 2021 года</t>
  </si>
  <si>
    <t>На 31 декабря 2021 года</t>
  </si>
  <si>
    <r>
      <t xml:space="preserve">Руководитель </t>
    </r>
    <r>
      <rPr>
        <sz val="9"/>
        <rFont val="Times New Roman"/>
        <family val="1"/>
        <charset val="204"/>
      </rPr>
      <t>Ким С.К.______________________________</t>
    </r>
  </si>
  <si>
    <t>Погашение займов</t>
  </si>
  <si>
    <t>Выплата по облигациям</t>
  </si>
  <si>
    <t xml:space="preserve">   Получение займов краткосрочных</t>
  </si>
  <si>
    <t xml:space="preserve">   Получение займов долгосрочных</t>
  </si>
  <si>
    <t>Примечание</t>
  </si>
  <si>
    <t>Чистая прибыль</t>
  </si>
  <si>
    <t>За год, закончившийся 31.12.2021 г.</t>
  </si>
  <si>
    <t>За год, закончившийся 31.12.2021г.</t>
  </si>
  <si>
    <t>За год, закончившийся 31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</si>
</sst>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(* #,##0_);_(* \(#,##0\);_(* &quot;-&quot;??_);_(@_)"/>
    <numFmt numFmtId="166" formatCode="_(* #,##0.00_);_(* \(#,##0.00\);_(* &quot;-&quot;??_);_(@_)"/>
    <numFmt numFmtId="167" formatCode="_(* #,##0_);_(* \(#,##0\);_(* &quot;-&quot;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 wrapText="1"/>
    </xf>
    <xf numFmtId="0" fontId="8" fillId="0" borderId="0" xfId="0" applyFont="1" applyAlignment="1">
      <alignment horizontal="left" vertical="center" indent="1"/>
    </xf>
    <xf numFmtId="3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indent="1"/>
    </xf>
    <xf numFmtId="3" fontId="8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0" fillId="0" borderId="0" xfId="0" applyNumberFormat="1" applyFill="1"/>
    <xf numFmtId="0" fontId="5" fillId="0" borderId="3" xfId="0" applyFont="1" applyBorder="1" applyAlignment="1">
      <alignment horizontal="left" vertical="center" indent="1"/>
    </xf>
    <xf numFmtId="0" fontId="10" fillId="0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3" fontId="6" fillId="3" borderId="4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4" fillId="2" borderId="5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 indent="1"/>
    </xf>
    <xf numFmtId="3" fontId="14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167" fontId="6" fillId="0" borderId="0" xfId="0" applyNumberFormat="1" applyFont="1" applyFill="1" applyBorder="1" applyAlignment="1">
      <alignment horizontal="right" vertical="center" wrapText="1"/>
    </xf>
    <xf numFmtId="167" fontId="5" fillId="0" borderId="0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 indent="1"/>
    </xf>
    <xf numFmtId="167" fontId="5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 indent="1"/>
    </xf>
    <xf numFmtId="165" fontId="6" fillId="0" borderId="3" xfId="1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165" fontId="6" fillId="0" borderId="3" xfId="1" applyNumberFormat="1" applyFont="1" applyFill="1" applyBorder="1"/>
    <xf numFmtId="165" fontId="6" fillId="0" borderId="2" xfId="1" applyNumberFormat="1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 wrapText="1" indent="1"/>
    </xf>
    <xf numFmtId="0" fontId="16" fillId="0" borderId="0" xfId="0" applyFont="1" applyFill="1"/>
    <xf numFmtId="0" fontId="16" fillId="0" borderId="0" xfId="0" applyFont="1"/>
    <xf numFmtId="0" fontId="17" fillId="0" borderId="0" xfId="0" applyFont="1"/>
    <xf numFmtId="0" fontId="5" fillId="0" borderId="0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3" fontId="6" fillId="0" borderId="3" xfId="0" applyNumberFormat="1" applyFont="1" applyBorder="1" applyAlignment="1">
      <alignment horizontal="right" vertical="center"/>
    </xf>
    <xf numFmtId="3" fontId="17" fillId="0" borderId="0" xfId="0" applyNumberFormat="1" applyFont="1"/>
    <xf numFmtId="3" fontId="16" fillId="0" borderId="0" xfId="0" applyNumberFormat="1" applyFont="1"/>
    <xf numFmtId="0" fontId="18" fillId="0" borderId="2" xfId="0" applyFont="1" applyBorder="1" applyAlignment="1">
      <alignment horizontal="left" vertical="center" wrapText="1" indent="1"/>
    </xf>
    <xf numFmtId="3" fontId="18" fillId="0" borderId="2" xfId="0" applyNumberFormat="1" applyFont="1" applyBorder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 wrapText="1"/>
    </xf>
    <xf numFmtId="3" fontId="18" fillId="0" borderId="2" xfId="0" applyNumberFormat="1" applyFont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/>
    <xf numFmtId="0" fontId="6" fillId="0" borderId="4" xfId="0" applyFont="1" applyBorder="1" applyAlignment="1">
      <alignment horizontal="left" vertical="center" wrapText="1" indent="1"/>
    </xf>
    <xf numFmtId="3" fontId="6" fillId="0" borderId="4" xfId="0" applyNumberFormat="1" applyFont="1" applyBorder="1" applyAlignment="1">
      <alignment horizontal="right" vertical="center"/>
    </xf>
    <xf numFmtId="165" fontId="6" fillId="0" borderId="4" xfId="1" applyNumberFormat="1" applyFont="1" applyFill="1" applyBorder="1"/>
    <xf numFmtId="167" fontId="6" fillId="0" borderId="2" xfId="0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3" fontId="9" fillId="0" borderId="0" xfId="0" applyNumberFormat="1" applyFont="1" applyFill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165" fontId="7" fillId="4" borderId="3" xfId="1" applyNumberFormat="1" applyFont="1" applyFill="1" applyBorder="1"/>
    <xf numFmtId="165" fontId="7" fillId="4" borderId="0" xfId="1" applyNumberFormat="1" applyFont="1" applyFill="1" applyBorder="1"/>
    <xf numFmtId="165" fontId="7" fillId="4" borderId="0" xfId="1" applyNumberFormat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/>
    </xf>
    <xf numFmtId="165" fontId="7" fillId="4" borderId="3" xfId="1" applyNumberFormat="1" applyFont="1" applyFill="1" applyBorder="1" applyAlignment="1">
      <alignment horizontal="right"/>
    </xf>
    <xf numFmtId="166" fontId="7" fillId="4" borderId="0" xfId="1" applyNumberFormat="1" applyFont="1" applyFill="1" applyBorder="1" applyAlignment="1">
      <alignment horizontal="right"/>
    </xf>
    <xf numFmtId="167" fontId="5" fillId="4" borderId="0" xfId="0" applyNumberFormat="1" applyFont="1" applyFill="1" applyBorder="1" applyAlignment="1">
      <alignment horizontal="right" vertical="center" wrapText="1"/>
    </xf>
    <xf numFmtId="167" fontId="15" fillId="4" borderId="5" xfId="0" applyNumberFormat="1" applyFont="1" applyFill="1" applyBorder="1" applyAlignment="1">
      <alignment horizontal="right" vertical="center" wrapText="1" indent="1"/>
    </xf>
    <xf numFmtId="167" fontId="14" fillId="4" borderId="0" xfId="0" applyNumberFormat="1" applyFont="1" applyFill="1" applyAlignment="1">
      <alignment horizontal="right" vertical="center"/>
    </xf>
    <xf numFmtId="167" fontId="15" fillId="4" borderId="0" xfId="0" applyNumberFormat="1" applyFont="1" applyFill="1" applyAlignment="1">
      <alignment horizontal="right" vertical="center" wrapText="1" indent="1"/>
    </xf>
    <xf numFmtId="167" fontId="9" fillId="4" borderId="0" xfId="0" applyNumberFormat="1" applyFont="1" applyFill="1" applyAlignment="1">
      <alignment horizontal="right" vertical="center" wrapText="1"/>
    </xf>
    <xf numFmtId="167" fontId="8" fillId="4" borderId="0" xfId="0" applyNumberFormat="1" applyFont="1" applyFill="1" applyAlignment="1">
      <alignment horizontal="right" vertical="center" wrapText="1" indent="1"/>
    </xf>
    <xf numFmtId="167" fontId="6" fillId="4" borderId="0" xfId="0" applyNumberFormat="1" applyFont="1" applyFill="1" applyBorder="1" applyAlignment="1">
      <alignment horizontal="right" vertical="center" wrapText="1"/>
    </xf>
    <xf numFmtId="167" fontId="8" fillId="4" borderId="3" xfId="0" applyNumberFormat="1" applyFont="1" applyFill="1" applyBorder="1" applyAlignment="1">
      <alignment horizontal="right" vertical="center" wrapText="1" indent="1"/>
    </xf>
    <xf numFmtId="167" fontId="6" fillId="4" borderId="3" xfId="1" applyNumberFormat="1" applyFont="1" applyFill="1" applyBorder="1" applyAlignment="1">
      <alignment horizontal="right" vertical="center"/>
    </xf>
    <xf numFmtId="167" fontId="14" fillId="4" borderId="0" xfId="0" applyNumberFormat="1" applyFont="1" applyFill="1" applyAlignment="1">
      <alignment horizontal="right" vertical="center" wrapText="1" indent="1"/>
    </xf>
    <xf numFmtId="167" fontId="8" fillId="4" borderId="0" xfId="0" applyNumberFormat="1" applyFont="1" applyFill="1" applyAlignment="1">
      <alignment horizontal="right" vertical="center" wrapText="1"/>
    </xf>
    <xf numFmtId="167" fontId="9" fillId="4" borderId="2" xfId="0" applyNumberFormat="1" applyFont="1" applyFill="1" applyBorder="1" applyAlignment="1">
      <alignment horizontal="right" vertical="center" wrapText="1"/>
    </xf>
    <xf numFmtId="167" fontId="6" fillId="4" borderId="3" xfId="1" applyNumberFormat="1" applyFont="1" applyFill="1" applyBorder="1" applyAlignment="1">
      <alignment horizontal="right"/>
    </xf>
    <xf numFmtId="167" fontId="9" fillId="4" borderId="3" xfId="0" applyNumberFormat="1" applyFont="1" applyFill="1" applyBorder="1" applyAlignment="1">
      <alignment horizontal="right" vertical="center" wrapText="1" indent="1"/>
    </xf>
    <xf numFmtId="167" fontId="9" fillId="4" borderId="2" xfId="0" applyNumberFormat="1" applyFont="1" applyFill="1" applyBorder="1" applyAlignment="1">
      <alignment horizontal="right" vertical="center" wrapText="1" indent="1"/>
    </xf>
    <xf numFmtId="167" fontId="9" fillId="4" borderId="6" xfId="0" applyNumberFormat="1" applyFont="1" applyFill="1" applyBorder="1" applyAlignment="1">
      <alignment horizontal="right" vertical="center" wrapText="1"/>
    </xf>
    <xf numFmtId="167" fontId="2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/>
    </xf>
    <xf numFmtId="0" fontId="7" fillId="4" borderId="5" xfId="0" applyFont="1" applyFill="1" applyBorder="1" applyAlignment="1">
      <alignment horizontal="left" vertical="center" wrapText="1" indent="1"/>
    </xf>
    <xf numFmtId="0" fontId="11" fillId="4" borderId="5" xfId="0" applyFont="1" applyFill="1" applyBorder="1" applyAlignment="1">
      <alignment horizontal="right" vertical="center" wrapText="1"/>
    </xf>
    <xf numFmtId="0" fontId="12" fillId="4" borderId="0" xfId="0" applyFont="1" applyFill="1" applyAlignment="1">
      <alignment horizontal="left" vertical="center" wrapText="1" indent="1"/>
    </xf>
    <xf numFmtId="3" fontId="12" fillId="4" borderId="0" xfId="0" applyNumberFormat="1" applyFont="1" applyFill="1" applyAlignment="1">
      <alignment horizontal="right" vertical="center" wrapText="1"/>
    </xf>
    <xf numFmtId="0" fontId="12" fillId="4" borderId="3" xfId="0" applyFont="1" applyFill="1" applyBorder="1" applyAlignment="1">
      <alignment horizontal="left" vertical="center" wrapText="1" indent="1"/>
    </xf>
    <xf numFmtId="0" fontId="11" fillId="4" borderId="0" xfId="0" applyFont="1" applyFill="1" applyAlignment="1">
      <alignment horizontal="left" vertical="center" wrapText="1" indent="1"/>
    </xf>
    <xf numFmtId="3" fontId="13" fillId="4" borderId="0" xfId="0" applyNumberFormat="1" applyFont="1" applyFill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 indent="1"/>
    </xf>
    <xf numFmtId="3" fontId="13" fillId="4" borderId="2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left" vertical="center" wrapText="1" indent="1"/>
    </xf>
    <xf numFmtId="0" fontId="0" fillId="4" borderId="0" xfId="0" applyFont="1" applyFill="1"/>
    <xf numFmtId="0" fontId="6" fillId="4" borderId="0" xfId="0" applyFont="1" applyFill="1" applyAlignment="1">
      <alignment vertical="center"/>
    </xf>
    <xf numFmtId="0" fontId="17" fillId="4" borderId="0" xfId="0" applyFont="1" applyFill="1"/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>
      <selection activeCell="H11" sqref="H11"/>
    </sheetView>
  </sheetViews>
  <sheetFormatPr defaultColWidth="9.140625" defaultRowHeight="15" x14ac:dyDescent="0.25"/>
  <cols>
    <col min="1" max="1" width="44.5703125" style="2" customWidth="1"/>
    <col min="2" max="2" width="14.140625" style="2" customWidth="1"/>
    <col min="3" max="3" width="13.28515625" style="2" customWidth="1"/>
    <col min="4" max="4" width="16.28515625" style="2" customWidth="1"/>
    <col min="5" max="220" width="9.140625" style="2"/>
    <col min="221" max="221" width="44.5703125" style="2" customWidth="1"/>
    <col min="222" max="222" width="21.7109375" style="2" customWidth="1"/>
    <col min="223" max="223" width="18.7109375" style="2" customWidth="1"/>
    <col min="224" max="224" width="11.7109375" style="2" bestFit="1" customWidth="1"/>
    <col min="225" max="476" width="9.140625" style="2"/>
    <col min="477" max="477" width="44.5703125" style="2" customWidth="1"/>
    <col min="478" max="478" width="21.7109375" style="2" customWidth="1"/>
    <col min="479" max="479" width="18.7109375" style="2" customWidth="1"/>
    <col min="480" max="480" width="11.7109375" style="2" bestFit="1" customWidth="1"/>
    <col min="481" max="732" width="9.140625" style="2"/>
    <col min="733" max="733" width="44.5703125" style="2" customWidth="1"/>
    <col min="734" max="734" width="21.7109375" style="2" customWidth="1"/>
    <col min="735" max="735" width="18.7109375" style="2" customWidth="1"/>
    <col min="736" max="736" width="11.7109375" style="2" bestFit="1" customWidth="1"/>
    <col min="737" max="988" width="9.140625" style="2"/>
    <col min="989" max="989" width="44.5703125" style="2" customWidth="1"/>
    <col min="990" max="990" width="21.7109375" style="2" customWidth="1"/>
    <col min="991" max="991" width="18.7109375" style="2" customWidth="1"/>
    <col min="992" max="992" width="11.7109375" style="2" bestFit="1" customWidth="1"/>
    <col min="993" max="1244" width="9.140625" style="2"/>
    <col min="1245" max="1245" width="44.5703125" style="2" customWidth="1"/>
    <col min="1246" max="1246" width="21.7109375" style="2" customWidth="1"/>
    <col min="1247" max="1247" width="18.7109375" style="2" customWidth="1"/>
    <col min="1248" max="1248" width="11.7109375" style="2" bestFit="1" customWidth="1"/>
    <col min="1249" max="1500" width="9.140625" style="2"/>
    <col min="1501" max="1501" width="44.5703125" style="2" customWidth="1"/>
    <col min="1502" max="1502" width="21.7109375" style="2" customWidth="1"/>
    <col min="1503" max="1503" width="18.7109375" style="2" customWidth="1"/>
    <col min="1504" max="1504" width="11.7109375" style="2" bestFit="1" customWidth="1"/>
    <col min="1505" max="1756" width="9.140625" style="2"/>
    <col min="1757" max="1757" width="44.5703125" style="2" customWidth="1"/>
    <col min="1758" max="1758" width="21.7109375" style="2" customWidth="1"/>
    <col min="1759" max="1759" width="18.7109375" style="2" customWidth="1"/>
    <col min="1760" max="1760" width="11.7109375" style="2" bestFit="1" customWidth="1"/>
    <col min="1761" max="2012" width="9.140625" style="2"/>
    <col min="2013" max="2013" width="44.5703125" style="2" customWidth="1"/>
    <col min="2014" max="2014" width="21.7109375" style="2" customWidth="1"/>
    <col min="2015" max="2015" width="18.7109375" style="2" customWidth="1"/>
    <col min="2016" max="2016" width="11.7109375" style="2" bestFit="1" customWidth="1"/>
    <col min="2017" max="2268" width="9.140625" style="2"/>
    <col min="2269" max="2269" width="44.5703125" style="2" customWidth="1"/>
    <col min="2270" max="2270" width="21.7109375" style="2" customWidth="1"/>
    <col min="2271" max="2271" width="18.7109375" style="2" customWidth="1"/>
    <col min="2272" max="2272" width="11.7109375" style="2" bestFit="1" customWidth="1"/>
    <col min="2273" max="2524" width="9.140625" style="2"/>
    <col min="2525" max="2525" width="44.5703125" style="2" customWidth="1"/>
    <col min="2526" max="2526" width="21.7109375" style="2" customWidth="1"/>
    <col min="2527" max="2527" width="18.7109375" style="2" customWidth="1"/>
    <col min="2528" max="2528" width="11.7109375" style="2" bestFit="1" customWidth="1"/>
    <col min="2529" max="2780" width="9.140625" style="2"/>
    <col min="2781" max="2781" width="44.5703125" style="2" customWidth="1"/>
    <col min="2782" max="2782" width="21.7109375" style="2" customWidth="1"/>
    <col min="2783" max="2783" width="18.7109375" style="2" customWidth="1"/>
    <col min="2784" max="2784" width="11.7109375" style="2" bestFit="1" customWidth="1"/>
    <col min="2785" max="3036" width="9.140625" style="2"/>
    <col min="3037" max="3037" width="44.5703125" style="2" customWidth="1"/>
    <col min="3038" max="3038" width="21.7109375" style="2" customWidth="1"/>
    <col min="3039" max="3039" width="18.7109375" style="2" customWidth="1"/>
    <col min="3040" max="3040" width="11.7109375" style="2" bestFit="1" customWidth="1"/>
    <col min="3041" max="3292" width="9.140625" style="2"/>
    <col min="3293" max="3293" width="44.5703125" style="2" customWidth="1"/>
    <col min="3294" max="3294" width="21.7109375" style="2" customWidth="1"/>
    <col min="3295" max="3295" width="18.7109375" style="2" customWidth="1"/>
    <col min="3296" max="3296" width="11.7109375" style="2" bestFit="1" customWidth="1"/>
    <col min="3297" max="3548" width="9.140625" style="2"/>
    <col min="3549" max="3549" width="44.5703125" style="2" customWidth="1"/>
    <col min="3550" max="3550" width="21.7109375" style="2" customWidth="1"/>
    <col min="3551" max="3551" width="18.7109375" style="2" customWidth="1"/>
    <col min="3552" max="3552" width="11.7109375" style="2" bestFit="1" customWidth="1"/>
    <col min="3553" max="3804" width="9.140625" style="2"/>
    <col min="3805" max="3805" width="44.5703125" style="2" customWidth="1"/>
    <col min="3806" max="3806" width="21.7109375" style="2" customWidth="1"/>
    <col min="3807" max="3807" width="18.7109375" style="2" customWidth="1"/>
    <col min="3808" max="3808" width="11.7109375" style="2" bestFit="1" customWidth="1"/>
    <col min="3809" max="4060" width="9.140625" style="2"/>
    <col min="4061" max="4061" width="44.5703125" style="2" customWidth="1"/>
    <col min="4062" max="4062" width="21.7109375" style="2" customWidth="1"/>
    <col min="4063" max="4063" width="18.7109375" style="2" customWidth="1"/>
    <col min="4064" max="4064" width="11.7109375" style="2" bestFit="1" customWidth="1"/>
    <col min="4065" max="4316" width="9.140625" style="2"/>
    <col min="4317" max="4317" width="44.5703125" style="2" customWidth="1"/>
    <col min="4318" max="4318" width="21.7109375" style="2" customWidth="1"/>
    <col min="4319" max="4319" width="18.7109375" style="2" customWidth="1"/>
    <col min="4320" max="4320" width="11.7109375" style="2" bestFit="1" customWidth="1"/>
    <col min="4321" max="4572" width="9.140625" style="2"/>
    <col min="4573" max="4573" width="44.5703125" style="2" customWidth="1"/>
    <col min="4574" max="4574" width="21.7109375" style="2" customWidth="1"/>
    <col min="4575" max="4575" width="18.7109375" style="2" customWidth="1"/>
    <col min="4576" max="4576" width="11.7109375" style="2" bestFit="1" customWidth="1"/>
    <col min="4577" max="4828" width="9.140625" style="2"/>
    <col min="4829" max="4829" width="44.5703125" style="2" customWidth="1"/>
    <col min="4830" max="4830" width="21.7109375" style="2" customWidth="1"/>
    <col min="4831" max="4831" width="18.7109375" style="2" customWidth="1"/>
    <col min="4832" max="4832" width="11.7109375" style="2" bestFit="1" customWidth="1"/>
    <col min="4833" max="5084" width="9.140625" style="2"/>
    <col min="5085" max="5085" width="44.5703125" style="2" customWidth="1"/>
    <col min="5086" max="5086" width="21.7109375" style="2" customWidth="1"/>
    <col min="5087" max="5087" width="18.7109375" style="2" customWidth="1"/>
    <col min="5088" max="5088" width="11.7109375" style="2" bestFit="1" customWidth="1"/>
    <col min="5089" max="5340" width="9.140625" style="2"/>
    <col min="5341" max="5341" width="44.5703125" style="2" customWidth="1"/>
    <col min="5342" max="5342" width="21.7109375" style="2" customWidth="1"/>
    <col min="5343" max="5343" width="18.7109375" style="2" customWidth="1"/>
    <col min="5344" max="5344" width="11.7109375" style="2" bestFit="1" customWidth="1"/>
    <col min="5345" max="5596" width="9.140625" style="2"/>
    <col min="5597" max="5597" width="44.5703125" style="2" customWidth="1"/>
    <col min="5598" max="5598" width="21.7109375" style="2" customWidth="1"/>
    <col min="5599" max="5599" width="18.7109375" style="2" customWidth="1"/>
    <col min="5600" max="5600" width="11.7109375" style="2" bestFit="1" customWidth="1"/>
    <col min="5601" max="5852" width="9.140625" style="2"/>
    <col min="5853" max="5853" width="44.5703125" style="2" customWidth="1"/>
    <col min="5854" max="5854" width="21.7109375" style="2" customWidth="1"/>
    <col min="5855" max="5855" width="18.7109375" style="2" customWidth="1"/>
    <col min="5856" max="5856" width="11.7109375" style="2" bestFit="1" customWidth="1"/>
    <col min="5857" max="6108" width="9.140625" style="2"/>
    <col min="6109" max="6109" width="44.5703125" style="2" customWidth="1"/>
    <col min="6110" max="6110" width="21.7109375" style="2" customWidth="1"/>
    <col min="6111" max="6111" width="18.7109375" style="2" customWidth="1"/>
    <col min="6112" max="6112" width="11.7109375" style="2" bestFit="1" customWidth="1"/>
    <col min="6113" max="6364" width="9.140625" style="2"/>
    <col min="6365" max="6365" width="44.5703125" style="2" customWidth="1"/>
    <col min="6366" max="6366" width="21.7109375" style="2" customWidth="1"/>
    <col min="6367" max="6367" width="18.7109375" style="2" customWidth="1"/>
    <col min="6368" max="6368" width="11.7109375" style="2" bestFit="1" customWidth="1"/>
    <col min="6369" max="6620" width="9.140625" style="2"/>
    <col min="6621" max="6621" width="44.5703125" style="2" customWidth="1"/>
    <col min="6622" max="6622" width="21.7109375" style="2" customWidth="1"/>
    <col min="6623" max="6623" width="18.7109375" style="2" customWidth="1"/>
    <col min="6624" max="6624" width="11.7109375" style="2" bestFit="1" customWidth="1"/>
    <col min="6625" max="6876" width="9.140625" style="2"/>
    <col min="6877" max="6877" width="44.5703125" style="2" customWidth="1"/>
    <col min="6878" max="6878" width="21.7109375" style="2" customWidth="1"/>
    <col min="6879" max="6879" width="18.7109375" style="2" customWidth="1"/>
    <col min="6880" max="6880" width="11.7109375" style="2" bestFit="1" customWidth="1"/>
    <col min="6881" max="7132" width="9.140625" style="2"/>
    <col min="7133" max="7133" width="44.5703125" style="2" customWidth="1"/>
    <col min="7134" max="7134" width="21.7109375" style="2" customWidth="1"/>
    <col min="7135" max="7135" width="18.7109375" style="2" customWidth="1"/>
    <col min="7136" max="7136" width="11.7109375" style="2" bestFit="1" customWidth="1"/>
    <col min="7137" max="7388" width="9.140625" style="2"/>
    <col min="7389" max="7389" width="44.5703125" style="2" customWidth="1"/>
    <col min="7390" max="7390" width="21.7109375" style="2" customWidth="1"/>
    <col min="7391" max="7391" width="18.7109375" style="2" customWidth="1"/>
    <col min="7392" max="7392" width="11.7109375" style="2" bestFit="1" customWidth="1"/>
    <col min="7393" max="7644" width="9.140625" style="2"/>
    <col min="7645" max="7645" width="44.5703125" style="2" customWidth="1"/>
    <col min="7646" max="7646" width="21.7109375" style="2" customWidth="1"/>
    <col min="7647" max="7647" width="18.7109375" style="2" customWidth="1"/>
    <col min="7648" max="7648" width="11.7109375" style="2" bestFit="1" customWidth="1"/>
    <col min="7649" max="7900" width="9.140625" style="2"/>
    <col min="7901" max="7901" width="44.5703125" style="2" customWidth="1"/>
    <col min="7902" max="7902" width="21.7109375" style="2" customWidth="1"/>
    <col min="7903" max="7903" width="18.7109375" style="2" customWidth="1"/>
    <col min="7904" max="7904" width="11.7109375" style="2" bestFit="1" customWidth="1"/>
    <col min="7905" max="8156" width="9.140625" style="2"/>
    <col min="8157" max="8157" width="44.5703125" style="2" customWidth="1"/>
    <col min="8158" max="8158" width="21.7109375" style="2" customWidth="1"/>
    <col min="8159" max="8159" width="18.7109375" style="2" customWidth="1"/>
    <col min="8160" max="8160" width="11.7109375" style="2" bestFit="1" customWidth="1"/>
    <col min="8161" max="8412" width="9.140625" style="2"/>
    <col min="8413" max="8413" width="44.5703125" style="2" customWidth="1"/>
    <col min="8414" max="8414" width="21.7109375" style="2" customWidth="1"/>
    <col min="8415" max="8415" width="18.7109375" style="2" customWidth="1"/>
    <col min="8416" max="8416" width="11.7109375" style="2" bestFit="1" customWidth="1"/>
    <col min="8417" max="8668" width="9.140625" style="2"/>
    <col min="8669" max="8669" width="44.5703125" style="2" customWidth="1"/>
    <col min="8670" max="8670" width="21.7109375" style="2" customWidth="1"/>
    <col min="8671" max="8671" width="18.7109375" style="2" customWidth="1"/>
    <col min="8672" max="8672" width="11.7109375" style="2" bestFit="1" customWidth="1"/>
    <col min="8673" max="8924" width="9.140625" style="2"/>
    <col min="8925" max="8925" width="44.5703125" style="2" customWidth="1"/>
    <col min="8926" max="8926" width="21.7109375" style="2" customWidth="1"/>
    <col min="8927" max="8927" width="18.7109375" style="2" customWidth="1"/>
    <col min="8928" max="8928" width="11.7109375" style="2" bestFit="1" customWidth="1"/>
    <col min="8929" max="9180" width="9.140625" style="2"/>
    <col min="9181" max="9181" width="44.5703125" style="2" customWidth="1"/>
    <col min="9182" max="9182" width="21.7109375" style="2" customWidth="1"/>
    <col min="9183" max="9183" width="18.7109375" style="2" customWidth="1"/>
    <col min="9184" max="9184" width="11.7109375" style="2" bestFit="1" customWidth="1"/>
    <col min="9185" max="9436" width="9.140625" style="2"/>
    <col min="9437" max="9437" width="44.5703125" style="2" customWidth="1"/>
    <col min="9438" max="9438" width="21.7109375" style="2" customWidth="1"/>
    <col min="9439" max="9439" width="18.7109375" style="2" customWidth="1"/>
    <col min="9440" max="9440" width="11.7109375" style="2" bestFit="1" customWidth="1"/>
    <col min="9441" max="9692" width="9.140625" style="2"/>
    <col min="9693" max="9693" width="44.5703125" style="2" customWidth="1"/>
    <col min="9694" max="9694" width="21.7109375" style="2" customWidth="1"/>
    <col min="9695" max="9695" width="18.7109375" style="2" customWidth="1"/>
    <col min="9696" max="9696" width="11.7109375" style="2" bestFit="1" customWidth="1"/>
    <col min="9697" max="9948" width="9.140625" style="2"/>
    <col min="9949" max="9949" width="44.5703125" style="2" customWidth="1"/>
    <col min="9950" max="9950" width="21.7109375" style="2" customWidth="1"/>
    <col min="9951" max="9951" width="18.7109375" style="2" customWidth="1"/>
    <col min="9952" max="9952" width="11.7109375" style="2" bestFit="1" customWidth="1"/>
    <col min="9953" max="10204" width="9.140625" style="2"/>
    <col min="10205" max="10205" width="44.5703125" style="2" customWidth="1"/>
    <col min="10206" max="10206" width="21.7109375" style="2" customWidth="1"/>
    <col min="10207" max="10207" width="18.7109375" style="2" customWidth="1"/>
    <col min="10208" max="10208" width="11.7109375" style="2" bestFit="1" customWidth="1"/>
    <col min="10209" max="10460" width="9.140625" style="2"/>
    <col min="10461" max="10461" width="44.5703125" style="2" customWidth="1"/>
    <col min="10462" max="10462" width="21.7109375" style="2" customWidth="1"/>
    <col min="10463" max="10463" width="18.7109375" style="2" customWidth="1"/>
    <col min="10464" max="10464" width="11.7109375" style="2" bestFit="1" customWidth="1"/>
    <col min="10465" max="10716" width="9.140625" style="2"/>
    <col min="10717" max="10717" width="44.5703125" style="2" customWidth="1"/>
    <col min="10718" max="10718" width="21.7109375" style="2" customWidth="1"/>
    <col min="10719" max="10719" width="18.7109375" style="2" customWidth="1"/>
    <col min="10720" max="10720" width="11.7109375" style="2" bestFit="1" customWidth="1"/>
    <col min="10721" max="10972" width="9.140625" style="2"/>
    <col min="10973" max="10973" width="44.5703125" style="2" customWidth="1"/>
    <col min="10974" max="10974" width="21.7109375" style="2" customWidth="1"/>
    <col min="10975" max="10975" width="18.7109375" style="2" customWidth="1"/>
    <col min="10976" max="10976" width="11.7109375" style="2" bestFit="1" customWidth="1"/>
    <col min="10977" max="11228" width="9.140625" style="2"/>
    <col min="11229" max="11229" width="44.5703125" style="2" customWidth="1"/>
    <col min="11230" max="11230" width="21.7109375" style="2" customWidth="1"/>
    <col min="11231" max="11231" width="18.7109375" style="2" customWidth="1"/>
    <col min="11232" max="11232" width="11.7109375" style="2" bestFit="1" customWidth="1"/>
    <col min="11233" max="11484" width="9.140625" style="2"/>
    <col min="11485" max="11485" width="44.5703125" style="2" customWidth="1"/>
    <col min="11486" max="11486" width="21.7109375" style="2" customWidth="1"/>
    <col min="11487" max="11487" width="18.7109375" style="2" customWidth="1"/>
    <col min="11488" max="11488" width="11.7109375" style="2" bestFit="1" customWidth="1"/>
    <col min="11489" max="11740" width="9.140625" style="2"/>
    <col min="11741" max="11741" width="44.5703125" style="2" customWidth="1"/>
    <col min="11742" max="11742" width="21.7109375" style="2" customWidth="1"/>
    <col min="11743" max="11743" width="18.7109375" style="2" customWidth="1"/>
    <col min="11744" max="11744" width="11.7109375" style="2" bestFit="1" customWidth="1"/>
    <col min="11745" max="11996" width="9.140625" style="2"/>
    <col min="11997" max="11997" width="44.5703125" style="2" customWidth="1"/>
    <col min="11998" max="11998" width="21.7109375" style="2" customWidth="1"/>
    <col min="11999" max="11999" width="18.7109375" style="2" customWidth="1"/>
    <col min="12000" max="12000" width="11.7109375" style="2" bestFit="1" customWidth="1"/>
    <col min="12001" max="12252" width="9.140625" style="2"/>
    <col min="12253" max="12253" width="44.5703125" style="2" customWidth="1"/>
    <col min="12254" max="12254" width="21.7109375" style="2" customWidth="1"/>
    <col min="12255" max="12255" width="18.7109375" style="2" customWidth="1"/>
    <col min="12256" max="12256" width="11.7109375" style="2" bestFit="1" customWidth="1"/>
    <col min="12257" max="12508" width="9.140625" style="2"/>
    <col min="12509" max="12509" width="44.5703125" style="2" customWidth="1"/>
    <col min="12510" max="12510" width="21.7109375" style="2" customWidth="1"/>
    <col min="12511" max="12511" width="18.7109375" style="2" customWidth="1"/>
    <col min="12512" max="12512" width="11.7109375" style="2" bestFit="1" customWidth="1"/>
    <col min="12513" max="12764" width="9.140625" style="2"/>
    <col min="12765" max="12765" width="44.5703125" style="2" customWidth="1"/>
    <col min="12766" max="12766" width="21.7109375" style="2" customWidth="1"/>
    <col min="12767" max="12767" width="18.7109375" style="2" customWidth="1"/>
    <col min="12768" max="12768" width="11.7109375" style="2" bestFit="1" customWidth="1"/>
    <col min="12769" max="13020" width="9.140625" style="2"/>
    <col min="13021" max="13021" width="44.5703125" style="2" customWidth="1"/>
    <col min="13022" max="13022" width="21.7109375" style="2" customWidth="1"/>
    <col min="13023" max="13023" width="18.7109375" style="2" customWidth="1"/>
    <col min="13024" max="13024" width="11.7109375" style="2" bestFit="1" customWidth="1"/>
    <col min="13025" max="13276" width="9.140625" style="2"/>
    <col min="13277" max="13277" width="44.5703125" style="2" customWidth="1"/>
    <col min="13278" max="13278" width="21.7109375" style="2" customWidth="1"/>
    <col min="13279" max="13279" width="18.7109375" style="2" customWidth="1"/>
    <col min="13280" max="13280" width="11.7109375" style="2" bestFit="1" customWidth="1"/>
    <col min="13281" max="13532" width="9.140625" style="2"/>
    <col min="13533" max="13533" width="44.5703125" style="2" customWidth="1"/>
    <col min="13534" max="13534" width="21.7109375" style="2" customWidth="1"/>
    <col min="13535" max="13535" width="18.7109375" style="2" customWidth="1"/>
    <col min="13536" max="13536" width="11.7109375" style="2" bestFit="1" customWidth="1"/>
    <col min="13537" max="13788" width="9.140625" style="2"/>
    <col min="13789" max="13789" width="44.5703125" style="2" customWidth="1"/>
    <col min="13790" max="13790" width="21.7109375" style="2" customWidth="1"/>
    <col min="13791" max="13791" width="18.7109375" style="2" customWidth="1"/>
    <col min="13792" max="13792" width="11.7109375" style="2" bestFit="1" customWidth="1"/>
    <col min="13793" max="14044" width="9.140625" style="2"/>
    <col min="14045" max="14045" width="44.5703125" style="2" customWidth="1"/>
    <col min="14046" max="14046" width="21.7109375" style="2" customWidth="1"/>
    <col min="14047" max="14047" width="18.7109375" style="2" customWidth="1"/>
    <col min="14048" max="14048" width="11.7109375" style="2" bestFit="1" customWidth="1"/>
    <col min="14049" max="14300" width="9.140625" style="2"/>
    <col min="14301" max="14301" width="44.5703125" style="2" customWidth="1"/>
    <col min="14302" max="14302" width="21.7109375" style="2" customWidth="1"/>
    <col min="14303" max="14303" width="18.7109375" style="2" customWidth="1"/>
    <col min="14304" max="14304" width="11.7109375" style="2" bestFit="1" customWidth="1"/>
    <col min="14305" max="14556" width="9.140625" style="2"/>
    <col min="14557" max="14557" width="44.5703125" style="2" customWidth="1"/>
    <col min="14558" max="14558" width="21.7109375" style="2" customWidth="1"/>
    <col min="14559" max="14559" width="18.7109375" style="2" customWidth="1"/>
    <col min="14560" max="14560" width="11.7109375" style="2" bestFit="1" customWidth="1"/>
    <col min="14561" max="14812" width="9.140625" style="2"/>
    <col min="14813" max="14813" width="44.5703125" style="2" customWidth="1"/>
    <col min="14814" max="14814" width="21.7109375" style="2" customWidth="1"/>
    <col min="14815" max="14815" width="18.7109375" style="2" customWidth="1"/>
    <col min="14816" max="14816" width="11.7109375" style="2" bestFit="1" customWidth="1"/>
    <col min="14817" max="15068" width="9.140625" style="2"/>
    <col min="15069" max="15069" width="44.5703125" style="2" customWidth="1"/>
    <col min="15070" max="15070" width="21.7109375" style="2" customWidth="1"/>
    <col min="15071" max="15071" width="18.7109375" style="2" customWidth="1"/>
    <col min="15072" max="15072" width="11.7109375" style="2" bestFit="1" customWidth="1"/>
    <col min="15073" max="15324" width="9.140625" style="2"/>
    <col min="15325" max="15325" width="44.5703125" style="2" customWidth="1"/>
    <col min="15326" max="15326" width="21.7109375" style="2" customWidth="1"/>
    <col min="15327" max="15327" width="18.7109375" style="2" customWidth="1"/>
    <col min="15328" max="15328" width="11.7109375" style="2" bestFit="1" customWidth="1"/>
    <col min="15329" max="15580" width="9.140625" style="2"/>
    <col min="15581" max="15581" width="44.5703125" style="2" customWidth="1"/>
    <col min="15582" max="15582" width="21.7109375" style="2" customWidth="1"/>
    <col min="15583" max="15583" width="18.7109375" style="2" customWidth="1"/>
    <col min="15584" max="15584" width="11.7109375" style="2" bestFit="1" customWidth="1"/>
    <col min="15585" max="15836" width="9.140625" style="2"/>
    <col min="15837" max="15837" width="44.5703125" style="2" customWidth="1"/>
    <col min="15838" max="15838" width="21.7109375" style="2" customWidth="1"/>
    <col min="15839" max="15839" width="18.7109375" style="2" customWidth="1"/>
    <col min="15840" max="15840" width="11.7109375" style="2" bestFit="1" customWidth="1"/>
    <col min="15841" max="16092" width="9.140625" style="2"/>
    <col min="16093" max="16093" width="44.5703125" style="2" customWidth="1"/>
    <col min="16094" max="16094" width="21.7109375" style="2" customWidth="1"/>
    <col min="16095" max="16095" width="18.7109375" style="2" customWidth="1"/>
    <col min="16096" max="16096" width="11.7109375" style="2" bestFit="1" customWidth="1"/>
    <col min="16097" max="16384" width="9.140625" style="2"/>
  </cols>
  <sheetData>
    <row r="1" spans="1:4" x14ac:dyDescent="0.25">
      <c r="A1" s="1"/>
      <c r="B1" s="1"/>
    </row>
    <row r="2" spans="1:4" x14ac:dyDescent="0.25">
      <c r="A2" s="131" t="s">
        <v>3</v>
      </c>
      <c r="B2" s="131"/>
      <c r="C2" s="131"/>
      <c r="D2" s="131"/>
    </row>
    <row r="3" spans="1:4" x14ac:dyDescent="0.25">
      <c r="A3" s="132" t="s">
        <v>100</v>
      </c>
      <c r="B3" s="132"/>
      <c r="C3" s="132"/>
      <c r="D3" s="132"/>
    </row>
    <row r="4" spans="1:4" x14ac:dyDescent="0.25">
      <c r="A4" s="131" t="s">
        <v>118</v>
      </c>
      <c r="B4" s="131"/>
      <c r="C4" s="131"/>
      <c r="D4" s="131"/>
    </row>
    <row r="5" spans="1:4" ht="15.75" thickBot="1" x14ac:dyDescent="0.3">
      <c r="A5" s="3"/>
      <c r="B5" s="3"/>
      <c r="C5" s="130" t="s">
        <v>4</v>
      </c>
      <c r="D5" s="130"/>
    </row>
    <row r="6" spans="1:4" ht="33" customHeight="1" thickTop="1" thickBot="1" x14ac:dyDescent="0.3">
      <c r="A6" s="28" t="s">
        <v>5</v>
      </c>
      <c r="B6" s="28" t="s">
        <v>116</v>
      </c>
      <c r="C6" s="28" t="s">
        <v>103</v>
      </c>
      <c r="D6" s="28" t="s">
        <v>55</v>
      </c>
    </row>
    <row r="7" spans="1:4" ht="15.75" thickTop="1" x14ac:dyDescent="0.25">
      <c r="A7" s="4" t="s">
        <v>6</v>
      </c>
      <c r="B7" s="4"/>
      <c r="C7" s="6"/>
      <c r="D7" s="5"/>
    </row>
    <row r="8" spans="1:4" x14ac:dyDescent="0.25">
      <c r="A8" s="7" t="s">
        <v>7</v>
      </c>
      <c r="B8" s="7"/>
      <c r="C8" s="9"/>
      <c r="D8" s="8"/>
    </row>
    <row r="9" spans="1:4" x14ac:dyDescent="0.25">
      <c r="A9" s="10" t="s">
        <v>8</v>
      </c>
      <c r="B9" s="10">
        <v>4</v>
      </c>
      <c r="C9" s="12">
        <v>6331219</v>
      </c>
      <c r="D9" s="11">
        <v>4073121</v>
      </c>
    </row>
    <row r="10" spans="1:4" x14ac:dyDescent="0.25">
      <c r="A10" s="13" t="s">
        <v>9</v>
      </c>
      <c r="B10" s="13">
        <v>5</v>
      </c>
      <c r="C10" s="12">
        <f>1870328+404243</f>
        <v>2274571</v>
      </c>
      <c r="D10" s="11">
        <f>2360383+1844805</f>
        <v>4205188</v>
      </c>
    </row>
    <row r="11" spans="1:4" x14ac:dyDescent="0.25">
      <c r="A11" s="13" t="s">
        <v>10</v>
      </c>
      <c r="B11" s="13">
        <v>6</v>
      </c>
      <c r="C11" s="12">
        <v>5071651</v>
      </c>
      <c r="D11" s="11">
        <v>49943</v>
      </c>
    </row>
    <row r="12" spans="1:4" ht="15.75" thickBot="1" x14ac:dyDescent="0.3">
      <c r="A12" s="13" t="s">
        <v>11</v>
      </c>
      <c r="B12" s="13"/>
      <c r="C12" s="14">
        <v>53</v>
      </c>
      <c r="D12" s="11">
        <v>158</v>
      </c>
    </row>
    <row r="13" spans="1:4" ht="16.5" thickTop="1" thickBot="1" x14ac:dyDescent="0.3">
      <c r="A13" s="29" t="s">
        <v>12</v>
      </c>
      <c r="B13" s="29"/>
      <c r="C13" s="30">
        <f>SUM(C9:C12)</f>
        <v>13677494</v>
      </c>
      <c r="D13" s="30">
        <f>SUM(D9:D12)</f>
        <v>8328410</v>
      </c>
    </row>
    <row r="14" spans="1:4" x14ac:dyDescent="0.25">
      <c r="A14" s="7" t="s">
        <v>13</v>
      </c>
      <c r="B14" s="7"/>
      <c r="C14" s="16"/>
      <c r="D14" s="15"/>
    </row>
    <row r="15" spans="1:4" x14ac:dyDescent="0.25">
      <c r="A15" s="10" t="s">
        <v>14</v>
      </c>
      <c r="B15" s="10">
        <v>7</v>
      </c>
      <c r="C15" s="18">
        <v>3962</v>
      </c>
      <c r="D15" s="17">
        <v>65430</v>
      </c>
    </row>
    <row r="16" spans="1:4" x14ac:dyDescent="0.25">
      <c r="A16" s="10" t="s">
        <v>15</v>
      </c>
      <c r="B16" s="10">
        <v>8</v>
      </c>
      <c r="C16" s="18">
        <f>125432-55137</f>
        <v>70295</v>
      </c>
      <c r="D16" s="11">
        <f>1575143-10712</f>
        <v>1564431</v>
      </c>
    </row>
    <row r="17" spans="1:4" x14ac:dyDescent="0.25">
      <c r="A17" s="13" t="s">
        <v>16</v>
      </c>
      <c r="B17" s="13">
        <v>9</v>
      </c>
      <c r="C17" s="18">
        <v>41914</v>
      </c>
      <c r="D17" s="17">
        <v>44382</v>
      </c>
    </row>
    <row r="18" spans="1:4" x14ac:dyDescent="0.25">
      <c r="A18" s="13" t="s">
        <v>17</v>
      </c>
      <c r="B18" s="13"/>
      <c r="C18" s="18">
        <v>35813</v>
      </c>
      <c r="D18" s="17">
        <v>26922</v>
      </c>
    </row>
    <row r="19" spans="1:4" x14ac:dyDescent="0.25">
      <c r="A19" s="13" t="s">
        <v>18</v>
      </c>
      <c r="B19" s="13"/>
      <c r="C19" s="18">
        <v>110496</v>
      </c>
      <c r="D19" s="17">
        <v>364601</v>
      </c>
    </row>
    <row r="20" spans="1:4" x14ac:dyDescent="0.25">
      <c r="A20" s="10" t="s">
        <v>19</v>
      </c>
      <c r="B20" s="10"/>
      <c r="C20" s="18">
        <v>441</v>
      </c>
      <c r="D20" s="17">
        <v>402</v>
      </c>
    </row>
    <row r="21" spans="1:4" x14ac:dyDescent="0.25">
      <c r="A21" s="13" t="s">
        <v>0</v>
      </c>
      <c r="B21" s="13"/>
      <c r="C21" s="18">
        <v>34525</v>
      </c>
      <c r="D21" s="17">
        <v>2005459</v>
      </c>
    </row>
    <row r="22" spans="1:4" ht="15.75" thickBot="1" x14ac:dyDescent="0.3">
      <c r="A22" s="10" t="s">
        <v>20</v>
      </c>
      <c r="B22" s="10">
        <v>10</v>
      </c>
      <c r="C22" s="18">
        <f>3322+1305+8762</f>
        <v>13389</v>
      </c>
      <c r="D22" s="17">
        <f>669+33871+7078</f>
        <v>41618</v>
      </c>
    </row>
    <row r="23" spans="1:4" ht="16.5" thickTop="1" thickBot="1" x14ac:dyDescent="0.3">
      <c r="A23" s="29" t="s">
        <v>21</v>
      </c>
      <c r="B23" s="29"/>
      <c r="C23" s="30">
        <f>SUM(C15:C22)</f>
        <v>310835</v>
      </c>
      <c r="D23" s="30">
        <f>SUM(D15:D22)</f>
        <v>4113245</v>
      </c>
    </row>
    <row r="24" spans="1:4" ht="16.5" thickTop="1" thickBot="1" x14ac:dyDescent="0.3">
      <c r="A24" s="29" t="s">
        <v>22</v>
      </c>
      <c r="B24" s="29"/>
      <c r="C24" s="30">
        <f>C13+C23</f>
        <v>13988329</v>
      </c>
      <c r="D24" s="30">
        <f>D13+D23</f>
        <v>12441655</v>
      </c>
    </row>
    <row r="25" spans="1:4" x14ac:dyDescent="0.25">
      <c r="A25" s="7" t="s">
        <v>23</v>
      </c>
      <c r="B25" s="7"/>
      <c r="C25" s="16"/>
      <c r="D25" s="15"/>
    </row>
    <row r="26" spans="1:4" x14ac:dyDescent="0.25">
      <c r="A26" s="19" t="s">
        <v>24</v>
      </c>
      <c r="B26" s="19"/>
      <c r="C26" s="16"/>
      <c r="D26" s="15"/>
    </row>
    <row r="27" spans="1:4" ht="24" customHeight="1" x14ac:dyDescent="0.25">
      <c r="A27" s="13" t="s">
        <v>25</v>
      </c>
      <c r="B27" s="13">
        <v>16</v>
      </c>
      <c r="C27" s="18">
        <f>75000-21199</f>
        <v>53801</v>
      </c>
      <c r="D27" s="17">
        <f>75000-21199</f>
        <v>53801</v>
      </c>
    </row>
    <row r="28" spans="1:4" ht="24" x14ac:dyDescent="0.25">
      <c r="A28" s="20" t="s">
        <v>26</v>
      </c>
      <c r="B28" s="20"/>
      <c r="C28" s="18">
        <v>-9810</v>
      </c>
      <c r="D28" s="17">
        <v>-9810</v>
      </c>
    </row>
    <row r="29" spans="1:4" x14ac:dyDescent="0.25">
      <c r="A29" s="10" t="s">
        <v>27</v>
      </c>
      <c r="B29" s="10"/>
      <c r="C29" s="18">
        <v>3182</v>
      </c>
      <c r="D29" s="17">
        <v>3182</v>
      </c>
    </row>
    <row r="30" spans="1:4" ht="15.75" thickBot="1" x14ac:dyDescent="0.3">
      <c r="A30" s="21" t="s">
        <v>28</v>
      </c>
      <c r="B30" s="21"/>
      <c r="C30" s="23">
        <v>2875571</v>
      </c>
      <c r="D30" s="22">
        <v>2474368</v>
      </c>
    </row>
    <row r="31" spans="1:4" ht="16.5" thickTop="1" thickBot="1" x14ac:dyDescent="0.3">
      <c r="A31" s="29" t="s">
        <v>29</v>
      </c>
      <c r="B31" s="29"/>
      <c r="C31" s="30">
        <f>SUM(C27:C30)</f>
        <v>2922744</v>
      </c>
      <c r="D31" s="30">
        <f>SUM(D27:D30)</f>
        <v>2521541</v>
      </c>
    </row>
    <row r="32" spans="1:4" x14ac:dyDescent="0.25">
      <c r="A32" s="7" t="s">
        <v>30</v>
      </c>
      <c r="B32" s="7"/>
      <c r="C32" s="9"/>
      <c r="D32" s="15"/>
    </row>
    <row r="33" spans="1:4" x14ac:dyDescent="0.25">
      <c r="A33" s="10" t="s">
        <v>31</v>
      </c>
      <c r="B33" s="10"/>
      <c r="C33" s="18">
        <v>9810</v>
      </c>
      <c r="D33" s="17">
        <v>9810</v>
      </c>
    </row>
    <row r="34" spans="1:4" x14ac:dyDescent="0.25">
      <c r="A34" s="10" t="s">
        <v>32</v>
      </c>
      <c r="B34" s="10"/>
      <c r="C34" s="18">
        <v>315498</v>
      </c>
      <c r="D34" s="17">
        <v>264030</v>
      </c>
    </row>
    <row r="35" spans="1:4" x14ac:dyDescent="0.25">
      <c r="A35" s="10" t="s">
        <v>33</v>
      </c>
      <c r="B35" s="10">
        <v>15</v>
      </c>
      <c r="C35" s="18">
        <v>5342600</v>
      </c>
      <c r="D35" s="17">
        <v>6342600</v>
      </c>
    </row>
    <row r="36" spans="1:4" ht="15.75" thickBot="1" x14ac:dyDescent="0.3">
      <c r="A36" s="10" t="s">
        <v>39</v>
      </c>
      <c r="B36" s="10"/>
      <c r="C36" s="18">
        <v>5112356</v>
      </c>
      <c r="D36" s="17">
        <v>0</v>
      </c>
    </row>
    <row r="37" spans="1:4" ht="16.5" thickTop="1" thickBot="1" x14ac:dyDescent="0.3">
      <c r="A37" s="29" t="s">
        <v>34</v>
      </c>
      <c r="B37" s="29"/>
      <c r="C37" s="30">
        <f>SUM(C33:C36)</f>
        <v>10780264</v>
      </c>
      <c r="D37" s="30">
        <f>SUM(D33:D36)</f>
        <v>6616440</v>
      </c>
    </row>
    <row r="38" spans="1:4" x14ac:dyDescent="0.25">
      <c r="A38" s="7" t="s">
        <v>35</v>
      </c>
      <c r="B38" s="7"/>
      <c r="C38" s="16"/>
      <c r="D38" s="15"/>
    </row>
    <row r="39" spans="1:4" x14ac:dyDescent="0.25">
      <c r="A39" s="10" t="s">
        <v>36</v>
      </c>
      <c r="B39" s="10">
        <v>11</v>
      </c>
      <c r="C39" s="18">
        <v>23466</v>
      </c>
      <c r="D39" s="17">
        <v>20546</v>
      </c>
    </row>
    <row r="40" spans="1:4" x14ac:dyDescent="0.25">
      <c r="A40" s="10" t="s">
        <v>37</v>
      </c>
      <c r="B40" s="10"/>
      <c r="C40" s="18">
        <v>4859</v>
      </c>
      <c r="D40" s="17">
        <v>5525</v>
      </c>
    </row>
    <row r="41" spans="1:4" x14ac:dyDescent="0.25">
      <c r="A41" s="10" t="s">
        <v>31</v>
      </c>
      <c r="B41" s="10"/>
      <c r="C41" s="18">
        <v>1090</v>
      </c>
      <c r="D41" s="17">
        <v>1090</v>
      </c>
    </row>
    <row r="42" spans="1:4" ht="24" x14ac:dyDescent="0.25">
      <c r="A42" s="24" t="s">
        <v>38</v>
      </c>
      <c r="B42" s="24">
        <v>13</v>
      </c>
      <c r="C42" s="18">
        <v>8127</v>
      </c>
      <c r="D42" s="17">
        <v>11103</v>
      </c>
    </row>
    <row r="43" spans="1:4" x14ac:dyDescent="0.25">
      <c r="A43" s="24" t="s">
        <v>39</v>
      </c>
      <c r="B43" s="24"/>
      <c r="C43" s="18">
        <v>0</v>
      </c>
      <c r="D43" s="17">
        <v>3000000</v>
      </c>
    </row>
    <row r="44" spans="1:4" x14ac:dyDescent="0.25">
      <c r="A44" s="10" t="s">
        <v>40</v>
      </c>
      <c r="B44" s="10"/>
      <c r="C44" s="12">
        <v>20270</v>
      </c>
      <c r="D44" s="17">
        <v>21022</v>
      </c>
    </row>
    <row r="45" spans="1:4" x14ac:dyDescent="0.25">
      <c r="A45" s="10" t="s">
        <v>33</v>
      </c>
      <c r="B45" s="10">
        <v>15</v>
      </c>
      <c r="C45" s="12">
        <v>200254</v>
      </c>
      <c r="D45" s="17">
        <v>218629</v>
      </c>
    </row>
    <row r="46" spans="1:4" ht="15.75" thickBot="1" x14ac:dyDescent="0.3">
      <c r="A46" s="26" t="s">
        <v>41</v>
      </c>
      <c r="B46" s="26"/>
      <c r="C46" s="23">
        <f>9410+178+17667</f>
        <v>27255</v>
      </c>
      <c r="D46" s="22">
        <f>9841+4292+11626</f>
        <v>25759</v>
      </c>
    </row>
    <row r="47" spans="1:4" ht="15.75" customHeight="1" thickTop="1" thickBot="1" x14ac:dyDescent="0.3">
      <c r="A47" s="29" t="s">
        <v>42</v>
      </c>
      <c r="B47" s="29"/>
      <c r="C47" s="30">
        <f>SUM(C39:C46)</f>
        <v>285321</v>
      </c>
      <c r="D47" s="30">
        <f>SUM(D39:D46)</f>
        <v>3303674</v>
      </c>
    </row>
    <row r="48" spans="1:4" ht="16.5" thickTop="1" thickBot="1" x14ac:dyDescent="0.3">
      <c r="A48" s="29" t="s">
        <v>43</v>
      </c>
      <c r="B48" s="29"/>
      <c r="C48" s="30">
        <f>C47+C37</f>
        <v>11065585</v>
      </c>
      <c r="D48" s="30">
        <f>D37+D47</f>
        <v>9920114</v>
      </c>
    </row>
    <row r="49" spans="1:5" s="27" customFormat="1" ht="16.5" thickTop="1" thickBot="1" x14ac:dyDescent="0.3">
      <c r="A49" s="29" t="s">
        <v>44</v>
      </c>
      <c r="B49" s="29"/>
      <c r="C49" s="30">
        <f>C31+C48</f>
        <v>13988329</v>
      </c>
      <c r="D49" s="30">
        <f>D48+D31</f>
        <v>12441655</v>
      </c>
    </row>
    <row r="50" spans="1:5" ht="14.45" hidden="1" customHeight="1" x14ac:dyDescent="0.25">
      <c r="C50" s="25">
        <f>C49-C24</f>
        <v>0</v>
      </c>
      <c r="D50" s="25">
        <f>D49-D24</f>
        <v>0</v>
      </c>
    </row>
    <row r="51" spans="1:5" x14ac:dyDescent="0.25">
      <c r="C51" s="25"/>
      <c r="D51" s="25"/>
    </row>
    <row r="53" spans="1:5" s="54" customFormat="1" x14ac:dyDescent="0.25">
      <c r="A53" s="75" t="s">
        <v>104</v>
      </c>
      <c r="B53" s="75"/>
      <c r="C53" s="55"/>
      <c r="D53" s="55"/>
      <c r="E53" s="55"/>
    </row>
    <row r="54" spans="1:5" s="54" customFormat="1" x14ac:dyDescent="0.25">
      <c r="A54" s="76" t="s">
        <v>1</v>
      </c>
      <c r="B54" s="76"/>
      <c r="C54" s="55"/>
      <c r="D54" s="55"/>
      <c r="E54" s="55"/>
    </row>
    <row r="55" spans="1:5" s="54" customFormat="1" x14ac:dyDescent="0.25">
      <c r="A55" s="55"/>
      <c r="B55" s="55"/>
      <c r="C55" s="55"/>
      <c r="D55" s="55"/>
      <c r="E55" s="55"/>
    </row>
    <row r="56" spans="1:5" s="54" customFormat="1" x14ac:dyDescent="0.25">
      <c r="A56" s="75" t="s">
        <v>105</v>
      </c>
      <c r="B56" s="75"/>
      <c r="C56" s="55"/>
      <c r="D56" s="55"/>
      <c r="E56" s="55"/>
    </row>
    <row r="57" spans="1:5" s="54" customFormat="1" x14ac:dyDescent="0.25">
      <c r="A57" s="76" t="s">
        <v>2</v>
      </c>
      <c r="B57" s="76"/>
      <c r="C57" s="55"/>
      <c r="D57" s="55"/>
      <c r="E57" s="55"/>
    </row>
    <row r="58" spans="1:5" s="54" customFormat="1" x14ac:dyDescent="0.25">
      <c r="A58" s="55"/>
      <c r="B58" s="55"/>
      <c r="C58" s="55"/>
      <c r="D58" s="55"/>
      <c r="E58" s="55"/>
    </row>
    <row r="59" spans="1:5" s="54" customFormat="1" x14ac:dyDescent="0.25">
      <c r="A59" s="76"/>
      <c r="B59" s="76"/>
      <c r="C59" s="55"/>
      <c r="D59" s="55"/>
      <c r="E59" s="55"/>
    </row>
    <row r="60" spans="1:5" s="54" customFormat="1" x14ac:dyDescent="0.25">
      <c r="A60" s="75"/>
      <c r="B60" s="75"/>
      <c r="C60" s="55"/>
      <c r="D60" s="55"/>
      <c r="E60" s="55"/>
    </row>
  </sheetData>
  <mergeCells count="4">
    <mergeCell ref="C5:D5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91" zoomScaleNormal="91" workbookViewId="0">
      <selection activeCell="J12" sqref="J12"/>
    </sheetView>
  </sheetViews>
  <sheetFormatPr defaultColWidth="9.140625" defaultRowHeight="15" x14ac:dyDescent="0.25"/>
  <cols>
    <col min="1" max="1" width="49.28515625" style="105" customWidth="1"/>
    <col min="2" max="2" width="23.5703125" style="129" customWidth="1"/>
    <col min="3" max="3" width="17.28515625" style="105" customWidth="1"/>
    <col min="4" max="4" width="17.7109375" style="105" customWidth="1"/>
    <col min="5" max="168" width="9.140625" style="2"/>
    <col min="169" max="169" width="49.28515625" style="2" customWidth="1"/>
    <col min="170" max="170" width="19.42578125" style="2" customWidth="1"/>
    <col min="171" max="424" width="9.140625" style="2"/>
    <col min="425" max="425" width="49.28515625" style="2" customWidth="1"/>
    <col min="426" max="426" width="19.42578125" style="2" customWidth="1"/>
    <col min="427" max="680" width="9.140625" style="2"/>
    <col min="681" max="681" width="49.28515625" style="2" customWidth="1"/>
    <col min="682" max="682" width="19.42578125" style="2" customWidth="1"/>
    <col min="683" max="936" width="9.140625" style="2"/>
    <col min="937" max="937" width="49.28515625" style="2" customWidth="1"/>
    <col min="938" max="938" width="19.42578125" style="2" customWidth="1"/>
    <col min="939" max="1192" width="9.140625" style="2"/>
    <col min="1193" max="1193" width="49.28515625" style="2" customWidth="1"/>
    <col min="1194" max="1194" width="19.42578125" style="2" customWidth="1"/>
    <col min="1195" max="1448" width="9.140625" style="2"/>
    <col min="1449" max="1449" width="49.28515625" style="2" customWidth="1"/>
    <col min="1450" max="1450" width="19.42578125" style="2" customWidth="1"/>
    <col min="1451" max="1704" width="9.140625" style="2"/>
    <col min="1705" max="1705" width="49.28515625" style="2" customWidth="1"/>
    <col min="1706" max="1706" width="19.42578125" style="2" customWidth="1"/>
    <col min="1707" max="1960" width="9.140625" style="2"/>
    <col min="1961" max="1961" width="49.28515625" style="2" customWidth="1"/>
    <col min="1962" max="1962" width="19.42578125" style="2" customWidth="1"/>
    <col min="1963" max="2216" width="9.140625" style="2"/>
    <col min="2217" max="2217" width="49.28515625" style="2" customWidth="1"/>
    <col min="2218" max="2218" width="19.42578125" style="2" customWidth="1"/>
    <col min="2219" max="2472" width="9.140625" style="2"/>
    <col min="2473" max="2473" width="49.28515625" style="2" customWidth="1"/>
    <col min="2474" max="2474" width="19.42578125" style="2" customWidth="1"/>
    <col min="2475" max="2728" width="9.140625" style="2"/>
    <col min="2729" max="2729" width="49.28515625" style="2" customWidth="1"/>
    <col min="2730" max="2730" width="19.42578125" style="2" customWidth="1"/>
    <col min="2731" max="2984" width="9.140625" style="2"/>
    <col min="2985" max="2985" width="49.28515625" style="2" customWidth="1"/>
    <col min="2986" max="2986" width="19.42578125" style="2" customWidth="1"/>
    <col min="2987" max="3240" width="9.140625" style="2"/>
    <col min="3241" max="3241" width="49.28515625" style="2" customWidth="1"/>
    <col min="3242" max="3242" width="19.42578125" style="2" customWidth="1"/>
    <col min="3243" max="3496" width="9.140625" style="2"/>
    <col min="3497" max="3497" width="49.28515625" style="2" customWidth="1"/>
    <col min="3498" max="3498" width="19.42578125" style="2" customWidth="1"/>
    <col min="3499" max="3752" width="9.140625" style="2"/>
    <col min="3753" max="3753" width="49.28515625" style="2" customWidth="1"/>
    <col min="3754" max="3754" width="19.42578125" style="2" customWidth="1"/>
    <col min="3755" max="4008" width="9.140625" style="2"/>
    <col min="4009" max="4009" width="49.28515625" style="2" customWidth="1"/>
    <col min="4010" max="4010" width="19.42578125" style="2" customWidth="1"/>
    <col min="4011" max="4264" width="9.140625" style="2"/>
    <col min="4265" max="4265" width="49.28515625" style="2" customWidth="1"/>
    <col min="4266" max="4266" width="19.42578125" style="2" customWidth="1"/>
    <col min="4267" max="4520" width="9.140625" style="2"/>
    <col min="4521" max="4521" width="49.28515625" style="2" customWidth="1"/>
    <col min="4522" max="4522" width="19.42578125" style="2" customWidth="1"/>
    <col min="4523" max="4776" width="9.140625" style="2"/>
    <col min="4777" max="4777" width="49.28515625" style="2" customWidth="1"/>
    <col min="4778" max="4778" width="19.42578125" style="2" customWidth="1"/>
    <col min="4779" max="5032" width="9.140625" style="2"/>
    <col min="5033" max="5033" width="49.28515625" style="2" customWidth="1"/>
    <col min="5034" max="5034" width="19.42578125" style="2" customWidth="1"/>
    <col min="5035" max="5288" width="9.140625" style="2"/>
    <col min="5289" max="5289" width="49.28515625" style="2" customWidth="1"/>
    <col min="5290" max="5290" width="19.42578125" style="2" customWidth="1"/>
    <col min="5291" max="5544" width="9.140625" style="2"/>
    <col min="5545" max="5545" width="49.28515625" style="2" customWidth="1"/>
    <col min="5546" max="5546" width="19.42578125" style="2" customWidth="1"/>
    <col min="5547" max="5800" width="9.140625" style="2"/>
    <col min="5801" max="5801" width="49.28515625" style="2" customWidth="1"/>
    <col min="5802" max="5802" width="19.42578125" style="2" customWidth="1"/>
    <col min="5803" max="6056" width="9.140625" style="2"/>
    <col min="6057" max="6057" width="49.28515625" style="2" customWidth="1"/>
    <col min="6058" max="6058" width="19.42578125" style="2" customWidth="1"/>
    <col min="6059" max="6312" width="9.140625" style="2"/>
    <col min="6313" max="6313" width="49.28515625" style="2" customWidth="1"/>
    <col min="6314" max="6314" width="19.42578125" style="2" customWidth="1"/>
    <col min="6315" max="6568" width="9.140625" style="2"/>
    <col min="6569" max="6569" width="49.28515625" style="2" customWidth="1"/>
    <col min="6570" max="6570" width="19.42578125" style="2" customWidth="1"/>
    <col min="6571" max="6824" width="9.140625" style="2"/>
    <col min="6825" max="6825" width="49.28515625" style="2" customWidth="1"/>
    <col min="6826" max="6826" width="19.42578125" style="2" customWidth="1"/>
    <col min="6827" max="7080" width="9.140625" style="2"/>
    <col min="7081" max="7081" width="49.28515625" style="2" customWidth="1"/>
    <col min="7082" max="7082" width="19.42578125" style="2" customWidth="1"/>
    <col min="7083" max="7336" width="9.140625" style="2"/>
    <col min="7337" max="7337" width="49.28515625" style="2" customWidth="1"/>
    <col min="7338" max="7338" width="19.42578125" style="2" customWidth="1"/>
    <col min="7339" max="7592" width="9.140625" style="2"/>
    <col min="7593" max="7593" width="49.28515625" style="2" customWidth="1"/>
    <col min="7594" max="7594" width="19.42578125" style="2" customWidth="1"/>
    <col min="7595" max="7848" width="9.140625" style="2"/>
    <col min="7849" max="7849" width="49.28515625" style="2" customWidth="1"/>
    <col min="7850" max="7850" width="19.42578125" style="2" customWidth="1"/>
    <col min="7851" max="8104" width="9.140625" style="2"/>
    <col min="8105" max="8105" width="49.28515625" style="2" customWidth="1"/>
    <col min="8106" max="8106" width="19.42578125" style="2" customWidth="1"/>
    <col min="8107" max="8360" width="9.140625" style="2"/>
    <col min="8361" max="8361" width="49.28515625" style="2" customWidth="1"/>
    <col min="8362" max="8362" width="19.42578125" style="2" customWidth="1"/>
    <col min="8363" max="8616" width="9.140625" style="2"/>
    <col min="8617" max="8617" width="49.28515625" style="2" customWidth="1"/>
    <col min="8618" max="8618" width="19.42578125" style="2" customWidth="1"/>
    <col min="8619" max="8872" width="9.140625" style="2"/>
    <col min="8873" max="8873" width="49.28515625" style="2" customWidth="1"/>
    <col min="8874" max="8874" width="19.42578125" style="2" customWidth="1"/>
    <col min="8875" max="9128" width="9.140625" style="2"/>
    <col min="9129" max="9129" width="49.28515625" style="2" customWidth="1"/>
    <col min="9130" max="9130" width="19.42578125" style="2" customWidth="1"/>
    <col min="9131" max="9384" width="9.140625" style="2"/>
    <col min="9385" max="9385" width="49.28515625" style="2" customWidth="1"/>
    <col min="9386" max="9386" width="19.42578125" style="2" customWidth="1"/>
    <col min="9387" max="9640" width="9.140625" style="2"/>
    <col min="9641" max="9641" width="49.28515625" style="2" customWidth="1"/>
    <col min="9642" max="9642" width="19.42578125" style="2" customWidth="1"/>
    <col min="9643" max="9896" width="9.140625" style="2"/>
    <col min="9897" max="9897" width="49.28515625" style="2" customWidth="1"/>
    <col min="9898" max="9898" width="19.42578125" style="2" customWidth="1"/>
    <col min="9899" max="10152" width="9.140625" style="2"/>
    <col min="10153" max="10153" width="49.28515625" style="2" customWidth="1"/>
    <col min="10154" max="10154" width="19.42578125" style="2" customWidth="1"/>
    <col min="10155" max="10408" width="9.140625" style="2"/>
    <col min="10409" max="10409" width="49.28515625" style="2" customWidth="1"/>
    <col min="10410" max="10410" width="19.42578125" style="2" customWidth="1"/>
    <col min="10411" max="10664" width="9.140625" style="2"/>
    <col min="10665" max="10665" width="49.28515625" style="2" customWidth="1"/>
    <col min="10666" max="10666" width="19.42578125" style="2" customWidth="1"/>
    <col min="10667" max="10920" width="9.140625" style="2"/>
    <col min="10921" max="10921" width="49.28515625" style="2" customWidth="1"/>
    <col min="10922" max="10922" width="19.42578125" style="2" customWidth="1"/>
    <col min="10923" max="11176" width="9.140625" style="2"/>
    <col min="11177" max="11177" width="49.28515625" style="2" customWidth="1"/>
    <col min="11178" max="11178" width="19.42578125" style="2" customWidth="1"/>
    <col min="11179" max="11432" width="9.140625" style="2"/>
    <col min="11433" max="11433" width="49.28515625" style="2" customWidth="1"/>
    <col min="11434" max="11434" width="19.42578125" style="2" customWidth="1"/>
    <col min="11435" max="11688" width="9.140625" style="2"/>
    <col min="11689" max="11689" width="49.28515625" style="2" customWidth="1"/>
    <col min="11690" max="11690" width="19.42578125" style="2" customWidth="1"/>
    <col min="11691" max="11944" width="9.140625" style="2"/>
    <col min="11945" max="11945" width="49.28515625" style="2" customWidth="1"/>
    <col min="11946" max="11946" width="19.42578125" style="2" customWidth="1"/>
    <col min="11947" max="12200" width="9.140625" style="2"/>
    <col min="12201" max="12201" width="49.28515625" style="2" customWidth="1"/>
    <col min="12202" max="12202" width="19.42578125" style="2" customWidth="1"/>
    <col min="12203" max="12456" width="9.140625" style="2"/>
    <col min="12457" max="12457" width="49.28515625" style="2" customWidth="1"/>
    <col min="12458" max="12458" width="19.42578125" style="2" customWidth="1"/>
    <col min="12459" max="12712" width="9.140625" style="2"/>
    <col min="12713" max="12713" width="49.28515625" style="2" customWidth="1"/>
    <col min="12714" max="12714" width="19.42578125" style="2" customWidth="1"/>
    <col min="12715" max="12968" width="9.140625" style="2"/>
    <col min="12969" max="12969" width="49.28515625" style="2" customWidth="1"/>
    <col min="12970" max="12970" width="19.42578125" style="2" customWidth="1"/>
    <col min="12971" max="13224" width="9.140625" style="2"/>
    <col min="13225" max="13225" width="49.28515625" style="2" customWidth="1"/>
    <col min="13226" max="13226" width="19.42578125" style="2" customWidth="1"/>
    <col min="13227" max="13480" width="9.140625" style="2"/>
    <col min="13481" max="13481" width="49.28515625" style="2" customWidth="1"/>
    <col min="13482" max="13482" width="19.42578125" style="2" customWidth="1"/>
    <col min="13483" max="13736" width="9.140625" style="2"/>
    <col min="13737" max="13737" width="49.28515625" style="2" customWidth="1"/>
    <col min="13738" max="13738" width="19.42578125" style="2" customWidth="1"/>
    <col min="13739" max="13992" width="9.140625" style="2"/>
    <col min="13993" max="13993" width="49.28515625" style="2" customWidth="1"/>
    <col min="13994" max="13994" width="19.42578125" style="2" customWidth="1"/>
    <col min="13995" max="14248" width="9.140625" style="2"/>
    <col min="14249" max="14249" width="49.28515625" style="2" customWidth="1"/>
    <col min="14250" max="14250" width="19.42578125" style="2" customWidth="1"/>
    <col min="14251" max="14504" width="9.140625" style="2"/>
    <col min="14505" max="14505" width="49.28515625" style="2" customWidth="1"/>
    <col min="14506" max="14506" width="19.42578125" style="2" customWidth="1"/>
    <col min="14507" max="14760" width="9.140625" style="2"/>
    <col min="14761" max="14761" width="49.28515625" style="2" customWidth="1"/>
    <col min="14762" max="14762" width="19.42578125" style="2" customWidth="1"/>
    <col min="14763" max="15016" width="9.140625" style="2"/>
    <col min="15017" max="15017" width="49.28515625" style="2" customWidth="1"/>
    <col min="15018" max="15018" width="19.42578125" style="2" customWidth="1"/>
    <col min="15019" max="15272" width="9.140625" style="2"/>
    <col min="15273" max="15273" width="49.28515625" style="2" customWidth="1"/>
    <col min="15274" max="15274" width="19.42578125" style="2" customWidth="1"/>
    <col min="15275" max="15528" width="9.140625" style="2"/>
    <col min="15529" max="15529" width="49.28515625" style="2" customWidth="1"/>
    <col min="15530" max="15530" width="19.42578125" style="2" customWidth="1"/>
    <col min="15531" max="15784" width="9.140625" style="2"/>
    <col min="15785" max="15785" width="49.28515625" style="2" customWidth="1"/>
    <col min="15786" max="15786" width="19.42578125" style="2" customWidth="1"/>
    <col min="15787" max="16040" width="9.140625" style="2"/>
    <col min="16041" max="16041" width="49.28515625" style="2" customWidth="1"/>
    <col min="16042" max="16042" width="19.42578125" style="2" customWidth="1"/>
    <col min="16043" max="16384" width="9.140625" style="2"/>
  </cols>
  <sheetData>
    <row r="1" spans="1:4" x14ac:dyDescent="0.25">
      <c r="A1" s="104"/>
      <c r="B1" s="123"/>
    </row>
    <row r="2" spans="1:4" x14ac:dyDescent="0.25">
      <c r="A2" s="133" t="s">
        <v>3</v>
      </c>
      <c r="B2" s="133"/>
      <c r="C2" s="133"/>
      <c r="D2" s="133"/>
    </row>
    <row r="3" spans="1:4" x14ac:dyDescent="0.25">
      <c r="A3" s="133" t="s">
        <v>101</v>
      </c>
      <c r="B3" s="133"/>
      <c r="C3" s="133"/>
      <c r="D3" s="133"/>
    </row>
    <row r="4" spans="1:4" x14ac:dyDescent="0.25">
      <c r="A4" s="133" t="s">
        <v>119</v>
      </c>
      <c r="B4" s="133"/>
      <c r="C4" s="133"/>
      <c r="D4" s="133"/>
    </row>
    <row r="5" spans="1:4" ht="15.75" thickBot="1" x14ac:dyDescent="0.3">
      <c r="A5" s="106"/>
      <c r="B5" s="124"/>
      <c r="D5" s="107"/>
    </row>
    <row r="6" spans="1:4" ht="16.5" thickTop="1" thickBot="1" x14ac:dyDescent="0.3">
      <c r="A6" s="108" t="s">
        <v>5</v>
      </c>
      <c r="B6" s="108" t="s">
        <v>116</v>
      </c>
      <c r="C6" s="109" t="s">
        <v>106</v>
      </c>
      <c r="D6" s="109" t="s">
        <v>56</v>
      </c>
    </row>
    <row r="7" spans="1:4" ht="15.75" thickTop="1" x14ac:dyDescent="0.25">
      <c r="A7" s="110" t="s">
        <v>45</v>
      </c>
      <c r="B7" s="110">
        <v>17</v>
      </c>
      <c r="C7" s="111">
        <v>5310319</v>
      </c>
      <c r="D7" s="111">
        <v>3002755</v>
      </c>
    </row>
    <row r="8" spans="1:4" ht="26.25" thickBot="1" x14ac:dyDescent="0.3">
      <c r="A8" s="112" t="s">
        <v>46</v>
      </c>
      <c r="B8" s="112">
        <v>18</v>
      </c>
      <c r="C8" s="81">
        <v>-4160793</v>
      </c>
      <c r="D8" s="81">
        <v>-1950550</v>
      </c>
    </row>
    <row r="9" spans="1:4" x14ac:dyDescent="0.25">
      <c r="A9" s="113" t="s">
        <v>47</v>
      </c>
      <c r="B9" s="113"/>
      <c r="C9" s="114">
        <f>SUM(C7:C8)</f>
        <v>1149526</v>
      </c>
      <c r="D9" s="114">
        <f>SUM(D7:D8)</f>
        <v>1052205</v>
      </c>
    </row>
    <row r="10" spans="1:4" ht="29.25" customHeight="1" x14ac:dyDescent="0.25">
      <c r="A10" s="115" t="s">
        <v>48</v>
      </c>
      <c r="B10" s="125">
        <v>19</v>
      </c>
      <c r="C10" s="82">
        <v>-321281</v>
      </c>
      <c r="D10" s="82">
        <v>-257005</v>
      </c>
    </row>
    <row r="11" spans="1:4" ht="25.5" x14ac:dyDescent="0.25">
      <c r="A11" s="115" t="s">
        <v>58</v>
      </c>
      <c r="B11" s="125"/>
      <c r="C11" s="83">
        <v>347851</v>
      </c>
      <c r="D11" s="83">
        <v>14914</v>
      </c>
    </row>
    <row r="12" spans="1:4" ht="36" customHeight="1" x14ac:dyDescent="0.25">
      <c r="A12" s="110" t="s">
        <v>49</v>
      </c>
      <c r="B12" s="110">
        <v>20</v>
      </c>
      <c r="C12" s="82">
        <v>418132</v>
      </c>
      <c r="D12" s="84">
        <v>124631</v>
      </c>
    </row>
    <row r="13" spans="1:4" x14ac:dyDescent="0.25">
      <c r="A13" s="110" t="s">
        <v>50</v>
      </c>
      <c r="B13" s="110">
        <v>21</v>
      </c>
      <c r="C13" s="84">
        <f>-294963</f>
        <v>-294963</v>
      </c>
      <c r="D13" s="84">
        <f>-154001</f>
        <v>-154001</v>
      </c>
    </row>
    <row r="14" spans="1:4" x14ac:dyDescent="0.25">
      <c r="A14" s="110" t="s">
        <v>51</v>
      </c>
      <c r="B14" s="110"/>
      <c r="C14" s="84">
        <f>11372-9369</f>
        <v>2003</v>
      </c>
      <c r="D14" s="84">
        <f>2932-2200</f>
        <v>732</v>
      </c>
    </row>
    <row r="15" spans="1:4" x14ac:dyDescent="0.25">
      <c r="A15" s="110" t="s">
        <v>52</v>
      </c>
      <c r="B15" s="110">
        <v>23</v>
      </c>
      <c r="C15" s="84">
        <v>-851126</v>
      </c>
      <c r="D15" s="84">
        <v>-356935</v>
      </c>
    </row>
    <row r="16" spans="1:4" ht="24.75" customHeight="1" thickBot="1" x14ac:dyDescent="0.3">
      <c r="A16" s="112" t="s">
        <v>53</v>
      </c>
      <c r="B16" s="112">
        <v>22</v>
      </c>
      <c r="C16" s="85">
        <v>3186</v>
      </c>
      <c r="D16" s="85">
        <v>1261</v>
      </c>
    </row>
    <row r="17" spans="1:4" ht="15.75" thickBot="1" x14ac:dyDescent="0.3">
      <c r="A17" s="116" t="s">
        <v>54</v>
      </c>
      <c r="B17" s="116"/>
      <c r="C17" s="117">
        <f>SUM(C9:C16)</f>
        <v>453328</v>
      </c>
      <c r="D17" s="117">
        <f>SUM(D9:D16)</f>
        <v>425802</v>
      </c>
    </row>
    <row r="18" spans="1:4" ht="24.75" customHeight="1" thickBot="1" x14ac:dyDescent="0.3">
      <c r="A18" s="118" t="s">
        <v>57</v>
      </c>
      <c r="B18" s="118"/>
      <c r="C18" s="86">
        <v>-52126</v>
      </c>
      <c r="D18" s="86">
        <v>-76358</v>
      </c>
    </row>
    <row r="19" spans="1:4" ht="15.75" thickBot="1" x14ac:dyDescent="0.3">
      <c r="A19" s="116" t="s">
        <v>117</v>
      </c>
      <c r="B19" s="116"/>
      <c r="C19" s="117">
        <f>SUM(C17:C18)</f>
        <v>401202</v>
      </c>
      <c r="D19" s="117">
        <f>SUM(D17:D18)</f>
        <v>349444</v>
      </c>
    </row>
    <row r="20" spans="1:4" x14ac:dyDescent="0.25">
      <c r="A20" s="118" t="s">
        <v>97</v>
      </c>
      <c r="B20" s="118"/>
      <c r="C20" s="86">
        <f>C19*1000/214506</f>
        <v>1870.3532768314174</v>
      </c>
      <c r="D20" s="86">
        <f>D19*1000/214506</f>
        <v>1629.0639888860917</v>
      </c>
    </row>
    <row r="21" spans="1:4" x14ac:dyDescent="0.25">
      <c r="A21" s="104"/>
      <c r="B21" s="123"/>
      <c r="C21" s="119"/>
      <c r="D21" s="119"/>
    </row>
    <row r="22" spans="1:4" s="54" customFormat="1" x14ac:dyDescent="0.25">
      <c r="A22" s="120" t="s">
        <v>104</v>
      </c>
      <c r="B22" s="126"/>
      <c r="C22" s="121"/>
      <c r="D22" s="121"/>
    </row>
    <row r="23" spans="1:4" s="54" customFormat="1" x14ac:dyDescent="0.25">
      <c r="A23" s="122" t="s">
        <v>1</v>
      </c>
      <c r="B23" s="127"/>
      <c r="C23" s="121"/>
      <c r="D23" s="121"/>
    </row>
    <row r="24" spans="1:4" s="54" customFormat="1" x14ac:dyDescent="0.25">
      <c r="A24" s="121"/>
      <c r="B24" s="128"/>
      <c r="C24" s="121"/>
      <c r="D24" s="121"/>
    </row>
    <row r="25" spans="1:4" s="54" customFormat="1" x14ac:dyDescent="0.25">
      <c r="A25" s="120" t="s">
        <v>107</v>
      </c>
      <c r="B25" s="126"/>
      <c r="C25" s="121"/>
      <c r="D25" s="121"/>
    </row>
    <row r="26" spans="1:4" s="54" customFormat="1" x14ac:dyDescent="0.25">
      <c r="A26" s="122" t="s">
        <v>2</v>
      </c>
      <c r="B26" s="127"/>
      <c r="C26" s="121"/>
      <c r="D26" s="121"/>
    </row>
    <row r="27" spans="1:4" s="54" customFormat="1" x14ac:dyDescent="0.25">
      <c r="A27" s="121"/>
      <c r="B27" s="128"/>
      <c r="C27" s="121"/>
      <c r="D27" s="121"/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3"/>
  <sheetViews>
    <sheetView zoomScale="87" zoomScaleNormal="87" workbookViewId="0">
      <pane ySplit="1" topLeftCell="A2" activePane="bottomLeft" state="frozen"/>
      <selection pane="bottomLeft" activeCell="A4" sqref="A4"/>
    </sheetView>
  </sheetViews>
  <sheetFormatPr defaultRowHeight="22.5" customHeight="1" x14ac:dyDescent="0.25"/>
  <cols>
    <col min="1" max="1" width="58.7109375" customWidth="1"/>
    <col min="2" max="2" width="17.42578125" style="103" customWidth="1"/>
    <col min="3" max="3" width="13.42578125" customWidth="1"/>
  </cols>
  <sheetData>
    <row r="1" spans="1:3" ht="22.5" customHeight="1" x14ac:dyDescent="0.25">
      <c r="A1" s="131" t="s">
        <v>3</v>
      </c>
      <c r="B1" s="131"/>
      <c r="C1" s="131"/>
    </row>
    <row r="2" spans="1:3" ht="22.5" customHeight="1" x14ac:dyDescent="0.25">
      <c r="A2" s="134" t="s">
        <v>102</v>
      </c>
      <c r="B2" s="134"/>
      <c r="C2" s="134"/>
    </row>
    <row r="3" spans="1:3" ht="22.5" customHeight="1" x14ac:dyDescent="0.25">
      <c r="A3" s="131" t="s">
        <v>120</v>
      </c>
      <c r="B3" s="131"/>
      <c r="C3" s="131"/>
    </row>
    <row r="4" spans="1:3" ht="22.5" customHeight="1" thickBot="1" x14ac:dyDescent="0.3">
      <c r="A4" s="31"/>
      <c r="B4" s="89"/>
      <c r="C4" s="32" t="s">
        <v>4</v>
      </c>
    </row>
    <row r="5" spans="1:3" ht="48" customHeight="1" thickTop="1" thickBot="1" x14ac:dyDescent="0.3">
      <c r="A5" s="33" t="s">
        <v>5</v>
      </c>
      <c r="B5" s="88" t="s">
        <v>108</v>
      </c>
      <c r="C5" s="34" t="s">
        <v>93</v>
      </c>
    </row>
    <row r="6" spans="1:3" ht="22.5" customHeight="1" thickTop="1" x14ac:dyDescent="0.25">
      <c r="A6" s="35" t="s">
        <v>59</v>
      </c>
      <c r="B6" s="90"/>
      <c r="C6" s="36"/>
    </row>
    <row r="7" spans="1:3" ht="16.5" customHeight="1" x14ac:dyDescent="0.25">
      <c r="A7" s="37" t="s">
        <v>60</v>
      </c>
      <c r="B7" s="91">
        <f>SUM(B8:B10)</f>
        <v>11932479</v>
      </c>
      <c r="C7" s="78">
        <f>SUM(C8:C10)</f>
        <v>1976941</v>
      </c>
    </row>
    <row r="8" spans="1:3" ht="62.25" customHeight="1" x14ac:dyDescent="0.25">
      <c r="A8" s="20" t="s">
        <v>61</v>
      </c>
      <c r="B8" s="92">
        <f>9261247-9764-42365-143-4627</f>
        <v>9204348</v>
      </c>
      <c r="C8" s="38">
        <f>1975325-2369-5886-16760-64</f>
        <v>1950246</v>
      </c>
    </row>
    <row r="9" spans="1:3" ht="39" customHeight="1" x14ac:dyDescent="0.25">
      <c r="A9" s="20" t="s">
        <v>62</v>
      </c>
      <c r="B9" s="92">
        <f>42365+143</f>
        <v>42508</v>
      </c>
      <c r="C9" s="38">
        <f>16760+64</f>
        <v>16824</v>
      </c>
    </row>
    <row r="10" spans="1:3" ht="16.5" customHeight="1" x14ac:dyDescent="0.25">
      <c r="A10" s="20" t="s">
        <v>63</v>
      </c>
      <c r="B10" s="92">
        <f>2694786-9163</f>
        <v>2685623</v>
      </c>
      <c r="C10" s="39">
        <f>31619+266-22014</f>
        <v>9871</v>
      </c>
    </row>
    <row r="11" spans="1:3" ht="16.5" customHeight="1" x14ac:dyDescent="0.25">
      <c r="A11" s="37" t="s">
        <v>64</v>
      </c>
      <c r="B11" s="93">
        <f>SUM(B12:B18)</f>
        <v>-6995507</v>
      </c>
      <c r="C11" s="40">
        <f>SUM(C12:C18)</f>
        <v>-4091164</v>
      </c>
    </row>
    <row r="12" spans="1:3" ht="16.5" customHeight="1" x14ac:dyDescent="0.25">
      <c r="A12" s="20" t="s">
        <v>65</v>
      </c>
      <c r="B12" s="92">
        <f>-7057526+1000000+16333+4293523</f>
        <v>-1747670</v>
      </c>
      <c r="C12" s="41">
        <f>-3356548+3000602</f>
        <v>-355946</v>
      </c>
    </row>
    <row r="13" spans="1:3" ht="16.5" customHeight="1" x14ac:dyDescent="0.25">
      <c r="A13" s="20" t="s">
        <v>66</v>
      </c>
      <c r="B13" s="92">
        <v>-456035</v>
      </c>
      <c r="C13" s="41">
        <f>-391737</f>
        <v>-391737</v>
      </c>
    </row>
    <row r="14" spans="1:3" ht="16.5" customHeight="1" x14ac:dyDescent="0.25">
      <c r="A14" s="20" t="s">
        <v>67</v>
      </c>
      <c r="B14" s="92">
        <v>-8891</v>
      </c>
      <c r="C14" s="41">
        <f>-14976</f>
        <v>-14976</v>
      </c>
    </row>
    <row r="15" spans="1:3" ht="16.5" customHeight="1" x14ac:dyDescent="0.25">
      <c r="A15" s="20" t="s">
        <v>68</v>
      </c>
      <c r="B15" s="92">
        <f>-272546+8891</f>
        <v>-263655</v>
      </c>
      <c r="C15" s="41">
        <f>-193412+14976</f>
        <v>-178436</v>
      </c>
    </row>
    <row r="16" spans="1:3" ht="16.5" customHeight="1" x14ac:dyDescent="0.25">
      <c r="A16" s="20" t="s">
        <v>69</v>
      </c>
      <c r="B16" s="92">
        <f>-3223188+3000000</f>
        <v>-223188</v>
      </c>
      <c r="C16" s="41">
        <f>-133465</f>
        <v>-133465</v>
      </c>
    </row>
    <row r="17" spans="1:3" ht="16.5" customHeight="1" x14ac:dyDescent="0.25">
      <c r="A17" s="20" t="s">
        <v>0</v>
      </c>
      <c r="B17" s="92">
        <f>-4293523</f>
        <v>-4293523</v>
      </c>
      <c r="C17" s="41">
        <f>-3000602</f>
        <v>-3000602</v>
      </c>
    </row>
    <row r="18" spans="1:3" ht="16.5" customHeight="1" thickBot="1" x14ac:dyDescent="0.3">
      <c r="A18" s="42" t="s">
        <v>70</v>
      </c>
      <c r="B18" s="94">
        <f>-678761+665973+9369+874</f>
        <v>-2545</v>
      </c>
      <c r="C18" s="43">
        <f>-299547+2200+280471+874</f>
        <v>-16002</v>
      </c>
    </row>
    <row r="19" spans="1:3" ht="22.5" customHeight="1" thickBot="1" x14ac:dyDescent="0.3">
      <c r="A19" s="44" t="s">
        <v>71</v>
      </c>
      <c r="B19" s="95">
        <f>B7+B11</f>
        <v>4936972</v>
      </c>
      <c r="C19" s="45">
        <f>C7+C11</f>
        <v>-2114223</v>
      </c>
    </row>
    <row r="20" spans="1:3" ht="22.5" customHeight="1" x14ac:dyDescent="0.25">
      <c r="A20" s="35" t="s">
        <v>72</v>
      </c>
      <c r="B20" s="90"/>
      <c r="C20" s="38"/>
    </row>
    <row r="21" spans="1:3" ht="15" customHeight="1" x14ac:dyDescent="0.25">
      <c r="A21" s="37" t="s">
        <v>60</v>
      </c>
      <c r="B21" s="91">
        <f>B22+B23</f>
        <v>217691</v>
      </c>
      <c r="C21" s="78">
        <f>C22+C23</f>
        <v>27206</v>
      </c>
    </row>
    <row r="22" spans="1:3" ht="15" customHeight="1" x14ac:dyDescent="0.25">
      <c r="A22" s="47" t="s">
        <v>73</v>
      </c>
      <c r="B22" s="96">
        <v>213064</v>
      </c>
      <c r="C22" s="38">
        <v>21320</v>
      </c>
    </row>
    <row r="23" spans="1:3" ht="15" customHeight="1" x14ac:dyDescent="0.25">
      <c r="A23" s="49" t="s">
        <v>96</v>
      </c>
      <c r="B23" s="97">
        <v>4627</v>
      </c>
      <c r="C23" s="39">
        <v>5886</v>
      </c>
    </row>
    <row r="24" spans="1:3" ht="15" customHeight="1" x14ac:dyDescent="0.25">
      <c r="A24" s="37" t="s">
        <v>64</v>
      </c>
      <c r="B24" s="93">
        <f>SUM(B25:B27)</f>
        <v>-5645482</v>
      </c>
      <c r="C24" s="40">
        <f>SUM(C25:C27)</f>
        <v>-4668000</v>
      </c>
    </row>
    <row r="25" spans="1:3" ht="15" customHeight="1" x14ac:dyDescent="0.25">
      <c r="A25" s="20" t="s">
        <v>74</v>
      </c>
      <c r="B25" s="92">
        <f>-221200+106386+6283</f>
        <v>-108531</v>
      </c>
      <c r="C25" s="41">
        <f>-544776+13550+1632</f>
        <v>-529594</v>
      </c>
    </row>
    <row r="26" spans="1:3" ht="15" customHeight="1" x14ac:dyDescent="0.25">
      <c r="A26" s="20" t="s">
        <v>75</v>
      </c>
      <c r="B26" s="92">
        <f>9163-106386-6283-5066498</f>
        <v>-5170004</v>
      </c>
      <c r="C26" s="41">
        <f>22014-13550-1632-762640</f>
        <v>-755808</v>
      </c>
    </row>
    <row r="27" spans="1:3" ht="15" customHeight="1" thickBot="1" x14ac:dyDescent="0.3">
      <c r="A27" s="20" t="s">
        <v>94</v>
      </c>
      <c r="B27" s="92">
        <f>-5433445+5066498</f>
        <v>-366947</v>
      </c>
      <c r="C27" s="43">
        <f>-4145238+762640</f>
        <v>-3382598</v>
      </c>
    </row>
    <row r="28" spans="1:3" ht="22.5" customHeight="1" thickBot="1" x14ac:dyDescent="0.3">
      <c r="A28" s="48" t="s">
        <v>76</v>
      </c>
      <c r="B28" s="95">
        <f>B21+B24</f>
        <v>-5427791</v>
      </c>
      <c r="C28" s="45">
        <f>C21+C24</f>
        <v>-4640794</v>
      </c>
    </row>
    <row r="29" spans="1:3" ht="22.5" customHeight="1" x14ac:dyDescent="0.25">
      <c r="A29" s="35" t="s">
        <v>77</v>
      </c>
      <c r="B29" s="90"/>
      <c r="C29" s="39"/>
    </row>
    <row r="30" spans="1:3" ht="15.75" customHeight="1" x14ac:dyDescent="0.25">
      <c r="A30" s="37" t="s">
        <v>60</v>
      </c>
      <c r="B30" s="91">
        <f>SUM(B31:B34)</f>
        <v>8112356</v>
      </c>
      <c r="C30" s="78">
        <f>SUM(C31:C34)</f>
        <v>7009471</v>
      </c>
    </row>
    <row r="31" spans="1:3" ht="15.75" customHeight="1" x14ac:dyDescent="0.25">
      <c r="A31" s="49" t="s">
        <v>114</v>
      </c>
      <c r="B31" s="97">
        <v>3000000</v>
      </c>
      <c r="C31" s="39">
        <v>3000000</v>
      </c>
    </row>
    <row r="32" spans="1:3" ht="15.75" customHeight="1" x14ac:dyDescent="0.25">
      <c r="A32" s="49" t="s">
        <v>115</v>
      </c>
      <c r="B32" s="97">
        <v>5112356</v>
      </c>
      <c r="C32" s="39"/>
    </row>
    <row r="33" spans="1:7" ht="15.75" customHeight="1" x14ac:dyDescent="0.25">
      <c r="A33" s="49" t="s">
        <v>78</v>
      </c>
      <c r="B33" s="97"/>
      <c r="C33" s="39">
        <v>3967600</v>
      </c>
    </row>
    <row r="34" spans="1:7" ht="15.75" customHeight="1" x14ac:dyDescent="0.25">
      <c r="A34" s="49" t="s">
        <v>79</v>
      </c>
      <c r="B34" s="97"/>
      <c r="C34" s="39">
        <f>4009471-3967600</f>
        <v>41871</v>
      </c>
    </row>
    <row r="35" spans="1:7" ht="15.75" customHeight="1" x14ac:dyDescent="0.25">
      <c r="A35" s="37" t="s">
        <v>64</v>
      </c>
      <c r="B35" s="93">
        <f>SUM(B36:B39)</f>
        <v>-7683396</v>
      </c>
      <c r="C35" s="40">
        <f>SUM(C37:C39)</f>
        <v>-281561</v>
      </c>
    </row>
    <row r="36" spans="1:7" ht="15.75" customHeight="1" x14ac:dyDescent="0.25">
      <c r="A36" s="20" t="s">
        <v>112</v>
      </c>
      <c r="B36" s="87">
        <f>-3000000-3000000</f>
        <v>-6000000</v>
      </c>
      <c r="C36" s="40"/>
    </row>
    <row r="37" spans="1:7" ht="15.75" customHeight="1" x14ac:dyDescent="0.25">
      <c r="A37" s="47" t="s">
        <v>113</v>
      </c>
      <c r="B37" s="87">
        <v>-1000000</v>
      </c>
      <c r="C37" s="41">
        <f>-280471</f>
        <v>-280471</v>
      </c>
    </row>
    <row r="38" spans="1:7" ht="15.75" customHeight="1" x14ac:dyDescent="0.25">
      <c r="A38" s="47" t="s">
        <v>80</v>
      </c>
      <c r="B38" s="87">
        <f>-16333-665973</f>
        <v>-682306</v>
      </c>
      <c r="C38" s="41"/>
    </row>
    <row r="39" spans="1:7" ht="15.75" customHeight="1" thickBot="1" x14ac:dyDescent="0.3">
      <c r="A39" s="47" t="s">
        <v>81</v>
      </c>
      <c r="B39" s="96">
        <f>-216-874</f>
        <v>-1090</v>
      </c>
      <c r="C39" s="43">
        <f>-216-874</f>
        <v>-1090</v>
      </c>
    </row>
    <row r="40" spans="1:7" ht="22.5" customHeight="1" thickBot="1" x14ac:dyDescent="0.3">
      <c r="A40" s="48" t="s">
        <v>82</v>
      </c>
      <c r="B40" s="98">
        <f>B30+B35</f>
        <v>428960</v>
      </c>
      <c r="C40" s="79">
        <f>C30+C35</f>
        <v>6727910</v>
      </c>
    </row>
    <row r="41" spans="1:7" ht="38.25" customHeight="1" thickBot="1" x14ac:dyDescent="0.3">
      <c r="A41" s="42" t="s">
        <v>83</v>
      </c>
      <c r="B41" s="94">
        <f>32-36</f>
        <v>-4</v>
      </c>
      <c r="C41" s="50">
        <f>21-266</f>
        <v>-245</v>
      </c>
    </row>
    <row r="42" spans="1:7" ht="59.25" customHeight="1" thickBot="1" x14ac:dyDescent="0.3">
      <c r="A42" s="44" t="s">
        <v>84</v>
      </c>
      <c r="B42" s="99">
        <f>B19+B28+B40+B41</f>
        <v>-61863</v>
      </c>
      <c r="C42" s="50">
        <f>C19+C28+C40+C41</f>
        <v>-27352</v>
      </c>
    </row>
    <row r="43" spans="1:7" ht="22.5" customHeight="1" thickBot="1" x14ac:dyDescent="0.3">
      <c r="A43" s="44" t="s">
        <v>85</v>
      </c>
      <c r="B43" s="100">
        <v>65430</v>
      </c>
      <c r="C43" s="46">
        <v>92613</v>
      </c>
    </row>
    <row r="44" spans="1:7" ht="50.25" customHeight="1" thickBot="1" x14ac:dyDescent="0.3">
      <c r="A44" s="48" t="s">
        <v>95</v>
      </c>
      <c r="B44" s="101">
        <f>9764-9369</f>
        <v>395</v>
      </c>
      <c r="C44" s="72">
        <f>2369-2200</f>
        <v>169</v>
      </c>
    </row>
    <row r="45" spans="1:7" ht="22.5" customHeight="1" thickBot="1" x14ac:dyDescent="0.3">
      <c r="A45" s="52" t="s">
        <v>86</v>
      </c>
      <c r="B45" s="102">
        <f>B42+B43+B44</f>
        <v>3962</v>
      </c>
      <c r="C45" s="80">
        <f>C42+C43+C44</f>
        <v>65430</v>
      </c>
    </row>
    <row r="46" spans="1:7" ht="15" customHeight="1" thickTop="1" x14ac:dyDescent="0.25"/>
    <row r="47" spans="1:7" ht="15" customHeight="1" x14ac:dyDescent="0.25"/>
    <row r="48" spans="1:7" s="54" customFormat="1" ht="15" x14ac:dyDescent="0.25">
      <c r="A48" s="75" t="s">
        <v>111</v>
      </c>
      <c r="B48" s="55"/>
      <c r="C48" s="55"/>
      <c r="D48" s="55"/>
      <c r="E48" s="55"/>
      <c r="F48" s="61"/>
      <c r="G48" s="55"/>
    </row>
    <row r="49" spans="1:7" s="54" customFormat="1" ht="15" x14ac:dyDescent="0.25">
      <c r="A49" s="76" t="s">
        <v>1</v>
      </c>
      <c r="B49" s="55"/>
      <c r="C49" s="55"/>
      <c r="D49" s="55"/>
      <c r="E49" s="55"/>
      <c r="F49" s="55"/>
      <c r="G49" s="55"/>
    </row>
    <row r="50" spans="1:7" s="54" customFormat="1" ht="15" x14ac:dyDescent="0.25">
      <c r="A50" s="55"/>
      <c r="B50" s="55"/>
      <c r="C50" s="55"/>
      <c r="D50" s="55"/>
      <c r="E50" s="55"/>
      <c r="F50" s="55"/>
      <c r="G50" s="55"/>
    </row>
    <row r="51" spans="1:7" s="54" customFormat="1" ht="15" x14ac:dyDescent="0.25">
      <c r="A51" s="75" t="s">
        <v>107</v>
      </c>
      <c r="B51" s="55"/>
      <c r="C51" s="55"/>
      <c r="D51" s="55"/>
      <c r="E51" s="55"/>
      <c r="F51" s="55"/>
      <c r="G51" s="55"/>
    </row>
    <row r="52" spans="1:7" s="54" customFormat="1" ht="15" x14ac:dyDescent="0.25">
      <c r="A52" s="76" t="s">
        <v>2</v>
      </c>
      <c r="B52" s="55"/>
      <c r="C52" s="55"/>
      <c r="D52" s="55"/>
      <c r="E52" s="55"/>
      <c r="F52" s="55"/>
      <c r="G52" s="55"/>
    </row>
    <row r="53" spans="1:7" ht="15" customHeight="1" x14ac:dyDescent="0.25"/>
    <row r="54" spans="1:7" ht="15" customHeight="1" x14ac:dyDescent="0.25"/>
    <row r="55" spans="1:7" ht="15" customHeight="1" x14ac:dyDescent="0.25"/>
    <row r="56" spans="1:7" ht="15" customHeight="1" x14ac:dyDescent="0.25"/>
    <row r="57" spans="1:7" ht="15" customHeight="1" x14ac:dyDescent="0.25"/>
    <row r="58" spans="1:7" ht="15" customHeight="1" x14ac:dyDescent="0.25"/>
    <row r="59" spans="1:7" ht="15" customHeight="1" x14ac:dyDescent="0.25"/>
    <row r="60" spans="1:7" ht="15" customHeight="1" x14ac:dyDescent="0.25"/>
    <row r="61" spans="1:7" ht="15" customHeight="1" x14ac:dyDescent="0.25"/>
    <row r="62" spans="1:7" ht="15" customHeight="1" x14ac:dyDescent="0.25"/>
    <row r="63" spans="1:7" ht="15" customHeight="1" x14ac:dyDescent="0.25"/>
    <row r="64" spans="1:7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A3" sqref="A3:G3"/>
    </sheetView>
  </sheetViews>
  <sheetFormatPr defaultColWidth="8.85546875" defaultRowHeight="15" x14ac:dyDescent="0.25"/>
  <cols>
    <col min="1" max="1" width="36.7109375" style="54" customWidth="1"/>
    <col min="2" max="2" width="10" style="54" bestFit="1" customWidth="1"/>
    <col min="3" max="3" width="13.5703125" style="54" customWidth="1"/>
    <col min="4" max="4" width="11.7109375" style="54" customWidth="1"/>
    <col min="5" max="5" width="12" style="54" customWidth="1"/>
    <col min="6" max="6" width="14" style="54" customWidth="1"/>
    <col min="7" max="7" width="12.140625" style="54" customWidth="1"/>
    <col min="8" max="8" width="0" style="54" hidden="1" customWidth="1"/>
    <col min="9" max="16384" width="8.85546875" style="54"/>
  </cols>
  <sheetData>
    <row r="1" spans="1:8" s="53" customFormat="1" x14ac:dyDescent="0.25">
      <c r="A1" s="135" t="s">
        <v>3</v>
      </c>
      <c r="B1" s="135"/>
      <c r="C1" s="135"/>
      <c r="D1" s="135"/>
      <c r="E1" s="135"/>
      <c r="F1" s="135"/>
      <c r="G1" s="135"/>
    </row>
    <row r="2" spans="1:8" x14ac:dyDescent="0.25">
      <c r="A2" s="136" t="s">
        <v>98</v>
      </c>
      <c r="B2" s="136"/>
      <c r="C2" s="136"/>
      <c r="D2" s="136"/>
      <c r="E2" s="136"/>
      <c r="F2" s="136"/>
      <c r="G2" s="136"/>
    </row>
    <row r="3" spans="1:8" x14ac:dyDescent="0.25">
      <c r="A3" s="136" t="s">
        <v>109</v>
      </c>
      <c r="B3" s="136"/>
      <c r="C3" s="136"/>
      <c r="D3" s="136"/>
      <c r="E3" s="136"/>
      <c r="F3" s="136"/>
      <c r="G3" s="136"/>
    </row>
    <row r="4" spans="1:8" x14ac:dyDescent="0.25">
      <c r="A4" s="55"/>
      <c r="B4" s="55"/>
      <c r="C4" s="55"/>
      <c r="D4" s="55"/>
      <c r="E4" s="55"/>
      <c r="F4" s="55"/>
      <c r="G4" s="55"/>
    </row>
    <row r="5" spans="1:8" ht="15.75" thickBot="1" x14ac:dyDescent="0.3">
      <c r="A5" s="55"/>
      <c r="B5" s="55"/>
      <c r="C5" s="55"/>
      <c r="D5" s="55"/>
      <c r="E5" s="55"/>
      <c r="F5" s="56" t="s">
        <v>4</v>
      </c>
      <c r="G5" s="56"/>
    </row>
    <row r="6" spans="1:8" ht="15.75" thickTop="1" x14ac:dyDescent="0.25">
      <c r="A6" s="137" t="s">
        <v>5</v>
      </c>
      <c r="B6" s="139" t="s">
        <v>87</v>
      </c>
      <c r="C6" s="139" t="s">
        <v>26</v>
      </c>
      <c r="D6" s="139" t="s">
        <v>27</v>
      </c>
      <c r="E6" s="139" t="s">
        <v>88</v>
      </c>
      <c r="F6" s="57" t="s">
        <v>89</v>
      </c>
      <c r="G6" s="55"/>
    </row>
    <row r="7" spans="1:8" ht="45.75" customHeight="1" thickBot="1" x14ac:dyDescent="0.3">
      <c r="A7" s="138"/>
      <c r="B7" s="140"/>
      <c r="C7" s="140"/>
      <c r="D7" s="140"/>
      <c r="E7" s="140"/>
      <c r="F7" s="58" t="s">
        <v>90</v>
      </c>
      <c r="G7" s="55"/>
    </row>
    <row r="8" spans="1:8" ht="16.5" thickTop="1" thickBot="1" x14ac:dyDescent="0.3">
      <c r="A8" s="69" t="s">
        <v>91</v>
      </c>
      <c r="B8" s="70">
        <v>53801</v>
      </c>
      <c r="C8" s="71">
        <v>-9810</v>
      </c>
      <c r="D8" s="70">
        <v>3182</v>
      </c>
      <c r="E8" s="70">
        <v>2124926</v>
      </c>
      <c r="F8" s="70">
        <f>SUM(B8:E8)</f>
        <v>2172099</v>
      </c>
      <c r="G8" s="55"/>
    </row>
    <row r="9" spans="1:8" ht="15.75" thickBot="1" x14ac:dyDescent="0.3">
      <c r="A9" s="73" t="s">
        <v>92</v>
      </c>
      <c r="B9" s="64"/>
      <c r="C9" s="66"/>
      <c r="D9" s="66"/>
      <c r="E9" s="74">
        <v>349443</v>
      </c>
      <c r="F9" s="51">
        <f>SUM(E9)</f>
        <v>349443</v>
      </c>
      <c r="G9" s="55"/>
    </row>
    <row r="10" spans="1:8" ht="15.75" thickBot="1" x14ac:dyDescent="0.3">
      <c r="A10" s="59" t="s">
        <v>99</v>
      </c>
      <c r="B10" s="60">
        <f>SUM(B8:B9)</f>
        <v>53801</v>
      </c>
      <c r="C10" s="50">
        <f t="shared" ref="C10:F10" si="0">SUM(C8:C9)</f>
        <v>-9810</v>
      </c>
      <c r="D10" s="60">
        <f t="shared" si="0"/>
        <v>3182</v>
      </c>
      <c r="E10" s="60">
        <f t="shared" si="0"/>
        <v>2474369</v>
      </c>
      <c r="F10" s="60">
        <f t="shared" si="0"/>
        <v>2521542</v>
      </c>
      <c r="G10" s="61"/>
      <c r="H10" s="62">
        <f>F10-Ф1!C31</f>
        <v>-401202</v>
      </c>
    </row>
    <row r="11" spans="1:8" ht="15.75" thickBot="1" x14ac:dyDescent="0.3">
      <c r="A11" s="63" t="s">
        <v>92</v>
      </c>
      <c r="B11" s="64"/>
      <c r="C11" s="65"/>
      <c r="D11" s="66"/>
      <c r="E11" s="64">
        <v>401203</v>
      </c>
      <c r="F11" s="67">
        <f>SUM(E11)</f>
        <v>401203</v>
      </c>
      <c r="G11" s="55"/>
    </row>
    <row r="12" spans="1:8" ht="15.75" thickBot="1" x14ac:dyDescent="0.3">
      <c r="A12" s="59" t="s">
        <v>110</v>
      </c>
      <c r="B12" s="60">
        <f>SUM(B10:B11)</f>
        <v>53801</v>
      </c>
      <c r="C12" s="50">
        <f t="shared" ref="C12:F12" si="1">SUM(C10:C11)</f>
        <v>-9810</v>
      </c>
      <c r="D12" s="60">
        <f t="shared" si="1"/>
        <v>3182</v>
      </c>
      <c r="E12" s="60">
        <f t="shared" si="1"/>
        <v>2875572</v>
      </c>
      <c r="F12" s="60">
        <f t="shared" si="1"/>
        <v>2922745</v>
      </c>
      <c r="G12" s="61"/>
      <c r="H12" s="62">
        <f>F12-Ф1!D31</f>
        <v>401204</v>
      </c>
    </row>
    <row r="13" spans="1:8" x14ac:dyDescent="0.25">
      <c r="A13" s="55"/>
      <c r="B13" s="55"/>
      <c r="C13" s="68"/>
      <c r="D13" s="55"/>
      <c r="E13" s="55"/>
      <c r="F13" s="55"/>
      <c r="G13" s="55"/>
    </row>
    <row r="14" spans="1:8" x14ac:dyDescent="0.25">
      <c r="A14" s="55"/>
      <c r="B14" s="55"/>
      <c r="C14" s="55"/>
      <c r="D14" s="55"/>
      <c r="E14" s="55"/>
      <c r="F14" s="55"/>
      <c r="G14" s="55"/>
    </row>
    <row r="15" spans="1:8" x14ac:dyDescent="0.25">
      <c r="A15" s="75" t="s">
        <v>111</v>
      </c>
      <c r="B15" s="55"/>
      <c r="C15" s="55"/>
      <c r="D15" s="55"/>
      <c r="E15" s="55"/>
      <c r="F15" s="61"/>
      <c r="G15" s="55"/>
    </row>
    <row r="16" spans="1:8" x14ac:dyDescent="0.25">
      <c r="A16" s="76" t="s">
        <v>1</v>
      </c>
      <c r="B16" s="55"/>
      <c r="C16" s="55"/>
      <c r="D16" s="55"/>
      <c r="E16" s="55"/>
      <c r="F16" s="55"/>
      <c r="G16" s="55"/>
    </row>
    <row r="17" spans="1:9" x14ac:dyDescent="0.25">
      <c r="A17" s="55"/>
      <c r="B17" s="55"/>
      <c r="C17" s="55"/>
      <c r="D17" s="55"/>
      <c r="E17" s="55"/>
      <c r="F17" s="55"/>
      <c r="G17" s="55"/>
    </row>
    <row r="18" spans="1:9" x14ac:dyDescent="0.25">
      <c r="A18" s="75" t="s">
        <v>107</v>
      </c>
      <c r="B18" s="55"/>
      <c r="C18" s="55"/>
      <c r="D18" s="55"/>
      <c r="E18" s="55"/>
      <c r="F18" s="55"/>
      <c r="G18" s="55"/>
    </row>
    <row r="19" spans="1:9" x14ac:dyDescent="0.25">
      <c r="A19" s="76" t="s">
        <v>2</v>
      </c>
      <c r="B19" s="55"/>
      <c r="C19" s="55"/>
      <c r="D19" s="55"/>
      <c r="E19" s="55"/>
      <c r="F19" s="55"/>
      <c r="G19" s="55"/>
    </row>
    <row r="20" spans="1:9" x14ac:dyDescent="0.25">
      <c r="A20" s="55"/>
      <c r="B20" s="55"/>
      <c r="C20" s="55"/>
      <c r="D20" s="55"/>
      <c r="E20" s="55"/>
      <c r="F20" s="55"/>
      <c r="G20" s="55"/>
    </row>
    <row r="21" spans="1:9" x14ac:dyDescent="0.25">
      <c r="A21" s="76"/>
      <c r="B21" s="55"/>
      <c r="C21" s="55"/>
      <c r="D21" s="55"/>
      <c r="E21" s="55"/>
      <c r="F21" s="55"/>
      <c r="G21" s="55"/>
      <c r="I21" s="77"/>
    </row>
    <row r="22" spans="1:9" x14ac:dyDescent="0.25">
      <c r="A22" s="75"/>
      <c r="B22" s="55"/>
      <c r="C22" s="55"/>
      <c r="D22" s="55"/>
      <c r="E22" s="55"/>
      <c r="F22" s="55"/>
      <c r="G22" s="55"/>
    </row>
  </sheetData>
  <mergeCells count="8">
    <mergeCell ref="A1:G1"/>
    <mergeCell ref="A2:G2"/>
    <mergeCell ref="A3:G3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2022-06-02T10:24:10Z</dcterms:modified>
</cp:coreProperties>
</file>