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SKATULKI\Desktop\Ежеквартальная ФО для Kase\6 m 2025\Done\"/>
    </mc:Choice>
  </mc:AlternateContent>
  <xr:revisionPtr revIDLastSave="0" documentId="13_ncr:1_{5AB8F4C0-671C-4EBD-8045-AD59E4B42D16}" xr6:coauthVersionLast="47" xr6:coauthVersionMax="47" xr10:uidLastSave="{00000000-0000-0000-0000-000000000000}"/>
  <bookViews>
    <workbookView xWindow="-108" yWindow="-108" windowWidth="23256" windowHeight="12456" activeTab="3"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8" i="1" l="1"/>
  <c r="H9" i="1"/>
  <c r="H7" i="1"/>
  <c r="C57" i="6"/>
  <c r="C6" i="6"/>
  <c r="C22" i="6"/>
  <c r="C33" i="6"/>
  <c r="C36" i="6"/>
  <c r="C47" i="6"/>
  <c r="C53" i="6"/>
  <c r="C55" i="6"/>
  <c r="C58" i="6"/>
  <c r="C59" i="6"/>
  <c r="D27" i="2"/>
  <c r="N35" i="3"/>
  <c r="P35" i="3"/>
  <c r="P42" i="3"/>
  <c r="P49" i="3"/>
  <c r="P50" i="3"/>
  <c r="D49" i="3"/>
  <c r="N42" i="3"/>
  <c r="N49" i="3"/>
  <c r="N50" i="3"/>
  <c r="H40" i="3"/>
  <c r="H39" i="3"/>
  <c r="P33" i="3"/>
  <c r="N33" i="3"/>
  <c r="L33" i="3"/>
  <c r="J33" i="3"/>
  <c r="H33" i="3"/>
  <c r="F33" i="3"/>
  <c r="D33" i="3"/>
  <c r="P31" i="3"/>
  <c r="P32" i="3"/>
  <c r="D26" i="1"/>
  <c r="H16" i="1"/>
  <c r="H10" i="1"/>
  <c r="P14" i="3"/>
  <c r="P13" i="3"/>
  <c r="F10" i="2"/>
  <c r="F12" i="2"/>
  <c r="F17" i="2"/>
  <c r="F20" i="2"/>
  <c r="F25" i="2"/>
  <c r="F27" i="2"/>
  <c r="P9" i="3"/>
  <c r="N20" i="3"/>
  <c r="B37" i="2"/>
  <c r="B53" i="3"/>
  <c r="A60" i="6"/>
  <c r="P44" i="3"/>
  <c r="D6" i="6"/>
  <c r="D22" i="6"/>
  <c r="D33" i="6"/>
  <c r="D36" i="6"/>
  <c r="D47" i="6"/>
  <c r="D53" i="6"/>
  <c r="D55" i="6"/>
  <c r="D10" i="2"/>
  <c r="D12" i="2"/>
  <c r="D17" i="2"/>
  <c r="D20" i="2"/>
  <c r="D25" i="2"/>
  <c r="N15" i="3"/>
  <c r="N16" i="3"/>
  <c r="N22" i="3"/>
  <c r="N23" i="3"/>
  <c r="H15" i="3"/>
  <c r="H16" i="3"/>
  <c r="H22" i="3"/>
  <c r="H23" i="3"/>
  <c r="D22" i="3"/>
  <c r="D15" i="3"/>
  <c r="D16" i="3"/>
  <c r="D23" i="3"/>
  <c r="F22" i="3"/>
  <c r="F15" i="3"/>
  <c r="F16" i="3"/>
  <c r="F23" i="3"/>
  <c r="J22" i="3"/>
  <c r="J15" i="3"/>
  <c r="J16" i="3"/>
  <c r="J23" i="3"/>
  <c r="P20" i="3"/>
  <c r="P21" i="3"/>
  <c r="P19" i="3"/>
  <c r="P18" i="3"/>
  <c r="P22" i="3"/>
  <c r="P12" i="3"/>
  <c r="P15" i="3"/>
  <c r="P16" i="3"/>
  <c r="P23" i="3"/>
  <c r="D35" i="1"/>
  <c r="L22" i="3"/>
  <c r="A64" i="6"/>
  <c r="B57" i="3"/>
  <c r="B42" i="2"/>
  <c r="J48" i="3"/>
  <c r="L48" i="3"/>
  <c r="H48" i="3"/>
  <c r="F48" i="3"/>
  <c r="D48" i="3"/>
  <c r="H13" i="1"/>
  <c r="H17" i="1"/>
  <c r="L15" i="3"/>
  <c r="L16" i="3"/>
  <c r="L23" i="3"/>
  <c r="N47" i="3"/>
  <c r="P47" i="3"/>
  <c r="L41" i="3"/>
  <c r="L42" i="3"/>
  <c r="L49" i="3"/>
  <c r="L50" i="3"/>
  <c r="N46" i="3"/>
  <c r="N48" i="3"/>
  <c r="P45" i="3"/>
  <c r="F26" i="1"/>
  <c r="C20" i="5"/>
  <c r="C19" i="5"/>
  <c r="C18" i="5"/>
  <c r="C17" i="5"/>
  <c r="C16" i="5"/>
  <c r="C15" i="5"/>
  <c r="C14" i="5"/>
  <c r="E14" i="5"/>
  <c r="D17" i="5"/>
  <c r="D18" i="5"/>
  <c r="D16" i="5"/>
  <c r="D15" i="5"/>
  <c r="D13" i="5"/>
  <c r="E13" i="5"/>
  <c r="G13" i="5"/>
  <c r="D12" i="5"/>
  <c r="E12" i="5"/>
  <c r="G12" i="5"/>
  <c r="B9" i="5"/>
  <c r="E17" i="5"/>
  <c r="E15" i="5"/>
  <c r="E16" i="5"/>
  <c r="G14" i="5"/>
  <c r="E18" i="5"/>
  <c r="D19" i="5"/>
  <c r="D20" i="5"/>
  <c r="E20" i="5"/>
  <c r="K73" i="4"/>
  <c r="F72" i="4"/>
  <c r="E32" i="4"/>
  <c r="C32" i="4"/>
  <c r="C48" i="4"/>
  <c r="C43" i="4"/>
  <c r="C42" i="4"/>
  <c r="C40" i="4"/>
  <c r="C39" i="4"/>
  <c r="C38" i="4"/>
  <c r="C37" i="4"/>
  <c r="C19" i="4"/>
  <c r="C18" i="4"/>
  <c r="V17" i="4"/>
  <c r="C16" i="4"/>
  <c r="D52" i="4"/>
  <c r="C52" i="4"/>
  <c r="C15" i="4"/>
  <c r="C14" i="4"/>
  <c r="V7" i="4"/>
  <c r="U7" i="4"/>
  <c r="T7" i="4"/>
  <c r="S7" i="4"/>
  <c r="R7" i="4"/>
  <c r="Q7" i="4"/>
  <c r="Q6" i="4"/>
  <c r="Q8" i="4"/>
  <c r="Q30" i="4"/>
  <c r="N7" i="4"/>
  <c r="M7" i="4"/>
  <c r="L7" i="4"/>
  <c r="K7" i="4"/>
  <c r="J7" i="4"/>
  <c r="I7" i="4"/>
  <c r="I6" i="4"/>
  <c r="I8" i="4"/>
  <c r="I9" i="4"/>
  <c r="H7" i="4"/>
  <c r="G7" i="4"/>
  <c r="F7" i="4"/>
  <c r="E7" i="4"/>
  <c r="D7" i="4"/>
  <c r="C53" i="4"/>
  <c r="P46" i="3"/>
  <c r="P48" i="3"/>
  <c r="J41" i="3"/>
  <c r="J42" i="3"/>
  <c r="F41" i="3"/>
  <c r="F42" i="3"/>
  <c r="F49" i="3"/>
  <c r="D41" i="3"/>
  <c r="D42" i="3"/>
  <c r="N38" i="3"/>
  <c r="N41" i="3"/>
  <c r="F33" i="2"/>
  <c r="F34" i="2"/>
  <c r="P40" i="3"/>
  <c r="R40" i="3"/>
  <c r="V33" i="4"/>
  <c r="F35" i="1"/>
  <c r="F36" i="1"/>
  <c r="V6" i="4"/>
  <c r="U6" i="4"/>
  <c r="N6" i="4"/>
  <c r="F18" i="1"/>
  <c r="L6" i="4"/>
  <c r="L8" i="4"/>
  <c r="L26" i="4"/>
  <c r="C26" i="4"/>
  <c r="J6" i="4"/>
  <c r="K6" i="4"/>
  <c r="K8" i="4"/>
  <c r="K33" i="4"/>
  <c r="H6" i="4"/>
  <c r="H8" i="4"/>
  <c r="H25" i="4"/>
  <c r="C25" i="4"/>
  <c r="G6" i="4"/>
  <c r="G8" i="4"/>
  <c r="G24" i="4"/>
  <c r="F6" i="4"/>
  <c r="E6" i="4"/>
  <c r="D6" i="4"/>
  <c r="C54" i="4"/>
  <c r="C57" i="4"/>
  <c r="E19" i="5"/>
  <c r="F37" i="1"/>
  <c r="G18" i="5"/>
  <c r="F35" i="2"/>
  <c r="F50" i="3"/>
  <c r="P38" i="3"/>
  <c r="D50" i="3"/>
  <c r="D36" i="1"/>
  <c r="F8" i="4"/>
  <c r="F23" i="4"/>
  <c r="P8" i="4"/>
  <c r="P9" i="4"/>
  <c r="O8" i="4"/>
  <c r="O9" i="4"/>
  <c r="W7" i="4"/>
  <c r="J24" i="3"/>
  <c r="J49" i="3"/>
  <c r="J50" i="3"/>
  <c r="H24" i="3"/>
  <c r="N24" i="3"/>
  <c r="D8" i="4"/>
  <c r="R6" i="4"/>
  <c r="S6" i="4"/>
  <c r="T6" i="4"/>
  <c r="M6" i="4"/>
  <c r="D37" i="1"/>
  <c r="R31" i="3"/>
  <c r="P24" i="3"/>
  <c r="F24" i="3"/>
  <c r="D24" i="3"/>
  <c r="W6" i="4"/>
  <c r="V12" i="4"/>
  <c r="D33" i="2"/>
  <c r="D34" i="2"/>
  <c r="C12" i="4"/>
  <c r="P39" i="3"/>
  <c r="H41" i="3"/>
  <c r="H42" i="3"/>
  <c r="H49" i="3"/>
  <c r="H50" i="3"/>
  <c r="D35" i="2"/>
  <c r="P41" i="3"/>
  <c r="R39" i="3"/>
  <c r="R35" i="3"/>
  <c r="D58" i="6"/>
  <c r="J8" i="4"/>
  <c r="J33" i="4"/>
  <c r="T8" i="4"/>
  <c r="T41" i="4"/>
  <c r="T9" i="4"/>
  <c r="M8" i="4"/>
  <c r="U8" i="4"/>
  <c r="U17" i="4"/>
  <c r="C30" i="4"/>
  <c r="Q9" i="4"/>
  <c r="K9" i="4"/>
  <c r="S8" i="4"/>
  <c r="S47" i="4"/>
  <c r="S9" i="4"/>
  <c r="N8" i="4"/>
  <c r="N29" i="4"/>
  <c r="C29" i="4"/>
  <c r="R8" i="4"/>
  <c r="R47" i="4"/>
  <c r="V8" i="4"/>
  <c r="V9" i="4"/>
  <c r="E8" i="4"/>
  <c r="E41" i="4"/>
  <c r="C23" i="4"/>
  <c r="F9" i="4"/>
  <c r="M28" i="4"/>
  <c r="C28" i="4"/>
  <c r="G9" i="4"/>
  <c r="C24" i="4"/>
  <c r="U9" i="4"/>
  <c r="C17" i="4"/>
  <c r="C20" i="4"/>
  <c r="C31" i="4"/>
  <c r="C34" i="4"/>
  <c r="L9" i="4"/>
  <c r="H9" i="4"/>
  <c r="J9" i="4"/>
  <c r="C33" i="4"/>
  <c r="C41" i="4"/>
  <c r="C44" i="4"/>
  <c r="E9" i="4"/>
  <c r="C47" i="4"/>
  <c r="C49" i="4"/>
  <c r="C51" i="4"/>
  <c r="C56" i="4"/>
  <c r="C58" i="4"/>
  <c r="R9" i="4"/>
  <c r="N9" i="4"/>
  <c r="M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<sst xmlns="http://schemas.openxmlformats.org/spreadsheetml/2006/main" count="329" uniqueCount="202">
  <si>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</si>
  <si>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</si>
  <si>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</si>
  <si>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</si>
  <si>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</si>
  <si>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</si>
  <si>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</si>
  <si>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</si>
  <si>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</si>
  <si>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</si>
  <si>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</si>
  <si>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</si>
  <si>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</si>
  <si>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</si>
  <si>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</si>
  <si>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</si>
  <si>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</si>
  <si>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</si>
  <si>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</si>
  <si>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</si>
  <si>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</si>
  <si>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</si>
  <si>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</si>
  <si>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</si>
  <si>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</si>
  <si>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</si>
  <si>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</si>
  <si>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</si>
  <si>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</si>
  <si>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</si>
  <si>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</si>
  <si>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</si>
  <si>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</si>
  <si>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</si>
  <si>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</si>
  <si>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</si>
  <si>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</si>
  <si>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</si>
  <si>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</si>
  <si>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</si>
  <si>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</si>
  <si>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</si>
  <si>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</si>
  <si>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</si>
  <si>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</si>
  <si>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</si>
  <si>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</si>
  <si>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</si>
  <si>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</si>
  <si>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</si>
  <si>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</si>
  <si>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</si>
  <si>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</si>
  <si>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</si>
  <si>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</si>
  <si>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</si>
  <si>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</si>
  <si>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</si>
  <si>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</si>
  <si>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</si>
  <si>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</si>
  <si>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</si>
  <si>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</si>
  <si>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</si>
  <si>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</si>
  <si>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</si>
  <si>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</si>
  <si>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</si>
  <si>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</si>
  <si>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</si>
  <si>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</si>
  <si>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</si>
  <si>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</si>
  <si>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</si>
  <si>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</si>
  <si>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</si>
  <si>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</si>
  <si>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</si>
  <si>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Резерв по переоценке финансовых активов, имеющихся в наличии для продажи:</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</si>
  <si>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</si>
  <si>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</si>
  <si>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</si>
  <si>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</si>
  <si>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</si>
  <si>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</si>
  <si>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</si>
  <si>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</si>
  <si>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Взносы в уставный капитал</t>
  </si>
  <si>
    <t>Дополнитель-ный оплаченный капитал</t>
  </si>
  <si>
    <t>Нераспределен-ная прибыль</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</si>
  <si>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</si>
  <si>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</si>
  <si>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</si>
  <si>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</si>
  <si>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</si>
  <si>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</si>
  <si>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</si>
  <si>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</si>
  <si>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</si>
  <si>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</si>
  <si>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</si>
  <si>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</si>
  <si>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</si>
  <si>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</si>
  <si>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</si>
  <si>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</si>
  <si>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</si>
  <si>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</si>
  <si>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</si>
  <si>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</si>
  <si>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</si>
  <si>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</si>
  <si>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</si>
  <si>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</si>
  <si>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</si>
  <si>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</si>
  <si>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</si>
  <si>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</si>
  <si>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</si>
  <si>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</si>
  <si>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</si>
  <si>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</si>
  <si>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</si>
  <si>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</si>
  <si>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</si>
  <si>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</si>
  <si>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</si>
  <si>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</si>
  <si>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</si>
  <si>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Денежные средства и их эквиваленты на 
конец периода</t>
  </si>
  <si>
    <t>Прочий процентный доход</t>
  </si>
  <si>
    <t>Прибыль от реализации нематериального актива</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</si>
  <si>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</si>
  <si>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</si>
  <si>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</si>
  <si>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</si>
  <si>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</si>
  <si>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 xml:space="preserve">NAV = </t>
  </si>
  <si>
    <t>Intangible assets</t>
  </si>
  <si>
    <t xml:space="preserve">BVCS = </t>
  </si>
  <si>
    <t>NOCS =</t>
  </si>
  <si>
    <t>тенге</t>
  </si>
  <si>
    <t>Нераспределен-ная прибыль  тыс. тенге</t>
  </si>
  <si>
    <t>Итого собственного капитала        тыс. тенге</t>
  </si>
  <si>
    <t>АО "СК "Sinoasia B&amp;R (Синоазия БиЭндАр)"</t>
  </si>
  <si>
    <t>Промежуточный сокращенный отчет  о движении денежных средств за период,</t>
  </si>
  <si>
    <t>Для простой акции</t>
  </si>
  <si>
    <t>Стабилизационный резерв</t>
  </si>
  <si>
    <t>Дивиденды начисленные</t>
  </si>
  <si>
    <t>Формирование стабилизационного резерва</t>
  </si>
  <si>
    <t>Проценты, полученные от дебиторской задолженности по договорам "обратное РЕПО"</t>
  </si>
  <si>
    <t>Резерв непредвиденных рисков</t>
  </si>
  <si>
    <t>Формирование резерва непредвиденных рисков</t>
  </si>
  <si>
    <t>Прочие доходы/расходы полученные/уплаченные</t>
  </si>
  <si>
    <t>Остаток на 1 января 2024 года</t>
  </si>
  <si>
    <t>Промежуточный сокращенный отчет о прибыли или убытке и прочем совокупном доходе</t>
  </si>
  <si>
    <t>Выпуск привилегированных акций</t>
  </si>
  <si>
    <t>NOPS1 =</t>
  </si>
  <si>
    <t xml:space="preserve">DCPS1 = </t>
  </si>
  <si>
    <t xml:space="preserve">TDPS1 = </t>
  </si>
  <si>
    <t xml:space="preserve">EPC = </t>
  </si>
  <si>
    <t>BVPS1 =</t>
  </si>
  <si>
    <t>Для привилегированной акции первой группы</t>
  </si>
  <si>
    <t>Абишев Джан Булатович</t>
  </si>
  <si>
    <t>Выпуск простых акций</t>
  </si>
  <si>
    <t>Чистый доход  (расход) от операций с иностранной валютой</t>
  </si>
  <si>
    <t>Остаток на 1 января 2025 года</t>
  </si>
  <si>
    <t>Инвестиционные ценные бумаги, оцениваемые по справедливой стоимости</t>
  </si>
  <si>
    <t>Инвестиционные ценные бумаги, оцениваемые по амортизированной стоимости</t>
  </si>
  <si>
    <t>Инвестиционные ценные бумаги, оцениваемые по справедливой стоимости через прибыль или убыток</t>
  </si>
  <si>
    <t>- Чистое изменение справедливой стоимости инвестиционных ценных бумаг, оцениваемых по справедливой стоимости</t>
  </si>
  <si>
    <t>Чистое изменение справедливой стоимости инвестиционных ценных бумаг, оцениваемых по справедливой стоимости</t>
  </si>
  <si>
    <t>Реализованная прибыль по инвестиционным ценным бумагам, оцениваемым по справедливой стоимости</t>
  </si>
  <si>
    <t>Реализованный убыток по инвестиционным ценным бумагам, оцениваемым по справедливой стоимости</t>
  </si>
  <si>
    <t>Нереализованная прибыль от операций с инвестиционными ценными бумагами, оцениваемыми по справедливой стоимости через прибыль или убыток</t>
  </si>
  <si>
    <t>Нереализованный убыток от операций с инвестиционными ценными бумагами, оцениваемыми по справедливой стоимости через прибыль или убыток</t>
  </si>
  <si>
    <t>Процентный доход по инвестиционным ценным бумагам, оцениваемым по справедливой стоимости</t>
  </si>
  <si>
    <t xml:space="preserve">Процентный доход по инвестиционным ценным бумагам, оцениваемым по амортизированной стоимости  </t>
  </si>
  <si>
    <t>Процентный расход по инвестиционным ценным бумагам, оцениваемым по справедливой стоимости</t>
  </si>
  <si>
    <t xml:space="preserve">Процентный расход по инвестиционным ценным бумагам, оцениваемым по амортизированной стоимости  </t>
  </si>
  <si>
    <t>Приобретение инвестиционных ценных бумаг, оцениваемых по справедливой стоимости</t>
  </si>
  <si>
    <t>Приобретение инвестиционных ценных бумаг, оцениваемых по справедливой стоимости через прибыль или убыток</t>
  </si>
  <si>
    <t>Приобретение инвестиционных ценных бумаг, оценивавемых по амотизированной стоимости</t>
  </si>
  <si>
    <t>Продажа и погашение инвестиционных ценных бумаг, оцениваемых по справедливой стоимости</t>
  </si>
  <si>
    <t>Продажа и погашение инвестиционных ценных бумаг, оценивавемых по амотизированной стоимости</t>
  </si>
  <si>
    <t>- Чистое изменение справедливой стоимости инвестиционных ценных бумаг, оцениваемых по справедливой стоимости через прибыль или убыток</t>
  </si>
  <si>
    <t>Чистое изменение справедливой стоимости инвестиционных ценных бумаг, оцениваемых по справедливой стоимости через прибыль или убыток</t>
  </si>
  <si>
    <t>Продажа и погашение инвестиционных ценных бумаг, оценивыаемых по справедливой стоимости через прочий совокупный доход</t>
  </si>
  <si>
    <t>Промежуточный сокращенный отчет о финансовом  положении по состоянию на 30 июня 2025 года</t>
  </si>
  <si>
    <t>Дивиденды к выплате</t>
  </si>
  <si>
    <t>За период, закончившийся 30 июня 2025 года</t>
  </si>
  <si>
    <t>За период, закончившийся 30 июня 2024 года</t>
  </si>
  <si>
    <t xml:space="preserve"> за период, закончившийся 30 июня 2025 года </t>
  </si>
  <si>
    <t xml:space="preserve">Промежуточный сокращенный отчет об изменениях в собственном капитале за период, закончившийся 30 июня 2025 года </t>
  </si>
  <si>
    <t>Остаток на 30 июня 2024 года</t>
  </si>
  <si>
    <t>Остаток на 30 июня 2025 года</t>
  </si>
  <si>
    <t>Корректировка курсовой разницы</t>
  </si>
  <si>
    <t>Остаток на 1 января 2025 года (скорректированный)</t>
  </si>
  <si>
    <t>Выпущенные привилегированные акции</t>
  </si>
  <si>
    <t>Приобретение акций БЦК</t>
  </si>
  <si>
    <t>Данная финансовая отчетность была утверждена руководством Компании 14 августа 2025 года,</t>
  </si>
  <si>
    <t>31.12.2024
(аудированные)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</si>
</sst>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 numFmtId="170" formatCode="#,##0;\(#,##0\);\-"/>
  </numFmts>
  <fonts count="50"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Times New Roman"/>
      <family val="1"/>
      <charset val="204"/>
    </font>
    <font>
      <b/>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sz val="8"/>
      <name val="Arial"/>
      <family val="2"/>
      <charset val="204"/>
    </font>
    <font>
      <b/>
      <sz val="9"/>
      <color indexed="12"/>
      <name val="Times New Roman"/>
      <family val="1"/>
      <charset val="204"/>
    </font>
    <font>
      <sz val="9"/>
      <color rgb="FFC00000"/>
      <name val="Times New Roman"/>
      <family val="1"/>
      <charset val="204"/>
    </font>
    <font>
      <sz val="9"/>
      <name val="Arial"/>
      <family val="2"/>
      <charset val="204"/>
    </font>
    <font>
      <b/>
      <sz val="9"/>
      <name val="Arial"/>
      <family val="2"/>
      <charset val="204"/>
    </font>
    <font>
      <i/>
      <sz val="9"/>
      <color indexed="10"/>
      <name val="Arial"/>
      <family val="2"/>
      <charset val="204"/>
    </font>
    <font>
      <sz val="9"/>
      <color indexed="10"/>
      <name val="Arial"/>
      <family val="2"/>
      <charset val="204"/>
    </font>
    <font>
      <i/>
      <sz val="9"/>
      <name val="Arial"/>
      <family val="2"/>
      <charset val="204"/>
    </font>
    <font>
      <i/>
      <sz val="9"/>
      <color indexed="12"/>
      <name val="Times New Roman"/>
      <family val="1"/>
      <charset val="204"/>
    </font>
    <font>
      <b/>
      <i/>
      <sz val="9"/>
      <color indexed="12"/>
      <name val="Times New Roman"/>
      <family val="1"/>
      <charset val="204"/>
    </font>
    <font>
      <i/>
      <sz val="9"/>
      <color theme="1"/>
      <name val="Times New Roman"/>
      <family val="1"/>
      <charset val="204"/>
    </font>
    <font>
      <b/>
      <u/>
      <sz val="9"/>
      <color theme="1"/>
      <name val="Times New Roman"/>
      <family val="1"/>
      <charset val="204"/>
    </font>
    <font>
      <i/>
      <sz val="9"/>
      <color indexed="10"/>
      <name val="Times New Roman"/>
      <family val="1"/>
      <charset val="204"/>
    </font>
    <font>
      <sz val="9"/>
      <color indexed="10"/>
      <name val="Times New Roman"/>
      <family val="1"/>
      <charset val="204"/>
    </font>
    <font>
      <b/>
      <i/>
      <sz val="9"/>
      <color indexed="10"/>
      <name val="Times New Roman"/>
      <family val="1"/>
      <charset val="204"/>
    </font>
    <font>
      <b/>
      <sz val="9"/>
      <color theme="1"/>
      <name val="Arial"/>
      <family val="2"/>
      <charset val="204"/>
    </font>
    <font>
      <i/>
      <sz val="9"/>
      <color theme="1"/>
      <name val="Arial"/>
      <family val="2"/>
      <charset val="204"/>
    </font>
  </fonts>
  <fills count="6">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
      <patternFill patternType="solid">
        <fgColor theme="5" tint="0.79998168889431442"/>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0" fillId="0" borderId="0"/>
    <xf numFmtId="43" fontId="14" fillId="0" borderId="0" applyFont="0" applyFill="0" applyBorder="0" applyAlignment="0" applyProtection="0"/>
    <xf numFmtId="0" fontId="16" fillId="0" borderId="0"/>
    <xf numFmtId="0" fontId="1" fillId="0" borderId="0"/>
    <xf numFmtId="43" fontId="1" fillId="0" borderId="0" applyFont="0" applyFill="0" applyBorder="0" applyAlignment="0" applyProtection="0"/>
    <xf numFmtId="9" fontId="33" fillId="0" borderId="0" applyFont="0" applyFill="0" applyBorder="0" applyAlignment="0" applyProtection="0"/>
  </cellStyleXfs>
  <cellXfs count="182">
    <xf numFmtId="0" fontId="0" fillId="0" borderId="0" xfId="0"/>
    <xf numFmtId="0" fontId="3" fillId="0" borderId="0" xfId="1" applyFont="1"/>
    <xf numFmtId="0" fontId="8" fillId="0" borderId="0" xfId="0" applyFont="1"/>
    <xf numFmtId="164" fontId="8" fillId="0" borderId="3" xfId="0" applyNumberFormat="1" applyFont="1" applyBorder="1"/>
    <xf numFmtId="164" fontId="0" fillId="0" borderId="0" xfId="0" applyNumberFormat="1"/>
    <xf numFmtId="164" fontId="5" fillId="0" borderId="0" xfId="0" applyNumberFormat="1" applyFont="1"/>
    <xf numFmtId="164" fontId="8" fillId="0" borderId="0" xfId="0" applyNumberFormat="1" applyFont="1"/>
    <xf numFmtId="0" fontId="0" fillId="0" borderId="0" xfId="0" applyAlignment="1">
      <alignment wrapText="1"/>
    </xf>
    <xf numFmtId="0" fontId="8" fillId="0" borderId="0" xfId="0" applyFont="1" applyAlignment="1">
      <alignment wrapText="1"/>
    </xf>
    <xf numFmtId="0" fontId="8" fillId="0" borderId="3" xfId="0" applyFont="1" applyBorder="1" applyAlignment="1">
      <alignment horizontal="left" vertical="center" wrapText="1"/>
    </xf>
    <xf numFmtId="0" fontId="8" fillId="0" borderId="3" xfId="0" applyFont="1" applyBorder="1" applyAlignment="1">
      <alignment horizontal="center" vertical="center" wrapText="1"/>
    </xf>
    <xf numFmtId="0" fontId="5" fillId="0" borderId="0" xfId="0" applyFont="1" applyAlignment="1">
      <alignment horizontal="center"/>
    </xf>
    <xf numFmtId="14" fontId="0" fillId="0" borderId="0" xfId="0" applyNumberFormat="1"/>
    <xf numFmtId="0" fontId="0" fillId="0" borderId="3" xfId="0" applyBorder="1"/>
    <xf numFmtId="0" fontId="8" fillId="0" borderId="3" xfId="0" applyFont="1" applyBorder="1" applyAlignment="1">
      <alignment horizontal="center"/>
    </xf>
    <xf numFmtId="0" fontId="5" fillId="0" borderId="0" xfId="0" applyFont="1" applyAlignment="1">
      <alignment horizontal="right"/>
    </xf>
    <xf numFmtId="0" fontId="8" fillId="0" borderId="3" xfId="0" applyFont="1" applyBorder="1"/>
    <xf numFmtId="0" fontId="4" fillId="0" borderId="0" xfId="0" applyFont="1" applyAlignment="1">
      <alignment horizontal="right"/>
    </xf>
    <xf numFmtId="0" fontId="11" fillId="0" borderId="0" xfId="3" applyFont="1"/>
    <xf numFmtId="0" fontId="10" fillId="0" borderId="0" xfId="3"/>
    <xf numFmtId="0" fontId="12" fillId="0" borderId="0" xfId="3" applyFont="1"/>
    <xf numFmtId="0" fontId="11" fillId="2" borderId="5" xfId="3" applyFont="1" applyFill="1" applyBorder="1" applyAlignment="1">
      <alignment vertical="center" wrapText="1"/>
    </xf>
    <xf numFmtId="0" fontId="11" fillId="2" borderId="5" xfId="3" applyFont="1" applyFill="1" applyBorder="1" applyAlignment="1">
      <alignment horizontal="center" vertical="center" wrapText="1"/>
    </xf>
    <xf numFmtId="2" fontId="13" fillId="3" borderId="5" xfId="3" applyNumberFormat="1" applyFont="1" applyFill="1" applyBorder="1" applyAlignment="1">
      <alignment horizontal="left" vertical="top"/>
    </xf>
    <xf numFmtId="0" fontId="13" fillId="3" borderId="5" xfId="3" applyFont="1" applyFill="1" applyBorder="1" applyAlignment="1">
      <alignment vertical="top" wrapText="1"/>
    </xf>
    <xf numFmtId="164" fontId="13" fillId="3" borderId="5" xfId="3" applyNumberFormat="1" applyFont="1" applyFill="1" applyBorder="1" applyAlignment="1">
      <alignment horizontal="right" vertical="top" wrapText="1"/>
    </xf>
    <xf numFmtId="0" fontId="13" fillId="0" borderId="5" xfId="3" applyFont="1" applyBorder="1" applyAlignment="1">
      <alignment vertical="top" indent="2"/>
    </xf>
    <xf numFmtId="1" fontId="13" fillId="0" borderId="5" xfId="3" applyNumberFormat="1" applyFont="1" applyBorder="1" applyAlignment="1">
      <alignment horizontal="left" vertical="top"/>
    </xf>
    <xf numFmtId="164" fontId="13" fillId="0" borderId="5" xfId="3" applyNumberFormat="1" applyFont="1" applyBorder="1" applyAlignment="1">
      <alignment horizontal="right" vertical="top" wrapText="1"/>
    </xf>
    <xf numFmtId="2" fontId="13" fillId="0" borderId="5" xfId="3" applyNumberFormat="1" applyFont="1" applyBorder="1" applyAlignment="1">
      <alignment horizontal="left" vertical="top"/>
    </xf>
    <xf numFmtId="0" fontId="13" fillId="4" borderId="5" xfId="3" applyFont="1" applyFill="1" applyBorder="1" applyAlignment="1">
      <alignment vertical="top" wrapText="1" indent="2"/>
    </xf>
    <xf numFmtId="164" fontId="13" fillId="4" borderId="5" xfId="3" applyNumberFormat="1" applyFont="1" applyFill="1" applyBorder="1" applyAlignment="1">
      <alignment horizontal="right" vertical="top" wrapText="1"/>
    </xf>
    <xf numFmtId="0" fontId="13" fillId="0" borderId="5" xfId="3" applyFont="1" applyBorder="1" applyAlignment="1">
      <alignment vertical="top" indent="4"/>
    </xf>
    <xf numFmtId="0" fontId="13" fillId="3" borderId="5" xfId="3" applyFont="1" applyFill="1" applyBorder="1" applyAlignment="1">
      <alignment vertical="top"/>
    </xf>
    <xf numFmtId="0" fontId="13" fillId="4" borderId="5" xfId="3" applyFont="1" applyFill="1" applyBorder="1" applyAlignment="1">
      <alignment vertical="top"/>
    </xf>
    <xf numFmtId="1" fontId="13" fillId="3" borderId="5" xfId="3" applyNumberFormat="1" applyFont="1" applyFill="1" applyBorder="1" applyAlignment="1">
      <alignment horizontal="left" vertical="top"/>
    </xf>
    <xf numFmtId="0" fontId="15" fillId="0" borderId="0" xfId="0" applyFont="1"/>
    <xf numFmtId="0" fontId="0" fillId="0" borderId="0" xfId="0" applyAlignment="1">
      <alignment horizontal="right"/>
    </xf>
    <xf numFmtId="166" fontId="0" fillId="0" borderId="0" xfId="0" applyNumberFormat="1"/>
    <xf numFmtId="0" fontId="9" fillId="0" borderId="8" xfId="0" applyFont="1" applyBorder="1"/>
    <xf numFmtId="0" fontId="9" fillId="0" borderId="8" xfId="0" applyFont="1" applyBorder="1" applyAlignment="1">
      <alignment wrapText="1"/>
    </xf>
    <xf numFmtId="165" fontId="0" fillId="0" borderId="8" xfId="4" applyNumberFormat="1" applyFont="1" applyBorder="1"/>
    <xf numFmtId="43" fontId="0" fillId="0" borderId="8" xfId="4" applyFont="1" applyBorder="1"/>
    <xf numFmtId="0" fontId="0" fillId="0" borderId="8" xfId="0" applyBorder="1"/>
    <xf numFmtId="14" fontId="0" fillId="0" borderId="8" xfId="0" applyNumberFormat="1" applyBorder="1"/>
    <xf numFmtId="14" fontId="9" fillId="0" borderId="8" xfId="0" applyNumberFormat="1" applyFont="1" applyBorder="1"/>
    <xf numFmtId="165" fontId="0" fillId="0" borderId="8" xfId="0" applyNumberFormat="1" applyBorder="1"/>
    <xf numFmtId="0" fontId="18" fillId="0" borderId="0" xfId="0" applyFont="1" applyAlignment="1">
      <alignment vertical="center"/>
    </xf>
    <xf numFmtId="0" fontId="18" fillId="0" borderId="0" xfId="0" applyFont="1" applyAlignment="1">
      <alignment vertical="center" wrapText="1"/>
    </xf>
    <xf numFmtId="0" fontId="19" fillId="0" borderId="0" xfId="0" applyFont="1" applyAlignment="1">
      <alignment vertical="center" wrapText="1"/>
    </xf>
    <xf numFmtId="0" fontId="20" fillId="0" borderId="0" xfId="0" applyFont="1" applyAlignment="1">
      <alignment vertical="center" wrapText="1"/>
    </xf>
    <xf numFmtId="0" fontId="18" fillId="0" borderId="0" xfId="0" applyFont="1"/>
    <xf numFmtId="0" fontId="18" fillId="0" borderId="0" xfId="0" applyFont="1" applyAlignment="1">
      <alignment wrapText="1"/>
    </xf>
    <xf numFmtId="0" fontId="17" fillId="0" borderId="8" xfId="0" applyFont="1" applyBorder="1" applyAlignment="1">
      <alignment vertical="center" wrapText="1"/>
    </xf>
    <xf numFmtId="0" fontId="17" fillId="0" borderId="8" xfId="0" applyFont="1" applyBorder="1" applyAlignment="1">
      <alignment wrapText="1"/>
    </xf>
    <xf numFmtId="0" fontId="8" fillId="0" borderId="8" xfId="0" applyFont="1" applyBorder="1" applyAlignment="1">
      <alignment horizontal="center" vertical="center" wrapText="1"/>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3" fillId="0" borderId="0" xfId="0" applyFont="1"/>
    <xf numFmtId="0" fontId="21" fillId="0" borderId="0" xfId="0" applyFont="1" applyAlignment="1">
      <alignment wrapText="1"/>
    </xf>
    <xf numFmtId="0" fontId="23" fillId="0" borderId="0" xfId="0" applyFont="1" applyAlignment="1">
      <alignment wrapText="1"/>
    </xf>
    <xf numFmtId="0" fontId="23" fillId="0" borderId="0" xfId="0" applyFont="1" applyAlignment="1">
      <alignment vertical="center" wrapText="1"/>
    </xf>
    <xf numFmtId="0" fontId="21" fillId="0" borderId="0" xfId="0" applyFont="1" applyAlignment="1">
      <alignment vertical="center" wrapText="1"/>
    </xf>
    <xf numFmtId="0" fontId="24" fillId="0" borderId="0" xfId="5" applyFont="1" applyAlignment="1">
      <alignment vertical="top"/>
    </xf>
    <xf numFmtId="0" fontId="25" fillId="0" borderId="0" xfId="6" applyFont="1"/>
    <xf numFmtId="0" fontId="26" fillId="0" borderId="0" xfId="6" applyFont="1"/>
    <xf numFmtId="0" fontId="18" fillId="0" borderId="8" xfId="6" applyFont="1" applyBorder="1" applyAlignment="1">
      <alignment vertical="center" wrapText="1"/>
    </xf>
    <xf numFmtId="0" fontId="20" fillId="0" borderId="8" xfId="6" applyFont="1" applyBorder="1" applyAlignment="1">
      <alignment vertical="center" wrapText="1"/>
    </xf>
    <xf numFmtId="0" fontId="19" fillId="0" borderId="8" xfId="6" applyFont="1" applyBorder="1" applyAlignment="1">
      <alignment vertical="center" wrapText="1"/>
    </xf>
    <xf numFmtId="0" fontId="19" fillId="0" borderId="8" xfId="6" applyFont="1" applyBorder="1" applyAlignment="1">
      <alignment wrapText="1"/>
    </xf>
    <xf numFmtId="0" fontId="18" fillId="0" borderId="8" xfId="6" applyFont="1" applyBorder="1" applyAlignment="1">
      <alignment wrapText="1"/>
    </xf>
    <xf numFmtId="0" fontId="28" fillId="0" borderId="8" xfId="6" applyFont="1" applyBorder="1" applyAlignment="1">
      <alignment wrapText="1"/>
    </xf>
    <xf numFmtId="0" fontId="29" fillId="0" borderId="0" xfId="2" applyFont="1" applyAlignment="1">
      <alignment horizontal="center"/>
    </xf>
    <xf numFmtId="0" fontId="18" fillId="0" borderId="13" xfId="6" applyFont="1" applyBorder="1" applyAlignment="1">
      <alignment wrapText="1"/>
    </xf>
    <xf numFmtId="0" fontId="25" fillId="0" borderId="0" xfId="1" applyFont="1" applyAlignment="1">
      <alignment horizontal="left"/>
    </xf>
    <xf numFmtId="0" fontId="29" fillId="0" borderId="0" xfId="1" applyFont="1" applyAlignment="1">
      <alignment horizontal="center"/>
    </xf>
    <xf numFmtId="0" fontId="25" fillId="0" borderId="0" xfId="1" applyFont="1"/>
    <xf numFmtId="0" fontId="30" fillId="0" borderId="0" xfId="1" applyFont="1"/>
    <xf numFmtId="0" fontId="31" fillId="0" borderId="0" xfId="5" applyFont="1" applyAlignment="1">
      <alignment vertical="top"/>
    </xf>
    <xf numFmtId="0" fontId="32" fillId="0" borderId="0" xfId="5" applyFont="1" applyAlignment="1">
      <alignment vertical="top"/>
    </xf>
    <xf numFmtId="164" fontId="25" fillId="0" borderId="0" xfId="6" applyNumberFormat="1" applyFont="1"/>
    <xf numFmtId="0" fontId="19" fillId="0" borderId="0" xfId="0" applyFont="1" applyAlignment="1">
      <alignment wrapText="1"/>
    </xf>
    <xf numFmtId="164" fontId="18" fillId="0" borderId="3" xfId="0" applyNumberFormat="1" applyFont="1" applyBorder="1"/>
    <xf numFmtId="164" fontId="18" fillId="0" borderId="0" xfId="0" applyNumberFormat="1" applyFont="1"/>
    <xf numFmtId="164" fontId="19" fillId="0" borderId="0" xfId="0" applyNumberFormat="1" applyFont="1"/>
    <xf numFmtId="164" fontId="18" fillId="0" borderId="2" xfId="0" applyNumberFormat="1" applyFont="1" applyBorder="1"/>
    <xf numFmtId="0" fontId="34" fillId="0" borderId="0" xfId="0" applyFont="1" applyAlignment="1">
      <alignment vertical="center" wrapText="1"/>
    </xf>
    <xf numFmtId="164" fontId="35" fillId="0" borderId="0" xfId="6" applyNumberFormat="1" applyFont="1"/>
    <xf numFmtId="4" fontId="25" fillId="0" borderId="0" xfId="6" applyNumberFormat="1" applyFont="1"/>
    <xf numFmtId="165" fontId="25" fillId="0" borderId="0" xfId="6" applyNumberFormat="1" applyFont="1"/>
    <xf numFmtId="0" fontId="29" fillId="0" borderId="8" xfId="2" applyFont="1" applyBorder="1" applyAlignment="1">
      <alignment horizontal="center"/>
    </xf>
    <xf numFmtId="0" fontId="20" fillId="0" borderId="0" xfId="0" applyFont="1" applyAlignment="1">
      <alignment vertical="center"/>
    </xf>
    <xf numFmtId="0" fontId="27" fillId="0" borderId="0" xfId="2" applyFont="1" applyAlignment="1">
      <alignment horizontal="center" vertical="center" wrapText="1"/>
    </xf>
    <xf numFmtId="0" fontId="27" fillId="0" borderId="0" xfId="6" applyFont="1" applyAlignment="1">
      <alignment horizontal="center" vertical="center" wrapText="1"/>
    </xf>
    <xf numFmtId="0" fontId="11" fillId="2" borderId="6" xfId="3" applyFont="1" applyFill="1" applyBorder="1" applyAlignment="1">
      <alignment horizontal="center" vertical="center" wrapText="1"/>
    </xf>
    <xf numFmtId="0" fontId="11" fillId="2" borderId="7" xfId="3" applyFont="1" applyFill="1" applyBorder="1" applyAlignment="1">
      <alignment horizontal="center" vertical="center" wrapText="1"/>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0" fontId="9" fillId="0" borderId="9" xfId="0" applyFont="1" applyBorder="1" applyAlignment="1">
      <alignment horizontal="center"/>
    </xf>
    <xf numFmtId="0" fontId="0" fillId="0" borderId="10" xfId="0" applyBorder="1" applyAlignment="1">
      <alignment horizontal="center"/>
    </xf>
    <xf numFmtId="0" fontId="8" fillId="0" borderId="9" xfId="0" applyFont="1" applyBorder="1" applyAlignment="1">
      <alignment horizontal="right"/>
    </xf>
    <xf numFmtId="0" fontId="8" fillId="0" borderId="10" xfId="0" applyFont="1" applyBorder="1" applyAlignment="1">
      <alignment horizontal="right"/>
    </xf>
    <xf numFmtId="0" fontId="26" fillId="0" borderId="0" xfId="2" applyFont="1" applyAlignment="1">
      <alignment horizontal="center"/>
    </xf>
    <xf numFmtId="0" fontId="36" fillId="0" borderId="0" xfId="0" applyFont="1"/>
    <xf numFmtId="0" fontId="26" fillId="0" borderId="0" xfId="2" applyFont="1"/>
    <xf numFmtId="0" fontId="18" fillId="0" borderId="4" xfId="0" applyFont="1" applyBorder="1" applyAlignment="1">
      <alignment horizontal="center" vertical="center" wrapText="1"/>
    </xf>
    <xf numFmtId="0" fontId="19" fillId="0" borderId="0" xfId="0" applyFont="1"/>
    <xf numFmtId="0" fontId="18" fillId="0" borderId="0" xfId="0" applyFont="1" applyAlignment="1">
      <alignment horizontal="center" vertical="center" wrapText="1"/>
    </xf>
    <xf numFmtId="0" fontId="37" fillId="0" borderId="0" xfId="0" applyFont="1"/>
    <xf numFmtId="0" fontId="18" fillId="0" borderId="1" xfId="0" applyFont="1" applyBorder="1" applyAlignment="1">
      <alignment horizontal="center" vertical="center" wrapText="1"/>
    </xf>
    <xf numFmtId="0" fontId="27" fillId="0" borderId="0" xfId="0" applyFont="1" applyAlignment="1">
      <alignment horizontal="center" vertical="center" wrapText="1"/>
    </xf>
    <xf numFmtId="164" fontId="37" fillId="0" borderId="3" xfId="0" applyNumberFormat="1" applyFont="1" applyBorder="1"/>
    <xf numFmtId="164" fontId="36" fillId="0" borderId="0" xfId="0" applyNumberFormat="1" applyFont="1"/>
    <xf numFmtId="164" fontId="37" fillId="0" borderId="0" xfId="0" applyNumberFormat="1" applyFont="1"/>
    <xf numFmtId="0" fontId="38" fillId="0" borderId="0" xfId="0" applyFont="1" applyAlignment="1">
      <alignment horizontal="right" wrapText="1"/>
    </xf>
    <xf numFmtId="0" fontId="29" fillId="0" borderId="0" xfId="0" applyFont="1"/>
    <xf numFmtId="164" fontId="39" fillId="0" borderId="0" xfId="0" applyNumberFormat="1" applyFont="1"/>
    <xf numFmtId="164" fontId="40" fillId="0" borderId="3" xfId="0" applyNumberFormat="1" applyFont="1" applyBorder="1"/>
    <xf numFmtId="164" fontId="40" fillId="0" borderId="0" xfId="0" applyNumberFormat="1" applyFont="1"/>
    <xf numFmtId="0" fontId="36" fillId="0" borderId="0" xfId="0" applyFont="1" applyAlignment="1">
      <alignment wrapText="1"/>
    </xf>
    <xf numFmtId="164" fontId="37" fillId="0" borderId="2" xfId="0" applyNumberFormat="1" applyFont="1" applyBorder="1"/>
    <xf numFmtId="164" fontId="29" fillId="0" borderId="0" xfId="0" applyNumberFormat="1" applyFont="1"/>
    <xf numFmtId="168" fontId="36" fillId="0" borderId="0" xfId="0" applyNumberFormat="1" applyFont="1"/>
    <xf numFmtId="169" fontId="36" fillId="0" borderId="0" xfId="0" applyNumberFormat="1" applyFont="1"/>
    <xf numFmtId="0" fontId="26" fillId="0" borderId="0" xfId="1" applyFont="1" applyAlignment="1">
      <alignment vertical="center"/>
    </xf>
    <xf numFmtId="0" fontId="41" fillId="0" borderId="0" xfId="1" applyFont="1" applyAlignment="1">
      <alignment horizontal="center"/>
    </xf>
    <xf numFmtId="0" fontId="42" fillId="0" borderId="0" xfId="1" applyFont="1" applyAlignment="1">
      <alignment horizontal="center" vertical="center"/>
    </xf>
    <xf numFmtId="14" fontId="26" fillId="0" borderId="0" xfId="1" applyNumberFormat="1" applyFont="1" applyAlignment="1">
      <alignment horizontal="center"/>
    </xf>
    <xf numFmtId="14" fontId="26" fillId="0" borderId="0" xfId="1" applyNumberFormat="1" applyFont="1" applyAlignment="1">
      <alignment horizontal="center" wrapText="1"/>
    </xf>
    <xf numFmtId="0" fontId="20" fillId="0" borderId="0" xfId="0" applyFont="1" applyAlignment="1">
      <alignment horizontal="center" vertical="center"/>
    </xf>
    <xf numFmtId="0" fontId="43" fillId="0" borderId="1" xfId="1" applyFont="1" applyBorder="1" applyAlignment="1">
      <alignment horizontal="center"/>
    </xf>
    <xf numFmtId="0" fontId="44" fillId="0" borderId="0" xfId="1" applyFont="1"/>
    <xf numFmtId="0" fontId="34" fillId="0" borderId="0" xfId="1" applyFont="1" applyAlignment="1">
      <alignment horizontal="center"/>
    </xf>
    <xf numFmtId="0" fontId="19" fillId="0" borderId="0" xfId="0" applyFont="1" applyAlignment="1">
      <alignment vertical="center"/>
    </xf>
    <xf numFmtId="164" fontId="25" fillId="0" borderId="0" xfId="1" applyNumberFormat="1" applyFont="1"/>
    <xf numFmtId="9" fontId="25" fillId="0" borderId="0" xfId="8" applyFont="1" applyFill="1" applyAlignment="1">
      <alignment horizontal="right"/>
    </xf>
    <xf numFmtId="165" fontId="25" fillId="0" borderId="0" xfId="4" applyNumberFormat="1" applyFont="1" applyFill="1"/>
    <xf numFmtId="0" fontId="25" fillId="0" borderId="0" xfId="1" applyFont="1" applyAlignment="1">
      <alignment horizontal="right"/>
    </xf>
    <xf numFmtId="43" fontId="25" fillId="0" borderId="0" xfId="4" applyFont="1" applyFill="1"/>
    <xf numFmtId="164" fontId="25" fillId="0" borderId="0" xfId="8" applyNumberFormat="1" applyFont="1"/>
    <xf numFmtId="164" fontId="26" fillId="0" borderId="2" xfId="1" applyNumberFormat="1" applyFont="1" applyBorder="1"/>
    <xf numFmtId="0" fontId="34" fillId="0" borderId="0" xfId="1" applyFont="1"/>
    <xf numFmtId="164" fontId="25" fillId="0" borderId="0" xfId="8" applyNumberFormat="1" applyFont="1" applyFill="1"/>
    <xf numFmtId="9" fontId="25" fillId="0" borderId="0" xfId="8" applyFont="1"/>
    <xf numFmtId="0" fontId="42" fillId="0" borderId="0" xfId="1" applyFont="1"/>
    <xf numFmtId="164" fontId="26" fillId="0" borderId="0" xfId="1" applyNumberFormat="1" applyFont="1"/>
    <xf numFmtId="164" fontId="26" fillId="0" borderId="3" xfId="1" applyNumberFormat="1" applyFont="1" applyBorder="1"/>
    <xf numFmtId="167" fontId="19" fillId="0" borderId="0" xfId="0" applyNumberFormat="1" applyFont="1" applyAlignment="1">
      <alignment vertical="center" wrapText="1"/>
    </xf>
    <xf numFmtId="0" fontId="45" fillId="0" borderId="0" xfId="1" applyFont="1" applyAlignment="1">
      <alignment horizontal="right"/>
    </xf>
    <xf numFmtId="164" fontId="46" fillId="0" borderId="0" xfId="1" applyNumberFormat="1" applyFont="1"/>
    <xf numFmtId="0" fontId="25" fillId="0" borderId="0" xfId="2" applyFont="1"/>
    <xf numFmtId="0" fontId="26" fillId="0" borderId="0" xfId="2" applyFont="1" applyAlignment="1">
      <alignment horizontal="left"/>
    </xf>
    <xf numFmtId="0" fontId="42" fillId="0" borderId="0" xfId="2" applyFont="1" applyAlignment="1">
      <alignment horizontal="center" vertical="center"/>
    </xf>
    <xf numFmtId="14" fontId="26" fillId="0" borderId="0" xfId="2" applyNumberFormat="1" applyFont="1" applyAlignment="1">
      <alignment horizontal="center" wrapText="1"/>
    </xf>
    <xf numFmtId="0" fontId="42" fillId="0" borderId="0" xfId="0" applyFont="1" applyAlignment="1">
      <alignment horizontal="center" vertical="center"/>
    </xf>
    <xf numFmtId="0" fontId="43" fillId="0" borderId="1" xfId="2" applyFont="1" applyBorder="1" applyAlignment="1">
      <alignment horizontal="center"/>
    </xf>
    <xf numFmtId="0" fontId="34" fillId="0" borderId="0" xfId="2" applyFont="1" applyAlignment="1">
      <alignment horizontal="center"/>
    </xf>
    <xf numFmtId="164" fontId="25" fillId="0" borderId="0" xfId="2" applyNumberFormat="1" applyFont="1"/>
    <xf numFmtId="164" fontId="26" fillId="0" borderId="3" xfId="2" applyNumberFormat="1" applyFont="1" applyBorder="1"/>
    <xf numFmtId="164" fontId="26" fillId="0" borderId="0" xfId="2" applyNumberFormat="1" applyFont="1"/>
    <xf numFmtId="164" fontId="47" fillId="0" borderId="0" xfId="2" applyNumberFormat="1" applyFont="1"/>
    <xf numFmtId="0" fontId="19" fillId="0" borderId="0" xfId="0" quotePrefix="1" applyFont="1" applyAlignment="1">
      <alignment horizontal="left" vertical="center" wrapText="1"/>
    </xf>
    <xf numFmtId="164" fontId="25" fillId="5" borderId="0" xfId="2" applyNumberFormat="1" applyFont="1" applyFill="1"/>
    <xf numFmtId="0" fontId="20" fillId="0" borderId="0" xfId="0" applyFont="1" applyAlignment="1">
      <alignment wrapText="1"/>
    </xf>
    <xf numFmtId="164" fontId="43" fillId="0" borderId="3" xfId="2" applyNumberFormat="1" applyFont="1" applyBorder="1"/>
    <xf numFmtId="164" fontId="26" fillId="0" borderId="2" xfId="2" applyNumberFormat="1" applyFont="1" applyBorder="1"/>
    <xf numFmtId="0" fontId="43" fillId="0" borderId="0" xfId="2" applyFont="1"/>
    <xf numFmtId="14" fontId="48" fillId="0" borderId="0" xfId="2" applyNumberFormat="1" applyFont="1" applyAlignment="1">
      <alignment horizontal="center" wrapText="1"/>
    </xf>
    <xf numFmtId="0" fontId="49" fillId="0" borderId="8" xfId="1" applyFont="1" applyBorder="1" applyAlignment="1">
      <alignment horizontal="center"/>
    </xf>
    <xf numFmtId="4" fontId="19" fillId="0" borderId="0" xfId="0" applyNumberFormat="1" applyFont="1" applyAlignment="1">
      <alignment horizontal="right" vertical="center"/>
    </xf>
    <xf numFmtId="170" fontId="48" fillId="0" borderId="8" xfId="7" applyNumberFormat="1" applyFont="1" applyBorder="1" applyAlignment="1">
      <alignment horizontal="right"/>
    </xf>
    <xf numFmtId="170" fontId="30" fillId="0" borderId="8" xfId="7" applyNumberFormat="1" applyFont="1" applyBorder="1" applyAlignment="1">
      <alignment horizontal="right"/>
    </xf>
    <xf numFmtId="170" fontId="30" fillId="0" borderId="8" xfId="7" applyNumberFormat="1" applyFont="1" applyFill="1" applyBorder="1" applyAlignment="1">
      <alignment horizontal="right"/>
    </xf>
    <xf numFmtId="170" fontId="48" fillId="0" borderId="8" xfId="7" applyNumberFormat="1" applyFont="1" applyFill="1" applyBorder="1" applyAlignment="1">
      <alignment horizontal="right"/>
    </xf>
    <xf numFmtId="170" fontId="30" fillId="0" borderId="8" xfId="6" applyNumberFormat="1" applyFont="1" applyBorder="1" applyAlignment="1">
      <alignment horizontal="right"/>
    </xf>
    <xf numFmtId="0" fontId="18" fillId="0" borderId="8" xfId="6" applyFont="1" applyBorder="1" applyAlignment="1">
      <alignment horizontal="left" vertical="top" wrapText="1"/>
    </xf>
    <xf numFmtId="170" fontId="48" fillId="0" borderId="13" xfId="7" applyNumberFormat="1" applyFont="1" applyBorder="1" applyAlignment="1">
      <alignment horizontal="right" vertical="top"/>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77" Type="http://schemas.openxmlformats.org/officeDocument/2006/relationships/styles" Target="styles.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4" Type="http://schemas.openxmlformats.org/officeDocument/2006/relationships/worksheet" Target="worksheets/sheet4.xml"/><Relationship Id="rId9" Type="http://schemas.openxmlformats.org/officeDocument/2006/relationships/externalLink" Target="externalLinks/externalLink3.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6" Type="http://schemas.openxmlformats.org/officeDocument/2006/relationships/externalLink" Target="externalLinks/externalLink10.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theme" Target="theme/theme1.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O49"/>
  <sheetViews>
    <sheetView topLeftCell="A25" zoomScaleNormal="100" workbookViewId="0">
      <selection activeCell="D31" sqref="A1:XFD1048576"/>
    </sheetView>
  </sheetViews>
  <sheetFormatPr defaultColWidth="11.28515625" defaultRowHeight="12" x14ac:dyDescent="0.25"/>
  <cols>
    <col min="1" max="1" width="13.7109375" style="77" customWidth="1"/>
    <col min="2" max="2" width="42" style="77" customWidth="1"/>
    <col min="3" max="3" width="19" style="77" customWidth="1"/>
    <col min="4" max="4" width="15.85546875" style="77" customWidth="1"/>
    <col min="5" max="5" width="11" style="77" customWidth="1"/>
    <col min="6" max="6" width="19.140625" style="77" customWidth="1"/>
    <col min="7" max="7" width="15.28515625" style="77" customWidth="1"/>
    <col min="8" max="8" width="17.140625" style="77" customWidth="1"/>
    <col min="9" max="16384" width="11.28515625" style="77"/>
  </cols>
  <sheetData>
    <row r="1" spans="2:11" s="77" customFormat="1" x14ac:dyDescent="0.25">
      <c r="B1" s="107" t="s">
        <v>144</v>
      </c>
      <c r="C1" s="107"/>
      <c r="D1" s="107"/>
    </row>
    <row r="2" spans="2:11" s="77" customFormat="1" x14ac:dyDescent="0.25">
      <c r="B2" s="129" t="s">
        <v>188</v>
      </c>
      <c r="C2" s="129"/>
      <c r="D2" s="129"/>
    </row>
    <row r="3" spans="2:11" s="77" customFormat="1" ht="7.5" customHeight="1" x14ac:dyDescent="0.25">
      <c r="D3" s="130"/>
      <c r="F3" s="130"/>
    </row>
    <row r="4" spans="2:11" s="77" customFormat="1" ht="23.25" customHeight="1" x14ac:dyDescent="0.25">
      <c r="C4" s="131" t="s">
        <v>125</v>
      </c>
      <c r="D4" s="132">
        <v>45838</v>
      </c>
      <c r="F4" s="133" t="s">
        <v>201</v>
      </c>
    </row>
    <row r="5" spans="2:11" s="77" customFormat="1" x14ac:dyDescent="0.25">
      <c r="C5" s="134"/>
      <c r="D5" s="135" t="s">
        <v>124</v>
      </c>
      <c r="F5" s="135" t="s">
        <v>124</v>
      </c>
      <c r="G5" s="136" t="s">
        <v>146</v>
      </c>
    </row>
    <row r="6" spans="2:11" s="77" customFormat="1" x14ac:dyDescent="0.25">
      <c r="B6" s="51" t="s">
        <v>41</v>
      </c>
      <c r="C6" s="137"/>
    </row>
    <row r="7" spans="2:11" s="77" customFormat="1" x14ac:dyDescent="0.25">
      <c r="B7" s="138" t="s">
        <v>32</v>
      </c>
      <c r="C7" s="137">
        <v>3</v>
      </c>
      <c r="D7" s="139">
        <v>33810723</v>
      </c>
      <c r="F7" s="139">
        <v>39334962</v>
      </c>
      <c r="G7" s="140" t="s">
        <v>140</v>
      </c>
      <c r="H7" s="141">
        <f>176500+55000+28500+55556</f>
        <v>315556</v>
      </c>
    </row>
    <row r="8" spans="2:11" s="77" customFormat="1" ht="24" x14ac:dyDescent="0.25">
      <c r="B8" s="49" t="s">
        <v>167</v>
      </c>
      <c r="C8" s="137">
        <v>5</v>
      </c>
      <c r="D8" s="139">
        <v>6112077</v>
      </c>
      <c r="F8" s="139">
        <v>6517149</v>
      </c>
      <c r="G8" s="140" t="s">
        <v>138</v>
      </c>
      <c r="H8" s="141">
        <v>145123</v>
      </c>
      <c r="I8" s="77" t="s">
        <v>124</v>
      </c>
    </row>
    <row r="9" spans="2:11" s="77" customFormat="1" ht="36" x14ac:dyDescent="0.25">
      <c r="B9" s="49" t="s">
        <v>169</v>
      </c>
      <c r="C9" s="137">
        <v>14</v>
      </c>
      <c r="D9" s="139">
        <v>1315872</v>
      </c>
      <c r="F9" s="139">
        <v>680065</v>
      </c>
      <c r="G9" s="142" t="s">
        <v>137</v>
      </c>
      <c r="H9" s="141">
        <f>(D18-H8)-D26-1980000</f>
        <v>20647580</v>
      </c>
      <c r="I9" s="77" t="s">
        <v>124</v>
      </c>
    </row>
    <row r="10" spans="2:11" s="77" customFormat="1" ht="36" x14ac:dyDescent="0.25">
      <c r="B10" s="49" t="s">
        <v>168</v>
      </c>
      <c r="C10" s="137">
        <v>18</v>
      </c>
      <c r="D10" s="139">
        <v>12787554</v>
      </c>
      <c r="F10" s="139">
        <v>1174070</v>
      </c>
      <c r="G10" s="140" t="s">
        <v>139</v>
      </c>
      <c r="H10" s="143">
        <f>H9/H7*1000</f>
        <v>65432.379672704687</v>
      </c>
      <c r="I10" s="77" t="s">
        <v>141</v>
      </c>
    </row>
    <row r="11" spans="2:11" s="77" customFormat="1" ht="24" x14ac:dyDescent="0.25">
      <c r="B11" s="49" t="s">
        <v>34</v>
      </c>
      <c r="C11" s="137">
        <v>6</v>
      </c>
      <c r="D11" s="139">
        <v>1374725</v>
      </c>
      <c r="F11" s="139">
        <v>784760</v>
      </c>
      <c r="G11" s="144"/>
      <c r="K11" s="139"/>
    </row>
    <row r="12" spans="2:11" s="77" customFormat="1" ht="24" x14ac:dyDescent="0.25">
      <c r="B12" s="49" t="s">
        <v>35</v>
      </c>
      <c r="C12" s="137">
        <v>7</v>
      </c>
      <c r="D12" s="139">
        <v>2198911</v>
      </c>
      <c r="F12" s="139">
        <v>298070</v>
      </c>
      <c r="G12" s="136" t="s">
        <v>162</v>
      </c>
    </row>
    <row r="13" spans="2:11" s="77" customFormat="1" ht="24" x14ac:dyDescent="0.25">
      <c r="B13" s="49" t="s">
        <v>36</v>
      </c>
      <c r="C13" s="137"/>
      <c r="D13" s="139">
        <v>7915253</v>
      </c>
      <c r="F13" s="139">
        <v>7520718</v>
      </c>
      <c r="G13" s="140" t="s">
        <v>157</v>
      </c>
      <c r="H13" s="141">
        <f>H7+55000</f>
        <v>370556</v>
      </c>
    </row>
    <row r="14" spans="2:11" s="77" customFormat="1" ht="24" x14ac:dyDescent="0.25">
      <c r="B14" s="49" t="s">
        <v>37</v>
      </c>
      <c r="C14" s="137"/>
      <c r="D14" s="139">
        <v>197837</v>
      </c>
      <c r="F14" s="139">
        <v>163984</v>
      </c>
      <c r="G14" s="140" t="s">
        <v>158</v>
      </c>
      <c r="H14" s="77">
        <v>0</v>
      </c>
    </row>
    <row r="15" spans="2:11" s="77" customFormat="1" x14ac:dyDescent="0.25">
      <c r="B15" s="138" t="s">
        <v>38</v>
      </c>
      <c r="C15" s="137"/>
      <c r="D15" s="139">
        <v>0</v>
      </c>
      <c r="F15" s="139">
        <v>0</v>
      </c>
      <c r="G15" s="140" t="s">
        <v>159</v>
      </c>
      <c r="H15" s="77">
        <v>0</v>
      </c>
    </row>
    <row r="16" spans="2:11" s="77" customFormat="1" x14ac:dyDescent="0.25">
      <c r="B16" s="138" t="s">
        <v>39</v>
      </c>
      <c r="C16" s="137"/>
      <c r="D16" s="139">
        <v>77882</v>
      </c>
      <c r="F16" s="139">
        <v>77882</v>
      </c>
      <c r="G16" s="140" t="s">
        <v>160</v>
      </c>
      <c r="H16" s="139">
        <f>H15+(D18-D26)-H8</f>
        <v>22627580</v>
      </c>
      <c r="I16" s="139"/>
    </row>
    <row r="17" spans="2:15" s="77" customFormat="1" x14ac:dyDescent="0.25">
      <c r="B17" s="111" t="s">
        <v>40</v>
      </c>
      <c r="C17" s="137"/>
      <c r="D17" s="139">
        <v>195398</v>
      </c>
      <c r="F17" s="139">
        <v>121596</v>
      </c>
      <c r="G17" s="140" t="s">
        <v>161</v>
      </c>
      <c r="H17" s="143">
        <f>H16/H13*1000</f>
        <v>61063.860792970569</v>
      </c>
    </row>
    <row r="18" spans="2:15" s="77" customFormat="1" ht="12.6" thickBot="1" x14ac:dyDescent="0.3">
      <c r="B18" s="51" t="s">
        <v>42</v>
      </c>
      <c r="C18" s="137"/>
      <c r="D18" s="145">
        <f>SUM(D7:D17)</f>
        <v>65986232</v>
      </c>
      <c r="E18" s="146"/>
      <c r="F18" s="145">
        <f>SUM(F7:F17)</f>
        <v>56673256</v>
      </c>
    </row>
    <row r="19" spans="2:15" s="77" customFormat="1" ht="7.5" customHeight="1" thickTop="1" x14ac:dyDescent="0.25">
      <c r="C19" s="137"/>
    </row>
    <row r="20" spans="2:15" s="77" customFormat="1" x14ac:dyDescent="0.25">
      <c r="B20" s="51" t="s">
        <v>43</v>
      </c>
      <c r="C20" s="137"/>
      <c r="D20" s="139"/>
      <c r="F20" s="139"/>
    </row>
    <row r="21" spans="2:15" s="77" customFormat="1" ht="6.75" customHeight="1" x14ac:dyDescent="0.25">
      <c r="B21" s="51"/>
      <c r="C21" s="137"/>
      <c r="F21" s="139"/>
      <c r="G21" s="147"/>
      <c r="H21" s="139"/>
    </row>
    <row r="22" spans="2:15" s="77" customFormat="1" x14ac:dyDescent="0.25">
      <c r="B22" s="138" t="s">
        <v>44</v>
      </c>
      <c r="C22" s="137">
        <v>7</v>
      </c>
      <c r="D22" s="139">
        <v>41249451</v>
      </c>
      <c r="E22" s="139"/>
      <c r="F22" s="139">
        <v>36984092</v>
      </c>
      <c r="G22" s="148"/>
      <c r="H22" s="139"/>
    </row>
    <row r="23" spans="2:15" s="77" customFormat="1" ht="24" x14ac:dyDescent="0.25">
      <c r="B23" s="49" t="s">
        <v>45</v>
      </c>
      <c r="C23" s="137">
        <v>8</v>
      </c>
      <c r="D23" s="139">
        <v>992903</v>
      </c>
      <c r="F23" s="139">
        <v>894639</v>
      </c>
      <c r="G23" s="144"/>
      <c r="H23" s="139"/>
    </row>
    <row r="24" spans="2:15" s="77" customFormat="1" x14ac:dyDescent="0.25">
      <c r="B24" s="138" t="s">
        <v>189</v>
      </c>
      <c r="C24" s="137"/>
      <c r="D24" s="139">
        <v>0</v>
      </c>
      <c r="F24" s="139">
        <v>2961</v>
      </c>
      <c r="G24" s="148"/>
      <c r="H24" s="139"/>
    </row>
    <row r="25" spans="2:15" s="77" customFormat="1" x14ac:dyDescent="0.25">
      <c r="B25" s="111" t="s">
        <v>46</v>
      </c>
      <c r="C25" s="137"/>
      <c r="D25" s="139">
        <v>971175</v>
      </c>
      <c r="F25" s="139">
        <v>417779</v>
      </c>
      <c r="G25" s="149"/>
      <c r="H25" s="150"/>
    </row>
    <row r="26" spans="2:15" s="77" customFormat="1" x14ac:dyDescent="0.25">
      <c r="B26" s="51" t="s">
        <v>47</v>
      </c>
      <c r="C26" s="137"/>
      <c r="D26" s="151">
        <f>SUM(D22:D25)</f>
        <v>43213529</v>
      </c>
      <c r="E26" s="146"/>
      <c r="F26" s="151">
        <f>SUM(F22:F25)</f>
        <v>38299471</v>
      </c>
      <c r="H26" s="139"/>
    </row>
    <row r="27" spans="2:15" s="77" customFormat="1" ht="6.75" customHeight="1" x14ac:dyDescent="0.25">
      <c r="C27" s="137"/>
      <c r="D27" s="139"/>
      <c r="F27" s="139"/>
      <c r="H27" s="139"/>
    </row>
    <row r="28" spans="2:15" s="77" customFormat="1" x14ac:dyDescent="0.25">
      <c r="B28" s="47" t="s">
        <v>48</v>
      </c>
      <c r="C28" s="137"/>
      <c r="D28" s="139"/>
      <c r="F28" s="139"/>
      <c r="H28" s="139"/>
    </row>
    <row r="29" spans="2:15" s="77" customFormat="1" ht="27.6" customHeight="1" x14ac:dyDescent="0.25">
      <c r="B29" s="138" t="s">
        <v>49</v>
      </c>
      <c r="C29" s="137">
        <v>9</v>
      </c>
      <c r="D29" s="139">
        <v>7914616</v>
      </c>
      <c r="F29" s="139">
        <v>7914670</v>
      </c>
      <c r="H29" s="139"/>
      <c r="L29" s="49"/>
      <c r="O29" s="49"/>
    </row>
    <row r="30" spans="2:15" s="77" customFormat="1" x14ac:dyDescent="0.25">
      <c r="B30" s="138" t="s">
        <v>50</v>
      </c>
      <c r="C30" s="137"/>
      <c r="D30" s="139">
        <v>7911</v>
      </c>
      <c r="F30" s="139">
        <v>7911</v>
      </c>
      <c r="G30" s="139"/>
      <c r="H30" s="139"/>
      <c r="L30" s="49"/>
      <c r="O30" s="49"/>
    </row>
    <row r="31" spans="2:15" s="77" customFormat="1" ht="24" x14ac:dyDescent="0.25">
      <c r="B31" s="49" t="s">
        <v>51</v>
      </c>
      <c r="C31" s="137"/>
      <c r="D31" s="139">
        <v>-203158</v>
      </c>
      <c r="F31" s="139">
        <v>-249427</v>
      </c>
      <c r="H31" s="139"/>
      <c r="L31" s="49"/>
      <c r="O31" s="49"/>
    </row>
    <row r="32" spans="2:15" s="77" customFormat="1" ht="27.6" customHeight="1" x14ac:dyDescent="0.25">
      <c r="B32" s="138" t="s">
        <v>147</v>
      </c>
      <c r="C32" s="137">
        <v>19</v>
      </c>
      <c r="D32" s="139">
        <v>931583</v>
      </c>
      <c r="F32" s="139">
        <v>34549</v>
      </c>
      <c r="G32" s="139"/>
      <c r="H32" s="139"/>
      <c r="L32" s="48"/>
      <c r="O32" s="48"/>
    </row>
    <row r="33" spans="2:15" s="77" customFormat="1" ht="27.6" customHeight="1" x14ac:dyDescent="0.25">
      <c r="B33" s="138" t="s">
        <v>151</v>
      </c>
      <c r="C33" s="137">
        <v>19</v>
      </c>
      <c r="D33" s="139">
        <v>0</v>
      </c>
      <c r="F33" s="139">
        <v>0</v>
      </c>
      <c r="G33" s="139"/>
      <c r="H33" s="139"/>
      <c r="L33" s="48"/>
      <c r="O33" s="48"/>
    </row>
    <row r="34" spans="2:15" s="77" customFormat="1" ht="27.6" customHeight="1" x14ac:dyDescent="0.25">
      <c r="B34" s="138" t="s">
        <v>53</v>
      </c>
      <c r="C34" s="137"/>
      <c r="D34" s="139">
        <v>14121751</v>
      </c>
      <c r="F34" s="139">
        <v>10666082</v>
      </c>
      <c r="G34" s="149"/>
      <c r="H34" s="139"/>
      <c r="L34" s="49"/>
      <c r="O34" s="49"/>
    </row>
    <row r="35" spans="2:15" s="77" customFormat="1" x14ac:dyDescent="0.25">
      <c r="B35" s="47" t="s">
        <v>54</v>
      </c>
      <c r="C35" s="137"/>
      <c r="D35" s="151">
        <f>SUM(D29:D34)</f>
        <v>22772703</v>
      </c>
      <c r="E35" s="146"/>
      <c r="F35" s="151">
        <f>SUM(F29:F34)</f>
        <v>18373785</v>
      </c>
      <c r="H35" s="139"/>
      <c r="L35" s="49"/>
      <c r="O35" s="49"/>
    </row>
    <row r="36" spans="2:15" s="77" customFormat="1" ht="12.6" thickBot="1" x14ac:dyDescent="0.3">
      <c r="B36" s="47" t="s">
        <v>55</v>
      </c>
      <c r="C36" s="137"/>
      <c r="D36" s="145">
        <f>D26+D35</f>
        <v>65986232</v>
      </c>
      <c r="F36" s="145">
        <f>F26+F35</f>
        <v>56673256</v>
      </c>
      <c r="H36" s="139"/>
      <c r="L36" s="49"/>
      <c r="O36" s="152"/>
    </row>
    <row r="37" spans="2:15" s="77" customFormat="1" ht="10.5" customHeight="1" thickTop="1" x14ac:dyDescent="0.25">
      <c r="B37" s="153" t="s">
        <v>2</v>
      </c>
      <c r="C37" s="137"/>
      <c r="D37" s="154">
        <f>ROUND(D18-D36,0)</f>
        <v>0</v>
      </c>
      <c r="F37" s="154">
        <f>F18-F36</f>
        <v>0</v>
      </c>
      <c r="H37" s="139"/>
      <c r="L37" s="49"/>
      <c r="O37" s="152"/>
    </row>
    <row r="38" spans="2:15" s="77" customFormat="1" ht="8.25" customHeight="1" x14ac:dyDescent="0.25">
      <c r="B38" s="153"/>
      <c r="C38" s="137"/>
      <c r="D38" s="154"/>
      <c r="F38" s="154"/>
      <c r="H38" s="139"/>
      <c r="L38" s="49"/>
      <c r="O38" s="152"/>
    </row>
    <row r="39" spans="2:15" s="77" customFormat="1" ht="11.25" customHeight="1" x14ac:dyDescent="0.25">
      <c r="B39" s="75" t="s">
        <v>200</v>
      </c>
      <c r="C39" s="137"/>
      <c r="D39" s="154"/>
      <c r="F39" s="154"/>
      <c r="L39" s="48"/>
      <c r="O39" s="48"/>
    </row>
    <row r="40" spans="2:15" s="77" customFormat="1" x14ac:dyDescent="0.25">
      <c r="B40" s="77" t="s">
        <v>126</v>
      </c>
      <c r="G40" s="139"/>
      <c r="L40" s="48"/>
      <c r="O40" s="48"/>
    </row>
    <row r="41" spans="2:15" s="77" customFormat="1" ht="3.75" customHeight="1" x14ac:dyDescent="0.25">
      <c r="F41" s="139"/>
      <c r="G41" s="80"/>
      <c r="H41" s="80"/>
    </row>
    <row r="42" spans="2:15" s="77" customFormat="1" x14ac:dyDescent="0.25">
      <c r="B42" s="79" t="s">
        <v>122</v>
      </c>
      <c r="C42" s="80"/>
      <c r="D42" s="80"/>
      <c r="E42" s="80"/>
      <c r="F42" s="80"/>
      <c r="G42" s="80"/>
      <c r="H42" s="80"/>
    </row>
    <row r="43" spans="2:15" s="77" customFormat="1" x14ac:dyDescent="0.25">
      <c r="B43" s="80" t="s">
        <v>163</v>
      </c>
      <c r="C43" s="80" t="s">
        <v>123</v>
      </c>
      <c r="D43" s="80"/>
      <c r="E43" s="80"/>
      <c r="F43" s="80"/>
    </row>
    <row r="44" spans="2:15" s="77" customFormat="1" x14ac:dyDescent="0.25">
      <c r="F44" s="139"/>
    </row>
    <row r="45" spans="2:15" s="77" customFormat="1" x14ac:dyDescent="0.25">
      <c r="G45" s="80"/>
      <c r="H45" s="80"/>
    </row>
    <row r="46" spans="2:15" s="77" customFormat="1" x14ac:dyDescent="0.25">
      <c r="B46" s="80"/>
      <c r="C46" s="80"/>
      <c r="D46" s="80"/>
      <c r="E46" s="80"/>
      <c r="F46" s="80"/>
      <c r="G46" s="80"/>
      <c r="H46" s="80"/>
    </row>
    <row r="47" spans="2:15" s="77" customFormat="1" x14ac:dyDescent="0.25">
      <c r="B47" s="80"/>
      <c r="C47" s="80"/>
      <c r="D47" s="80"/>
      <c r="E47" s="80"/>
      <c r="F47" s="80"/>
      <c r="I47" s="49"/>
    </row>
    <row r="48" spans="2:15" s="77" customFormat="1" x14ac:dyDescent="0.25">
      <c r="I48" s="49"/>
    </row>
    <row r="49" spans="9:9" s="77" customFormat="1" x14ac:dyDescent="0.25">
      <c r="I49" s="49"/>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P43"/>
  <sheetViews>
    <sheetView zoomScaleNormal="100" workbookViewId="0">
      <selection activeCell="C15" sqref="A1:XFD1048576"/>
    </sheetView>
  </sheetViews>
  <sheetFormatPr defaultColWidth="10.28515625" defaultRowHeight="12" x14ac:dyDescent="0.25"/>
  <cols>
    <col min="1" max="1" width="15.140625" style="155" customWidth="1"/>
    <col min="2" max="2" width="46.85546875" style="155" customWidth="1"/>
    <col min="3" max="3" width="12.85546875" style="155" customWidth="1"/>
    <col min="4" max="4" width="15.28515625" style="155" customWidth="1"/>
    <col min="5" max="5" width="6.42578125" style="155" customWidth="1"/>
    <col min="6" max="6" width="15.140625" style="155" customWidth="1"/>
    <col min="7" max="7" width="10.28515625" style="155"/>
    <col min="8" max="8" width="14.28515625" style="155" customWidth="1"/>
    <col min="9" max="16384" width="10.28515625" style="155"/>
  </cols>
  <sheetData>
    <row r="1" spans="2:8" s="155" customFormat="1" x14ac:dyDescent="0.25">
      <c r="B1" s="107" t="s">
        <v>144</v>
      </c>
      <c r="C1" s="107"/>
      <c r="D1" s="107"/>
    </row>
    <row r="2" spans="2:8" s="155" customFormat="1" x14ac:dyDescent="0.25">
      <c r="B2" s="109" t="s">
        <v>155</v>
      </c>
    </row>
    <row r="3" spans="2:8" s="155" customFormat="1" x14ac:dyDescent="0.25">
      <c r="B3" s="156" t="s">
        <v>192</v>
      </c>
    </row>
    <row r="4" spans="2:8" s="155" customFormat="1" x14ac:dyDescent="0.25">
      <c r="B4" s="109"/>
    </row>
    <row r="5" spans="2:8" s="155" customFormat="1" ht="46.2" x14ac:dyDescent="0.25">
      <c r="C5" s="157" t="s">
        <v>125</v>
      </c>
      <c r="D5" s="158" t="s">
        <v>190</v>
      </c>
      <c r="F5" s="158" t="s">
        <v>191</v>
      </c>
    </row>
    <row r="6" spans="2:8" s="155" customFormat="1" x14ac:dyDescent="0.25">
      <c r="C6" s="159"/>
      <c r="D6" s="160" t="s">
        <v>124</v>
      </c>
      <c r="F6" s="160" t="s">
        <v>124</v>
      </c>
    </row>
    <row r="8" spans="2:8" s="155" customFormat="1" x14ac:dyDescent="0.25">
      <c r="B8" s="49" t="s">
        <v>56</v>
      </c>
      <c r="C8" s="161">
        <v>10</v>
      </c>
      <c r="D8" s="162">
        <v>17052625</v>
      </c>
      <c r="F8" s="162">
        <v>19160190</v>
      </c>
      <c r="G8" s="162"/>
      <c r="H8" s="162"/>
    </row>
    <row r="9" spans="2:8" s="155" customFormat="1" ht="24" x14ac:dyDescent="0.25">
      <c r="B9" s="49" t="s">
        <v>57</v>
      </c>
      <c r="C9" s="161">
        <v>10</v>
      </c>
      <c r="D9" s="162">
        <v>-5275596</v>
      </c>
      <c r="F9" s="162">
        <v>-1858379</v>
      </c>
      <c r="G9" s="162"/>
      <c r="H9" s="162"/>
    </row>
    <row r="10" spans="2:8" s="109" customFormat="1" ht="11.4" x14ac:dyDescent="0.2">
      <c r="B10" s="48" t="s">
        <v>58</v>
      </c>
      <c r="C10" s="161"/>
      <c r="D10" s="163">
        <f>SUM(D8:D9)</f>
        <v>11777029</v>
      </c>
      <c r="F10" s="163">
        <f>SUM(F8:F9)</f>
        <v>17301811</v>
      </c>
      <c r="G10" s="164"/>
      <c r="H10" s="164"/>
    </row>
    <row r="11" spans="2:8" s="155" customFormat="1" ht="24" x14ac:dyDescent="0.25">
      <c r="B11" s="49" t="s">
        <v>59</v>
      </c>
      <c r="C11" s="161">
        <v>10</v>
      </c>
      <c r="D11" s="162">
        <v>-3151058</v>
      </c>
      <c r="F11" s="162">
        <v>-8768036</v>
      </c>
      <c r="G11" s="162"/>
      <c r="H11" s="162"/>
    </row>
    <row r="12" spans="2:8" s="109" customFormat="1" ht="11.4" x14ac:dyDescent="0.2">
      <c r="B12" s="48" t="s">
        <v>60</v>
      </c>
      <c r="C12" s="161"/>
      <c r="D12" s="163">
        <f>SUM(D10:D11)</f>
        <v>8625971</v>
      </c>
      <c r="F12" s="163">
        <f>SUM(F10:F11)</f>
        <v>8533775</v>
      </c>
      <c r="G12" s="164"/>
      <c r="H12" s="164"/>
    </row>
    <row r="13" spans="2:8" s="155" customFormat="1" x14ac:dyDescent="0.25">
      <c r="B13" s="49" t="s">
        <v>61</v>
      </c>
      <c r="C13" s="161">
        <v>4</v>
      </c>
      <c r="D13" s="162">
        <v>8765639</v>
      </c>
      <c r="F13" s="162">
        <v>2258234</v>
      </c>
      <c r="G13" s="162"/>
      <c r="H13" s="162"/>
    </row>
    <row r="14" spans="2:8" s="155" customFormat="1" x14ac:dyDescent="0.25">
      <c r="B14" s="49" t="s">
        <v>62</v>
      </c>
      <c r="C14" s="161">
        <v>4</v>
      </c>
      <c r="D14" s="162">
        <v>-4777735</v>
      </c>
      <c r="F14" s="162">
        <v>-209764</v>
      </c>
      <c r="G14" s="162"/>
      <c r="H14" s="162"/>
    </row>
    <row r="15" spans="2:8" s="155" customFormat="1" ht="24" x14ac:dyDescent="0.25">
      <c r="B15" s="49" t="s">
        <v>63</v>
      </c>
      <c r="C15" s="161"/>
      <c r="D15" s="162">
        <v>32834</v>
      </c>
      <c r="F15" s="162">
        <v>30608</v>
      </c>
      <c r="G15" s="162"/>
      <c r="H15" s="162"/>
    </row>
    <row r="16" spans="2:8" s="155" customFormat="1" x14ac:dyDescent="0.25">
      <c r="B16" s="49" t="s">
        <v>64</v>
      </c>
      <c r="C16" s="161"/>
      <c r="D16" s="162">
        <v>29491</v>
      </c>
      <c r="F16" s="162">
        <v>22875</v>
      </c>
      <c r="G16" s="162"/>
      <c r="H16" s="162"/>
    </row>
    <row r="17" spans="2:16" s="155" customFormat="1" x14ac:dyDescent="0.25">
      <c r="B17" s="48" t="s">
        <v>65</v>
      </c>
      <c r="C17" s="161"/>
      <c r="D17" s="163">
        <f>SUM(D12:D16)</f>
        <v>12676200</v>
      </c>
      <c r="E17" s="109"/>
      <c r="F17" s="163">
        <f>SUM(F12:F16)</f>
        <v>10635728</v>
      </c>
      <c r="G17" s="164"/>
      <c r="H17" s="164"/>
    </row>
    <row r="18" spans="2:16" s="155" customFormat="1" ht="24" x14ac:dyDescent="0.25">
      <c r="B18" s="49" t="s">
        <v>66</v>
      </c>
      <c r="C18" s="161">
        <v>11</v>
      </c>
      <c r="D18" s="162">
        <v>-4401317</v>
      </c>
      <c r="F18" s="162">
        <v>-6182361</v>
      </c>
      <c r="G18" s="162"/>
      <c r="H18" s="162"/>
    </row>
    <row r="19" spans="2:16" s="155" customFormat="1" ht="24" x14ac:dyDescent="0.25">
      <c r="B19" s="49" t="s">
        <v>67</v>
      </c>
      <c r="C19" s="161">
        <v>11</v>
      </c>
      <c r="D19" s="162">
        <v>786540</v>
      </c>
      <c r="F19" s="162">
        <v>-526040</v>
      </c>
      <c r="G19" s="162"/>
      <c r="H19" s="162"/>
    </row>
    <row r="20" spans="2:16" s="155" customFormat="1" x14ac:dyDescent="0.25">
      <c r="B20" s="48" t="s">
        <v>68</v>
      </c>
      <c r="C20" s="161">
        <v>11</v>
      </c>
      <c r="D20" s="163">
        <f>SUM(D18:D19)</f>
        <v>-3614777</v>
      </c>
      <c r="E20" s="109"/>
      <c r="F20" s="163">
        <f>SUM(F18:F19)</f>
        <v>-6708401</v>
      </c>
      <c r="G20" s="164"/>
      <c r="H20" s="164"/>
    </row>
    <row r="21" spans="2:16" s="155" customFormat="1" ht="36" x14ac:dyDescent="0.25">
      <c r="B21" s="82" t="s">
        <v>75</v>
      </c>
      <c r="C21" s="161"/>
      <c r="D21" s="162">
        <v>0</v>
      </c>
      <c r="F21" s="162">
        <v>0</v>
      </c>
      <c r="G21" s="162"/>
      <c r="H21" s="162"/>
      <c r="J21" s="162"/>
      <c r="L21" s="162"/>
      <c r="N21" s="162"/>
      <c r="P21" s="162"/>
    </row>
    <row r="22" spans="2:16" s="155" customFormat="1" x14ac:dyDescent="0.25">
      <c r="B22" s="111" t="s">
        <v>69</v>
      </c>
      <c r="C22" s="161">
        <v>12</v>
      </c>
      <c r="D22" s="162">
        <v>-2552405</v>
      </c>
      <c r="F22" s="162">
        <v>-429257</v>
      </c>
      <c r="G22" s="162"/>
      <c r="H22" s="162"/>
    </row>
    <row r="23" spans="2:16" s="155" customFormat="1" x14ac:dyDescent="0.25">
      <c r="B23" s="111" t="s">
        <v>70</v>
      </c>
      <c r="C23" s="161"/>
      <c r="D23" s="162">
        <v>0</v>
      </c>
      <c r="F23" s="162">
        <v>0</v>
      </c>
      <c r="G23" s="162"/>
      <c r="H23" s="162"/>
    </row>
    <row r="24" spans="2:16" s="155" customFormat="1" x14ac:dyDescent="0.25">
      <c r="B24" s="138" t="s">
        <v>71</v>
      </c>
      <c r="C24" s="161">
        <v>13</v>
      </c>
      <c r="D24" s="162">
        <v>-1068139</v>
      </c>
      <c r="F24" s="162">
        <v>-609863</v>
      </c>
      <c r="G24" s="162"/>
      <c r="H24" s="162"/>
    </row>
    <row r="25" spans="2:16" s="155" customFormat="1" x14ac:dyDescent="0.25">
      <c r="B25" s="51" t="s">
        <v>72</v>
      </c>
      <c r="C25" s="161"/>
      <c r="D25" s="163">
        <f>SUM(D17,D20:D24)</f>
        <v>5440879</v>
      </c>
      <c r="E25" s="109"/>
      <c r="F25" s="163">
        <f>SUM(F17,F20:F24)</f>
        <v>2888207</v>
      </c>
      <c r="G25" s="164"/>
      <c r="H25" s="164"/>
    </row>
    <row r="26" spans="2:16" s="155" customFormat="1" x14ac:dyDescent="0.25">
      <c r="B26" s="138" t="s">
        <v>73</v>
      </c>
      <c r="C26" s="161"/>
      <c r="D26" s="162">
        <v>-1088176</v>
      </c>
      <c r="F26" s="162">
        <v>-577641</v>
      </c>
      <c r="G26" s="162"/>
      <c r="H26" s="162"/>
    </row>
    <row r="27" spans="2:16" s="155" customFormat="1" x14ac:dyDescent="0.25">
      <c r="B27" s="47" t="s">
        <v>74</v>
      </c>
      <c r="C27" s="161"/>
      <c r="D27" s="163">
        <f>SUM(D25:D26)</f>
        <v>4352703</v>
      </c>
      <c r="E27" s="109"/>
      <c r="F27" s="163">
        <f>SUM(F25:F26)</f>
        <v>2310566</v>
      </c>
      <c r="G27" s="164"/>
      <c r="H27" s="164"/>
    </row>
    <row r="28" spans="2:16" s="155" customFormat="1" x14ac:dyDescent="0.25">
      <c r="B28" s="47" t="s">
        <v>76</v>
      </c>
      <c r="C28" s="109"/>
      <c r="D28" s="165"/>
      <c r="E28" s="109"/>
      <c r="F28" s="164"/>
      <c r="G28" s="164"/>
      <c r="H28" s="164"/>
    </row>
    <row r="29" spans="2:16" s="155" customFormat="1" ht="48" x14ac:dyDescent="0.25">
      <c r="B29" s="50" t="s">
        <v>77</v>
      </c>
      <c r="F29" s="162"/>
      <c r="G29" s="162"/>
      <c r="H29" s="162"/>
    </row>
    <row r="30" spans="2:16" s="155" customFormat="1" ht="24" x14ac:dyDescent="0.25">
      <c r="B30" s="49" t="s">
        <v>78</v>
      </c>
      <c r="F30" s="162"/>
      <c r="G30" s="162"/>
      <c r="H30" s="162"/>
    </row>
    <row r="31" spans="2:16" s="155" customFormat="1" ht="36" x14ac:dyDescent="0.25">
      <c r="B31" s="166" t="s">
        <v>170</v>
      </c>
      <c r="D31" s="167">
        <v>30361</v>
      </c>
      <c r="E31" s="162"/>
      <c r="F31" s="162">
        <v>-26471</v>
      </c>
      <c r="G31" s="162"/>
      <c r="H31" s="162"/>
    </row>
    <row r="32" spans="2:16" s="155" customFormat="1" ht="48" x14ac:dyDescent="0.25">
      <c r="B32" s="166" t="s">
        <v>185</v>
      </c>
      <c r="D32" s="162">
        <v>15908</v>
      </c>
      <c r="F32" s="162">
        <v>174846</v>
      </c>
      <c r="G32" s="162"/>
      <c r="H32" s="162"/>
    </row>
    <row r="33" spans="2:8" s="155" customFormat="1" ht="36" x14ac:dyDescent="0.25">
      <c r="B33" s="168" t="s">
        <v>79</v>
      </c>
      <c r="D33" s="169">
        <f>SUM(D31:D32)</f>
        <v>46269</v>
      </c>
      <c r="F33" s="169">
        <f>SUM(F31:F32)</f>
        <v>148375</v>
      </c>
      <c r="G33" s="162"/>
      <c r="H33" s="162"/>
    </row>
    <row r="34" spans="2:8" s="155" customFormat="1" x14ac:dyDescent="0.25">
      <c r="B34" s="47" t="s">
        <v>80</v>
      </c>
      <c r="C34" s="109"/>
      <c r="D34" s="163">
        <f>D33</f>
        <v>46269</v>
      </c>
      <c r="E34" s="109"/>
      <c r="F34" s="163">
        <f>F33</f>
        <v>148375</v>
      </c>
      <c r="G34" s="164"/>
      <c r="H34" s="164"/>
    </row>
    <row r="35" spans="2:8" s="155" customFormat="1" ht="12.6" thickBot="1" x14ac:dyDescent="0.3">
      <c r="B35" s="47" t="s">
        <v>81</v>
      </c>
      <c r="C35" s="109"/>
      <c r="D35" s="170">
        <f>D27+D34</f>
        <v>4398972</v>
      </c>
      <c r="E35" s="109"/>
      <c r="F35" s="170">
        <f>F27+F34</f>
        <v>2458941</v>
      </c>
      <c r="G35" s="164"/>
      <c r="H35" s="164"/>
    </row>
    <row r="36" spans="2:8" s="155" customFormat="1" ht="12.6" thickTop="1" x14ac:dyDescent="0.25"/>
    <row r="37" spans="2:8" s="155" customFormat="1" x14ac:dyDescent="0.25">
      <c r="B37" s="75" t="str">
        <f>BS!B39</f>
        <v>Данная финансовая отчетность была утверждена руководством Компании 14 августа 2025 года,</v>
      </c>
    </row>
    <row r="38" spans="2:8" s="155" customFormat="1" x14ac:dyDescent="0.25">
      <c r="B38" s="77" t="s">
        <v>126</v>
      </c>
      <c r="C38" s="80"/>
    </row>
    <row r="39" spans="2:8" s="155" customFormat="1" x14ac:dyDescent="0.25">
      <c r="B39" s="80"/>
      <c r="C39" s="80"/>
    </row>
    <row r="40" spans="2:8" s="155" customFormat="1" x14ac:dyDescent="0.25">
      <c r="B40" s="77"/>
      <c r="E40" s="171"/>
    </row>
    <row r="41" spans="2:8" s="155" customFormat="1" x14ac:dyDescent="0.25">
      <c r="B41" s="79" t="s">
        <v>122</v>
      </c>
    </row>
    <row r="42" spans="2:8" s="155" customFormat="1" x14ac:dyDescent="0.25">
      <c r="B42" s="80" t="str">
        <f>BS!B43</f>
        <v>Абишев Джан Булатович</v>
      </c>
      <c r="C42" s="80" t="s">
        <v>123</v>
      </c>
    </row>
    <row r="43" spans="2:8" s="155" customFormat="1" x14ac:dyDescent="0.25">
      <c r="B43" s="80"/>
    </row>
  </sheetData>
  <mergeCells count="2">
    <mergeCell ref="C5:C6"/>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R62"/>
  <sheetViews>
    <sheetView topLeftCell="A42" zoomScale="115" zoomScaleNormal="115" workbookViewId="0">
      <selection activeCell="C56" sqref="A1:XFD1048576"/>
    </sheetView>
  </sheetViews>
  <sheetFormatPr defaultRowHeight="11.4" x14ac:dyDescent="0.2"/>
  <cols>
    <col min="1" max="1" width="13.85546875" style="108" customWidth="1"/>
    <col min="2" max="2" width="40.7109375" style="108" customWidth="1"/>
    <col min="3" max="3" width="8.140625" style="108" customWidth="1"/>
    <col min="4" max="4" width="15.28515625" style="108" customWidth="1"/>
    <col min="5" max="5" width="3.42578125" style="108" customWidth="1"/>
    <col min="6" max="6" width="14" style="108" customWidth="1"/>
    <col min="7" max="7" width="3.140625" style="108" customWidth="1"/>
    <col min="8" max="8" width="18.140625" style="108" customWidth="1"/>
    <col min="9" max="9" width="4.7109375" style="108" customWidth="1"/>
    <col min="10" max="10" width="16" style="108" customWidth="1"/>
    <col min="11" max="11" width="4.85546875" style="108" customWidth="1"/>
    <col min="12" max="12" width="12.85546875" style="108" customWidth="1"/>
    <col min="13" max="13" width="4" style="108" customWidth="1"/>
    <col min="14" max="14" width="17.42578125" style="108" customWidth="1"/>
    <col min="15" max="15" width="4" style="108" customWidth="1"/>
    <col min="16" max="16" width="15.42578125" style="108" customWidth="1"/>
    <col min="17" max="17" width="9.140625" style="108"/>
    <col min="18" max="18" width="15.28515625" style="108" customWidth="1"/>
    <col min="19" max="16384" width="9.140625" style="108"/>
  </cols>
  <sheetData>
    <row r="1" spans="2:18" x14ac:dyDescent="0.2">
      <c r="B1" s="107" t="s">
        <v>144</v>
      </c>
      <c r="C1" s="107"/>
      <c r="D1" s="107"/>
    </row>
    <row r="2" spans="2:18" x14ac:dyDescent="0.2">
      <c r="B2" s="109" t="s">
        <v>193</v>
      </c>
      <c r="C2" s="109"/>
    </row>
    <row r="5" spans="2:18" ht="12.75" customHeight="1" x14ac:dyDescent="0.25">
      <c r="D5" s="110" t="s">
        <v>49</v>
      </c>
      <c r="E5" s="111"/>
      <c r="F5" s="110" t="s">
        <v>88</v>
      </c>
      <c r="G5" s="111"/>
      <c r="H5" s="110" t="s">
        <v>51</v>
      </c>
      <c r="I5" s="111"/>
      <c r="J5" s="110" t="s">
        <v>147</v>
      </c>
      <c r="K5" s="112"/>
      <c r="L5" s="110" t="s">
        <v>151</v>
      </c>
      <c r="M5" s="111"/>
      <c r="N5" s="110" t="s">
        <v>142</v>
      </c>
      <c r="O5" s="111"/>
      <c r="P5" s="110" t="s">
        <v>143</v>
      </c>
    </row>
    <row r="6" spans="2:18" ht="72.599999999999994" customHeight="1" x14ac:dyDescent="0.25">
      <c r="B6" s="113" t="s">
        <v>124</v>
      </c>
      <c r="C6" s="93" t="s">
        <v>125</v>
      </c>
      <c r="D6" s="114"/>
      <c r="E6" s="111"/>
      <c r="F6" s="114"/>
      <c r="G6" s="111"/>
      <c r="H6" s="114"/>
      <c r="I6" s="111"/>
      <c r="J6" s="114"/>
      <c r="K6" s="112"/>
      <c r="L6" s="114"/>
      <c r="M6" s="111"/>
      <c r="N6" s="114"/>
      <c r="O6" s="111"/>
      <c r="P6" s="114"/>
    </row>
    <row r="7" spans="2:18" ht="12" x14ac:dyDescent="0.25">
      <c r="B7" s="47" t="s">
        <v>154</v>
      </c>
      <c r="C7" s="115"/>
      <c r="D7" s="116">
        <v>2600000</v>
      </c>
      <c r="E7" s="117"/>
      <c r="F7" s="116">
        <v>1342511</v>
      </c>
      <c r="G7" s="117"/>
      <c r="H7" s="116">
        <v>-566895</v>
      </c>
      <c r="I7" s="117"/>
      <c r="J7" s="116">
        <v>1070</v>
      </c>
      <c r="K7" s="118"/>
      <c r="L7" s="116">
        <v>0</v>
      </c>
      <c r="M7" s="117"/>
      <c r="N7" s="116">
        <v>4724020</v>
      </c>
      <c r="O7" s="117"/>
      <c r="P7" s="116">
        <v>8100706</v>
      </c>
      <c r="R7" s="119"/>
    </row>
    <row r="8" spans="2:18" x14ac:dyDescent="0.2">
      <c r="B8" s="48" t="s">
        <v>82</v>
      </c>
      <c r="C8" s="48"/>
      <c r="D8" s="117"/>
      <c r="E8" s="117"/>
      <c r="F8" s="117"/>
      <c r="G8" s="117"/>
      <c r="H8" s="117"/>
      <c r="I8" s="117"/>
      <c r="J8" s="117"/>
      <c r="K8" s="117"/>
      <c r="L8" s="117"/>
      <c r="M8" s="117"/>
      <c r="N8" s="117"/>
      <c r="O8" s="117"/>
      <c r="P8" s="117"/>
    </row>
    <row r="9" spans="2:18" ht="12" x14ac:dyDescent="0.25">
      <c r="B9" s="49" t="s">
        <v>127</v>
      </c>
      <c r="C9" s="49"/>
      <c r="D9" s="117">
        <v>0</v>
      </c>
      <c r="E9" s="117"/>
      <c r="F9" s="117">
        <v>0</v>
      </c>
      <c r="G9" s="117"/>
      <c r="H9" s="117">
        <v>0</v>
      </c>
      <c r="I9" s="117"/>
      <c r="J9" s="117">
        <v>0</v>
      </c>
      <c r="K9" s="117"/>
      <c r="L9" s="117">
        <v>0</v>
      </c>
      <c r="M9" s="117"/>
      <c r="N9" s="117">
        <v>2310566</v>
      </c>
      <c r="O9" s="117"/>
      <c r="P9" s="117">
        <f>SUM(D9:O9)</f>
        <v>2310566</v>
      </c>
      <c r="Q9" s="120"/>
      <c r="R9" s="121"/>
    </row>
    <row r="10" spans="2:18" ht="12" x14ac:dyDescent="0.25">
      <c r="B10" s="48" t="s">
        <v>76</v>
      </c>
      <c r="C10" s="48"/>
      <c r="D10" s="118"/>
      <c r="E10" s="118"/>
      <c r="F10" s="118"/>
      <c r="G10" s="118"/>
      <c r="H10" s="118"/>
      <c r="I10" s="118"/>
      <c r="J10" s="118"/>
      <c r="K10" s="118"/>
      <c r="L10" s="118"/>
      <c r="M10" s="118"/>
      <c r="N10" s="118"/>
      <c r="O10" s="118"/>
      <c r="P10" s="118"/>
    </row>
    <row r="11" spans="2:18" ht="52.2" customHeight="1" x14ac:dyDescent="0.2">
      <c r="B11" s="50" t="s">
        <v>77</v>
      </c>
      <c r="C11" s="50"/>
      <c r="D11" s="117"/>
      <c r="E11" s="117"/>
      <c r="F11" s="117"/>
      <c r="G11" s="117"/>
      <c r="H11" s="117"/>
      <c r="I11" s="117"/>
      <c r="J11" s="117"/>
      <c r="K11" s="117"/>
      <c r="L11" s="117"/>
      <c r="M11" s="117"/>
      <c r="N11" s="117"/>
      <c r="O11" s="117"/>
      <c r="P11" s="117"/>
    </row>
    <row r="12" spans="2:18" ht="12" x14ac:dyDescent="0.2">
      <c r="B12" s="50" t="s">
        <v>83</v>
      </c>
      <c r="C12" s="50"/>
      <c r="D12" s="117">
        <v>0</v>
      </c>
      <c r="E12" s="117"/>
      <c r="F12" s="117">
        <v>0</v>
      </c>
      <c r="G12" s="117"/>
      <c r="H12" s="117">
        <v>0</v>
      </c>
      <c r="I12" s="117"/>
      <c r="J12" s="117">
        <v>0</v>
      </c>
      <c r="K12" s="117"/>
      <c r="L12" s="117">
        <v>0</v>
      </c>
      <c r="M12" s="117"/>
      <c r="N12" s="117">
        <v>0</v>
      </c>
      <c r="O12" s="117"/>
      <c r="P12" s="117">
        <f t="shared" ref="P12:P14" si="0">SUM(D12:O12)</f>
        <v>0</v>
      </c>
    </row>
    <row r="13" spans="2:18" ht="36" x14ac:dyDescent="0.25">
      <c r="B13" s="49" t="s">
        <v>171</v>
      </c>
      <c r="C13" s="49"/>
      <c r="D13" s="117">
        <v>0</v>
      </c>
      <c r="E13" s="117"/>
      <c r="F13" s="117">
        <v>0</v>
      </c>
      <c r="G13" s="117"/>
      <c r="H13" s="117">
        <v>-26471</v>
      </c>
      <c r="I13" s="117"/>
      <c r="J13" s="117">
        <v>0</v>
      </c>
      <c r="K13" s="117"/>
      <c r="L13" s="117">
        <v>0</v>
      </c>
      <c r="M13" s="117"/>
      <c r="N13" s="117">
        <v>0</v>
      </c>
      <c r="O13" s="117"/>
      <c r="P13" s="117">
        <f t="shared" si="0"/>
        <v>-26471</v>
      </c>
      <c r="Q13" s="120"/>
      <c r="R13" s="121"/>
    </row>
    <row r="14" spans="2:18" ht="52.2" customHeight="1" x14ac:dyDescent="0.25">
      <c r="B14" s="49" t="s">
        <v>186</v>
      </c>
      <c r="C14" s="49"/>
      <c r="D14" s="117">
        <v>0</v>
      </c>
      <c r="E14" s="117"/>
      <c r="F14" s="117">
        <v>0</v>
      </c>
      <c r="G14" s="117"/>
      <c r="H14" s="117">
        <v>174846</v>
      </c>
      <c r="I14" s="117"/>
      <c r="J14" s="117">
        <v>0</v>
      </c>
      <c r="K14" s="117"/>
      <c r="L14" s="117">
        <v>0</v>
      </c>
      <c r="M14" s="117"/>
      <c r="N14" s="117">
        <v>0</v>
      </c>
      <c r="O14" s="117"/>
      <c r="P14" s="117">
        <f t="shared" si="0"/>
        <v>174846</v>
      </c>
      <c r="Q14" s="120"/>
      <c r="R14" s="121"/>
    </row>
    <row r="15" spans="2:18" ht="48" x14ac:dyDescent="0.2">
      <c r="B15" s="50" t="s">
        <v>84</v>
      </c>
      <c r="C15" s="50"/>
      <c r="D15" s="122">
        <f>SUM(D12:D14)</f>
        <v>0</v>
      </c>
      <c r="E15" s="117"/>
      <c r="F15" s="122">
        <f>SUM(F12:F14)</f>
        <v>0</v>
      </c>
      <c r="G15" s="117"/>
      <c r="H15" s="122">
        <f>SUM(H12:H14)</f>
        <v>148375</v>
      </c>
      <c r="I15" s="117"/>
      <c r="J15" s="122">
        <f>SUM(J12:J14)</f>
        <v>0</v>
      </c>
      <c r="K15" s="123"/>
      <c r="L15" s="122">
        <f>SUM(L12:L14)</f>
        <v>0</v>
      </c>
      <c r="M15" s="117"/>
      <c r="N15" s="122">
        <f>SUM(N12:N14)</f>
        <v>0</v>
      </c>
      <c r="O15" s="117"/>
      <c r="P15" s="122">
        <f>SUM(P12:P14)</f>
        <v>148375</v>
      </c>
    </row>
    <row r="16" spans="2:18" ht="12" x14ac:dyDescent="0.25">
      <c r="B16" s="47" t="s">
        <v>85</v>
      </c>
      <c r="C16" s="47"/>
      <c r="D16" s="116">
        <f>D9+D15</f>
        <v>0</v>
      </c>
      <c r="E16" s="118"/>
      <c r="F16" s="116">
        <f>F9+F15</f>
        <v>0</v>
      </c>
      <c r="G16" s="118"/>
      <c r="H16" s="116">
        <f>H9+H15</f>
        <v>148375</v>
      </c>
      <c r="I16" s="118"/>
      <c r="J16" s="116">
        <f>J9+J15</f>
        <v>0</v>
      </c>
      <c r="K16" s="118"/>
      <c r="L16" s="116">
        <f>L9+L15</f>
        <v>0</v>
      </c>
      <c r="M16" s="118"/>
      <c r="N16" s="116">
        <f>N9+N15</f>
        <v>2310566</v>
      </c>
      <c r="O16" s="118"/>
      <c r="P16" s="116">
        <f>P9+P15</f>
        <v>2458941</v>
      </c>
    </row>
    <row r="17" spans="2:18" ht="45.6" x14ac:dyDescent="0.2">
      <c r="B17" s="52" t="s">
        <v>86</v>
      </c>
      <c r="C17" s="52"/>
      <c r="D17" s="117"/>
      <c r="E17" s="117"/>
      <c r="F17" s="117"/>
      <c r="G17" s="117"/>
      <c r="H17" s="117"/>
      <c r="I17" s="117"/>
      <c r="J17" s="117"/>
      <c r="K17" s="117"/>
      <c r="L17" s="117"/>
      <c r="M17" s="117"/>
      <c r="N17" s="117"/>
      <c r="O17" s="117"/>
      <c r="P17" s="117"/>
    </row>
    <row r="18" spans="2:18" ht="12" x14ac:dyDescent="0.25">
      <c r="B18" s="82" t="s">
        <v>156</v>
      </c>
      <c r="C18" s="52"/>
      <c r="D18" s="85">
        <v>0</v>
      </c>
      <c r="E18" s="85"/>
      <c r="F18" s="85">
        <v>0</v>
      </c>
      <c r="G18" s="117"/>
      <c r="H18" s="117">
        <v>0</v>
      </c>
      <c r="I18" s="117"/>
      <c r="J18" s="117">
        <v>0</v>
      </c>
      <c r="K18" s="117"/>
      <c r="L18" s="117">
        <v>0</v>
      </c>
      <c r="M18" s="117"/>
      <c r="N18" s="117">
        <v>0</v>
      </c>
      <c r="O18" s="117"/>
      <c r="P18" s="117">
        <f>SUM(D18:N18)</f>
        <v>0</v>
      </c>
    </row>
    <row r="19" spans="2:18" ht="12" x14ac:dyDescent="0.25">
      <c r="B19" s="82" t="s">
        <v>148</v>
      </c>
      <c r="C19" s="124"/>
      <c r="D19" s="117">
        <v>0</v>
      </c>
      <c r="E19" s="117"/>
      <c r="F19" s="117">
        <v>0</v>
      </c>
      <c r="G19" s="117"/>
      <c r="H19" s="117">
        <v>0</v>
      </c>
      <c r="I19" s="117"/>
      <c r="J19" s="117">
        <v>0</v>
      </c>
      <c r="K19" s="117"/>
      <c r="L19" s="117">
        <v>0</v>
      </c>
      <c r="M19" s="117"/>
      <c r="N19" s="117">
        <v>0</v>
      </c>
      <c r="O19" s="117"/>
      <c r="P19" s="117">
        <f>SUM(D19:N19)</f>
        <v>0</v>
      </c>
    </row>
    <row r="20" spans="2:18" ht="12" x14ac:dyDescent="0.25">
      <c r="B20" s="49" t="s">
        <v>149</v>
      </c>
      <c r="C20" s="73"/>
      <c r="D20" s="117">
        <v>0</v>
      </c>
      <c r="E20" s="117"/>
      <c r="F20" s="117">
        <v>0</v>
      </c>
      <c r="G20" s="117"/>
      <c r="H20" s="117">
        <v>0</v>
      </c>
      <c r="I20" s="117"/>
      <c r="J20" s="85">
        <v>33479</v>
      </c>
      <c r="K20" s="117"/>
      <c r="L20" s="117">
        <v>0</v>
      </c>
      <c r="M20" s="117"/>
      <c r="N20" s="117">
        <f>-J20</f>
        <v>-33479</v>
      </c>
      <c r="O20" s="117"/>
      <c r="P20" s="117">
        <f>SUM(D20:N20)</f>
        <v>0</v>
      </c>
    </row>
    <row r="21" spans="2:18" ht="24" x14ac:dyDescent="0.25">
      <c r="B21" s="49" t="s">
        <v>152</v>
      </c>
      <c r="C21" s="73"/>
      <c r="D21" s="117">
        <v>0</v>
      </c>
      <c r="E21" s="117"/>
      <c r="F21" s="117">
        <v>0</v>
      </c>
      <c r="G21" s="117"/>
      <c r="H21" s="117">
        <v>0</v>
      </c>
      <c r="I21" s="117"/>
      <c r="J21" s="85">
        <v>0</v>
      </c>
      <c r="K21" s="117"/>
      <c r="L21" s="117">
        <v>0</v>
      </c>
      <c r="M21" s="117"/>
      <c r="N21" s="117">
        <v>0</v>
      </c>
      <c r="O21" s="117"/>
      <c r="P21" s="117">
        <f>SUM(D21:N21)</f>
        <v>0</v>
      </c>
    </row>
    <row r="22" spans="2:18" x14ac:dyDescent="0.2">
      <c r="B22" s="47" t="s">
        <v>128</v>
      </c>
      <c r="C22" s="47"/>
      <c r="D22" s="117">
        <f>SUM(D18:D21)</f>
        <v>0</v>
      </c>
      <c r="E22" s="117"/>
      <c r="F22" s="117">
        <f>SUM(F18:F21)</f>
        <v>0</v>
      </c>
      <c r="G22" s="117"/>
      <c r="H22" s="117">
        <f>SUM(H18:H21)</f>
        <v>0</v>
      </c>
      <c r="I22" s="117"/>
      <c r="J22" s="117">
        <f>SUM(J18:J21)</f>
        <v>33479</v>
      </c>
      <c r="K22" s="117"/>
      <c r="L22" s="117">
        <f>SUM(L18:L21)</f>
        <v>0</v>
      </c>
      <c r="M22" s="117"/>
      <c r="N22" s="117">
        <f>SUM(N18:N21)</f>
        <v>-33479</v>
      </c>
      <c r="O22" s="117"/>
      <c r="P22" s="117">
        <f>SUM(P18:P21)</f>
        <v>0</v>
      </c>
    </row>
    <row r="23" spans="2:18" ht="12.6" thickBot="1" x14ac:dyDescent="0.3">
      <c r="B23" s="51" t="s">
        <v>194</v>
      </c>
      <c r="C23" s="51"/>
      <c r="D23" s="125">
        <f>SUM(D7,D16,D22)</f>
        <v>2600000</v>
      </c>
      <c r="E23" s="120"/>
      <c r="F23" s="125">
        <f>SUM(F7,F16,F22)</f>
        <v>1342511</v>
      </c>
      <c r="G23" s="120"/>
      <c r="H23" s="125">
        <f>SUM(H7,H16,H22)</f>
        <v>-418520</v>
      </c>
      <c r="I23" s="120"/>
      <c r="J23" s="125">
        <f>SUM(J7,J16,J22)</f>
        <v>34549</v>
      </c>
      <c r="K23" s="118"/>
      <c r="L23" s="125">
        <f>SUM(L7,L16,L22)</f>
        <v>0</v>
      </c>
      <c r="M23" s="120"/>
      <c r="N23" s="125">
        <f>SUM(N7,N16,N22)</f>
        <v>7001107</v>
      </c>
      <c r="O23" s="120"/>
      <c r="P23" s="125">
        <f>SUM(P7,P16,P22)</f>
        <v>10559647</v>
      </c>
      <c r="Q23" s="120"/>
    </row>
    <row r="24" spans="2:18" ht="12" hidden="1" thickTop="1" x14ac:dyDescent="0.2">
      <c r="B24" s="119" t="s">
        <v>2</v>
      </c>
      <c r="C24" s="119"/>
      <c r="D24" s="121">
        <f>BS!F29-D23</f>
        <v>5314670</v>
      </c>
      <c r="E24" s="117"/>
      <c r="F24" s="121">
        <f>BS!F30-F23</f>
        <v>-1334600</v>
      </c>
      <c r="G24" s="117"/>
      <c r="H24" s="121">
        <f>BS!F31-H23</f>
        <v>169093</v>
      </c>
      <c r="I24" s="117"/>
      <c r="J24" s="121">
        <f>BS!F32-J23</f>
        <v>0</v>
      </c>
      <c r="K24" s="121"/>
      <c r="L24" s="121"/>
      <c r="M24" s="117"/>
      <c r="N24" s="121">
        <f>BS!F34-N23</f>
        <v>3664975</v>
      </c>
      <c r="O24" s="117"/>
      <c r="P24" s="121">
        <f>BS!F35-P23</f>
        <v>7814138</v>
      </c>
    </row>
    <row r="25" spans="2:18" ht="12" thickTop="1" x14ac:dyDescent="0.2">
      <c r="B25" s="119"/>
      <c r="C25" s="119"/>
      <c r="D25" s="121"/>
      <c r="E25" s="117"/>
      <c r="F25" s="121"/>
      <c r="G25" s="117"/>
      <c r="H25" s="121"/>
      <c r="I25" s="117"/>
      <c r="J25" s="121"/>
      <c r="K25" s="121"/>
      <c r="L25" s="121"/>
      <c r="M25" s="117"/>
      <c r="N25" s="121"/>
      <c r="O25" s="117"/>
      <c r="P25" s="121"/>
    </row>
    <row r="26" spans="2:18" x14ac:dyDescent="0.2">
      <c r="B26" s="119"/>
      <c r="C26" s="119"/>
      <c r="D26" s="121"/>
      <c r="E26" s="117"/>
      <c r="F26" s="121"/>
      <c r="G26" s="117"/>
      <c r="H26" s="121"/>
      <c r="I26" s="117"/>
      <c r="J26" s="121"/>
      <c r="K26" s="121"/>
      <c r="L26" s="121"/>
      <c r="M26" s="117"/>
      <c r="N26" s="121"/>
      <c r="O26" s="117"/>
      <c r="P26" s="121"/>
    </row>
    <row r="27" spans="2:18" x14ac:dyDescent="0.2">
      <c r="B27" s="119"/>
      <c r="C27" s="119"/>
      <c r="D27" s="121"/>
      <c r="E27" s="117"/>
      <c r="F27" s="121"/>
      <c r="G27" s="117"/>
      <c r="H27" s="121"/>
      <c r="I27" s="117"/>
      <c r="J27" s="121"/>
      <c r="K27" s="121"/>
      <c r="L27" s="121"/>
      <c r="M27" s="117"/>
      <c r="N27" s="121"/>
      <c r="O27" s="117"/>
      <c r="P27" s="121"/>
    </row>
    <row r="29" spans="2:18" ht="16.5" customHeight="1" x14ac:dyDescent="0.25">
      <c r="D29" s="110" t="s">
        <v>49</v>
      </c>
      <c r="E29" s="111"/>
      <c r="F29" s="110" t="s">
        <v>88</v>
      </c>
      <c r="G29" s="111"/>
      <c r="H29" s="110" t="s">
        <v>51</v>
      </c>
      <c r="I29" s="111"/>
      <c r="J29" s="110" t="s">
        <v>147</v>
      </c>
      <c r="K29" s="112"/>
      <c r="L29" s="110" t="s">
        <v>151</v>
      </c>
      <c r="M29" s="111"/>
      <c r="N29" s="110" t="s">
        <v>89</v>
      </c>
      <c r="O29" s="111"/>
      <c r="P29" s="110" t="s">
        <v>54</v>
      </c>
    </row>
    <row r="30" spans="2:18" ht="67.95" customHeight="1" x14ac:dyDescent="0.25">
      <c r="D30" s="114"/>
      <c r="E30" s="111"/>
      <c r="F30" s="114"/>
      <c r="G30" s="111"/>
      <c r="H30" s="114"/>
      <c r="I30" s="111"/>
      <c r="J30" s="114"/>
      <c r="K30" s="112"/>
      <c r="L30" s="114"/>
      <c r="M30" s="111"/>
      <c r="N30" s="114"/>
      <c r="O30" s="111"/>
      <c r="P30" s="114"/>
    </row>
    <row r="31" spans="2:18" ht="12" x14ac:dyDescent="0.25">
      <c r="B31" s="47" t="s">
        <v>166</v>
      </c>
      <c r="C31" s="47"/>
      <c r="D31" s="116">
        <v>7914670</v>
      </c>
      <c r="E31" s="117"/>
      <c r="F31" s="116">
        <v>7911</v>
      </c>
      <c r="G31" s="117"/>
      <c r="H31" s="116">
        <v>-249427</v>
      </c>
      <c r="I31" s="117"/>
      <c r="J31" s="116">
        <v>34549</v>
      </c>
      <c r="K31" s="118"/>
      <c r="L31" s="116">
        <v>0</v>
      </c>
      <c r="M31" s="117"/>
      <c r="N31" s="116">
        <v>10666082</v>
      </c>
      <c r="O31" s="117"/>
      <c r="P31" s="116">
        <f>SUM(D31:N31)</f>
        <v>18373785</v>
      </c>
      <c r="Q31" s="120"/>
      <c r="R31" s="121">
        <f>BS!F35-P31</f>
        <v>0</v>
      </c>
    </row>
    <row r="32" spans="2:18" ht="12" x14ac:dyDescent="0.25">
      <c r="B32" s="92" t="s">
        <v>196</v>
      </c>
      <c r="C32" s="47"/>
      <c r="D32" s="118">
        <v>-54</v>
      </c>
      <c r="E32" s="117"/>
      <c r="F32" s="118">
        <v>0</v>
      </c>
      <c r="G32" s="117"/>
      <c r="H32" s="118">
        <v>0</v>
      </c>
      <c r="I32" s="117"/>
      <c r="J32" s="118">
        <v>0</v>
      </c>
      <c r="K32" s="118"/>
      <c r="L32" s="118">
        <v>0</v>
      </c>
      <c r="M32" s="117"/>
      <c r="N32" s="118">
        <v>0</v>
      </c>
      <c r="O32" s="117"/>
      <c r="P32" s="118">
        <f>SUM(D32:N32)</f>
        <v>-54</v>
      </c>
      <c r="Q32" s="120"/>
      <c r="R32" s="121"/>
    </row>
    <row r="33" spans="2:18" ht="12" x14ac:dyDescent="0.25">
      <c r="B33" s="47" t="s">
        <v>197</v>
      </c>
      <c r="C33" s="47"/>
      <c r="D33" s="116">
        <f>SUM(D31:D32)</f>
        <v>7914616</v>
      </c>
      <c r="E33" s="117"/>
      <c r="F33" s="116">
        <f>SUM(F31:F32)</f>
        <v>7911</v>
      </c>
      <c r="G33" s="117"/>
      <c r="H33" s="116">
        <f>SUM(H31:H32)</f>
        <v>-249427</v>
      </c>
      <c r="I33" s="117"/>
      <c r="J33" s="116">
        <f>SUM(J31:J32)</f>
        <v>34549</v>
      </c>
      <c r="K33" s="118"/>
      <c r="L33" s="116">
        <f>SUM(L31:L32)</f>
        <v>0</v>
      </c>
      <c r="M33" s="117"/>
      <c r="N33" s="116">
        <f>SUM(N31:N32)</f>
        <v>10666082</v>
      </c>
      <c r="O33" s="117"/>
      <c r="P33" s="116">
        <f>SUM(P31:P32)</f>
        <v>18373731</v>
      </c>
      <c r="Q33" s="120"/>
      <c r="R33" s="121"/>
    </row>
    <row r="34" spans="2:18" x14ac:dyDescent="0.2">
      <c r="B34" s="48" t="s">
        <v>82</v>
      </c>
      <c r="C34" s="48"/>
      <c r="D34" s="117"/>
      <c r="E34" s="117"/>
      <c r="F34" s="117"/>
      <c r="G34" s="117"/>
      <c r="H34" s="117"/>
      <c r="I34" s="117"/>
      <c r="J34" s="117"/>
      <c r="K34" s="117"/>
      <c r="L34" s="117"/>
      <c r="M34" s="117"/>
      <c r="N34" s="117"/>
      <c r="O34" s="117"/>
      <c r="P34" s="117"/>
    </row>
    <row r="35" spans="2:18" ht="12" x14ac:dyDescent="0.25">
      <c r="B35" s="49" t="s">
        <v>127</v>
      </c>
      <c r="C35" s="49"/>
      <c r="D35" s="117">
        <v>0</v>
      </c>
      <c r="E35" s="117"/>
      <c r="F35" s="117">
        <v>0</v>
      </c>
      <c r="G35" s="117"/>
      <c r="H35" s="117">
        <v>0</v>
      </c>
      <c r="I35" s="117"/>
      <c r="J35" s="117">
        <v>0</v>
      </c>
      <c r="K35" s="117"/>
      <c r="L35" s="117">
        <v>0</v>
      </c>
      <c r="M35" s="117"/>
      <c r="N35" s="117">
        <f>IS!D27</f>
        <v>4352703</v>
      </c>
      <c r="O35" s="117"/>
      <c r="P35" s="117">
        <f>SUM(D35:O35)</f>
        <v>4352703</v>
      </c>
      <c r="Q35" s="120"/>
      <c r="R35" s="121">
        <f>IS!D27-P35</f>
        <v>0</v>
      </c>
    </row>
    <row r="36" spans="2:18" ht="12" x14ac:dyDescent="0.25">
      <c r="B36" s="48" t="s">
        <v>76</v>
      </c>
      <c r="C36" s="48"/>
      <c r="D36" s="118"/>
      <c r="E36" s="118"/>
      <c r="F36" s="118"/>
      <c r="G36" s="118"/>
      <c r="H36" s="118"/>
      <c r="I36" s="118"/>
      <c r="J36" s="118"/>
      <c r="K36" s="118"/>
      <c r="L36" s="118"/>
      <c r="M36" s="118"/>
      <c r="N36" s="118"/>
      <c r="O36" s="118"/>
      <c r="P36" s="118"/>
      <c r="Q36" s="113"/>
    </row>
    <row r="37" spans="2:18" ht="48" x14ac:dyDescent="0.2">
      <c r="B37" s="50" t="s">
        <v>77</v>
      </c>
      <c r="C37" s="50"/>
      <c r="D37" s="117"/>
      <c r="E37" s="117"/>
      <c r="F37" s="117"/>
      <c r="G37" s="117"/>
      <c r="H37" s="117"/>
      <c r="I37" s="117"/>
      <c r="J37" s="117"/>
      <c r="K37" s="117"/>
      <c r="L37" s="117"/>
      <c r="M37" s="117"/>
      <c r="N37" s="117"/>
      <c r="O37" s="117"/>
      <c r="P37" s="117"/>
    </row>
    <row r="38" spans="2:18" ht="12" x14ac:dyDescent="0.2">
      <c r="B38" s="50" t="s">
        <v>83</v>
      </c>
      <c r="C38" s="50"/>
      <c r="D38" s="117">
        <v>0</v>
      </c>
      <c r="E38" s="117"/>
      <c r="F38" s="117">
        <v>0</v>
      </c>
      <c r="G38" s="117"/>
      <c r="H38" s="117">
        <v>0</v>
      </c>
      <c r="I38" s="117"/>
      <c r="J38" s="117">
        <v>0</v>
      </c>
      <c r="K38" s="117"/>
      <c r="L38" s="117">
        <v>0</v>
      </c>
      <c r="M38" s="117"/>
      <c r="N38" s="117">
        <f>-J38</f>
        <v>0</v>
      </c>
      <c r="O38" s="117"/>
      <c r="P38" s="117">
        <f t="shared" ref="P38:P40" si="1">SUM(D38:O38)</f>
        <v>0</v>
      </c>
    </row>
    <row r="39" spans="2:18" ht="36" x14ac:dyDescent="0.25">
      <c r="B39" s="49" t="s">
        <v>171</v>
      </c>
      <c r="C39" s="49"/>
      <c r="D39" s="117">
        <v>0</v>
      </c>
      <c r="E39" s="117"/>
      <c r="F39" s="117">
        <v>0</v>
      </c>
      <c r="G39" s="117"/>
      <c r="H39" s="117">
        <f>IS!D31</f>
        <v>30361</v>
      </c>
      <c r="I39" s="117"/>
      <c r="J39" s="117">
        <v>0</v>
      </c>
      <c r="K39" s="117"/>
      <c r="L39" s="117">
        <v>0</v>
      </c>
      <c r="M39" s="117"/>
      <c r="N39" s="117">
        <v>0</v>
      </c>
      <c r="O39" s="117"/>
      <c r="P39" s="117">
        <f t="shared" si="1"/>
        <v>30361</v>
      </c>
      <c r="Q39" s="120"/>
      <c r="R39" s="121">
        <f>IS!D31-SCE!P39</f>
        <v>0</v>
      </c>
    </row>
    <row r="40" spans="2:18" ht="48" x14ac:dyDescent="0.25">
      <c r="B40" s="49" t="s">
        <v>186</v>
      </c>
      <c r="C40" s="49"/>
      <c r="D40" s="117">
        <v>0</v>
      </c>
      <c r="E40" s="117"/>
      <c r="F40" s="117">
        <v>0</v>
      </c>
      <c r="G40" s="117"/>
      <c r="H40" s="117">
        <f>IS!D32</f>
        <v>15908</v>
      </c>
      <c r="I40" s="117"/>
      <c r="J40" s="117">
        <v>0</v>
      </c>
      <c r="K40" s="117"/>
      <c r="L40" s="117">
        <v>0</v>
      </c>
      <c r="M40" s="117"/>
      <c r="N40" s="117">
        <v>0</v>
      </c>
      <c r="O40" s="117"/>
      <c r="P40" s="117">
        <f t="shared" si="1"/>
        <v>15908</v>
      </c>
      <c r="Q40" s="120"/>
      <c r="R40" s="121">
        <f>IS!D32-SCE!P40</f>
        <v>0</v>
      </c>
    </row>
    <row r="41" spans="2:18" ht="48" x14ac:dyDescent="0.2">
      <c r="B41" s="50" t="s">
        <v>84</v>
      </c>
      <c r="C41" s="50"/>
      <c r="D41" s="122">
        <f>SUM(D38:D40)</f>
        <v>0</v>
      </c>
      <c r="E41" s="117"/>
      <c r="F41" s="122">
        <f>SUM(F38:F40)</f>
        <v>0</v>
      </c>
      <c r="G41" s="117"/>
      <c r="H41" s="122">
        <f>SUM(H38:H40)</f>
        <v>46269</v>
      </c>
      <c r="I41" s="117"/>
      <c r="J41" s="122">
        <f>SUM(J38:J40)</f>
        <v>0</v>
      </c>
      <c r="K41" s="123"/>
      <c r="L41" s="122">
        <f>SUM(L38:L40)</f>
        <v>0</v>
      </c>
      <c r="M41" s="117"/>
      <c r="N41" s="122">
        <f>SUM(N38:N40)</f>
        <v>0</v>
      </c>
      <c r="O41" s="117"/>
      <c r="P41" s="122">
        <f>SUM(P38:P40)</f>
        <v>46269</v>
      </c>
    </row>
    <row r="42" spans="2:18" x14ac:dyDescent="0.2">
      <c r="B42" s="47" t="s">
        <v>85</v>
      </c>
      <c r="C42" s="47"/>
      <c r="D42" s="83">
        <f>D35+D41</f>
        <v>0</v>
      </c>
      <c r="E42" s="84"/>
      <c r="F42" s="83">
        <f>F35+F41</f>
        <v>0</v>
      </c>
      <c r="G42" s="84"/>
      <c r="H42" s="83">
        <f>H35+H41</f>
        <v>46269</v>
      </c>
      <c r="I42" s="84"/>
      <c r="J42" s="83">
        <f>J35+J41</f>
        <v>0</v>
      </c>
      <c r="K42" s="84"/>
      <c r="L42" s="83">
        <f>L35+L41</f>
        <v>0</v>
      </c>
      <c r="M42" s="84"/>
      <c r="N42" s="83">
        <f>N35+N41</f>
        <v>4352703</v>
      </c>
      <c r="O42" s="84"/>
      <c r="P42" s="83">
        <f>P35+P41</f>
        <v>4398972</v>
      </c>
    </row>
    <row r="43" spans="2:18" ht="46.2" x14ac:dyDescent="0.25">
      <c r="B43" s="52" t="s">
        <v>86</v>
      </c>
      <c r="C43" s="52"/>
      <c r="D43" s="85"/>
      <c r="E43" s="85"/>
      <c r="F43" s="85"/>
      <c r="G43" s="85"/>
      <c r="H43" s="85"/>
      <c r="I43" s="85"/>
      <c r="J43" s="85"/>
      <c r="K43" s="85"/>
      <c r="L43" s="85"/>
      <c r="M43" s="85"/>
      <c r="N43" s="85"/>
      <c r="O43" s="85"/>
      <c r="P43" s="85"/>
    </row>
    <row r="44" spans="2:18" ht="12" x14ac:dyDescent="0.25">
      <c r="B44" s="82" t="s">
        <v>164</v>
      </c>
      <c r="C44" s="52"/>
      <c r="D44" s="85">
        <v>0</v>
      </c>
      <c r="E44" s="85"/>
      <c r="F44" s="85">
        <v>0</v>
      </c>
      <c r="G44" s="85"/>
      <c r="H44" s="85">
        <v>0</v>
      </c>
      <c r="I44" s="85"/>
      <c r="J44" s="85">
        <v>0</v>
      </c>
      <c r="K44" s="85"/>
      <c r="L44" s="85">
        <v>0</v>
      </c>
      <c r="M44" s="85"/>
      <c r="N44" s="85">
        <v>0</v>
      </c>
      <c r="O44" s="85"/>
      <c r="P44" s="85">
        <f>SUM(D44:N44)</f>
        <v>0</v>
      </c>
    </row>
    <row r="45" spans="2:18" ht="12" x14ac:dyDescent="0.25">
      <c r="B45" s="82" t="s">
        <v>148</v>
      </c>
      <c r="C45" s="124"/>
      <c r="D45" s="85">
        <v>0</v>
      </c>
      <c r="E45" s="85"/>
      <c r="F45" s="85">
        <v>0</v>
      </c>
      <c r="G45" s="85"/>
      <c r="H45" s="85">
        <v>0</v>
      </c>
      <c r="I45" s="85"/>
      <c r="J45" s="85">
        <v>0</v>
      </c>
      <c r="K45" s="85"/>
      <c r="L45" s="85">
        <v>0</v>
      </c>
      <c r="M45" s="85"/>
      <c r="N45" s="85">
        <v>0</v>
      </c>
      <c r="O45" s="85"/>
      <c r="P45" s="85">
        <f>SUM(D45:N45)</f>
        <v>0</v>
      </c>
    </row>
    <row r="46" spans="2:18" ht="12" x14ac:dyDescent="0.25">
      <c r="B46" s="49" t="s">
        <v>149</v>
      </c>
      <c r="C46" s="73"/>
      <c r="D46" s="85">
        <v>0</v>
      </c>
      <c r="E46" s="85"/>
      <c r="F46" s="85">
        <v>0</v>
      </c>
      <c r="G46" s="85"/>
      <c r="H46" s="85">
        <v>0</v>
      </c>
      <c r="I46" s="85"/>
      <c r="J46" s="85">
        <v>897034</v>
      </c>
      <c r="K46" s="85"/>
      <c r="L46" s="85">
        <v>0</v>
      </c>
      <c r="M46" s="85"/>
      <c r="N46" s="85">
        <f>-J46</f>
        <v>-897034</v>
      </c>
      <c r="O46" s="85"/>
      <c r="P46" s="85">
        <f>SUM(D46:N46)</f>
        <v>0</v>
      </c>
    </row>
    <row r="47" spans="2:18" ht="24" x14ac:dyDescent="0.25">
      <c r="B47" s="49" t="s">
        <v>152</v>
      </c>
      <c r="C47" s="73"/>
      <c r="D47" s="85">
        <v>0</v>
      </c>
      <c r="E47" s="85"/>
      <c r="F47" s="85">
        <v>0</v>
      </c>
      <c r="G47" s="85"/>
      <c r="H47" s="85">
        <v>0</v>
      </c>
      <c r="I47" s="85"/>
      <c r="J47" s="85">
        <v>0</v>
      </c>
      <c r="K47" s="85"/>
      <c r="L47" s="85">
        <v>0</v>
      </c>
      <c r="M47" s="85"/>
      <c r="N47" s="85">
        <f>-L47</f>
        <v>0</v>
      </c>
      <c r="O47" s="85"/>
      <c r="P47" s="85">
        <f>SUM(D47:N47)</f>
        <v>0</v>
      </c>
    </row>
    <row r="48" spans="2:18" x14ac:dyDescent="0.2">
      <c r="B48" s="47" t="s">
        <v>128</v>
      </c>
      <c r="C48" s="47"/>
      <c r="D48" s="84">
        <f>SUM(D44:D47)</f>
        <v>0</v>
      </c>
      <c r="E48" s="84"/>
      <c r="F48" s="84">
        <f>SUM(F44:F47)</f>
        <v>0</v>
      </c>
      <c r="G48" s="84"/>
      <c r="H48" s="84">
        <f>SUM(H44:H47)</f>
        <v>0</v>
      </c>
      <c r="I48" s="84"/>
      <c r="J48" s="84">
        <f>SUM(J44:J47)</f>
        <v>897034</v>
      </c>
      <c r="K48" s="84"/>
      <c r="L48" s="84">
        <f>SUM(L44:L47)</f>
        <v>0</v>
      </c>
      <c r="M48" s="84"/>
      <c r="N48" s="84">
        <f>SUM(N44:N47)</f>
        <v>-897034</v>
      </c>
      <c r="O48" s="84"/>
      <c r="P48" s="84">
        <f>SUM(P44:P47)</f>
        <v>0</v>
      </c>
    </row>
    <row r="49" spans="2:17" ht="12.6" thickBot="1" x14ac:dyDescent="0.3">
      <c r="B49" s="51" t="s">
        <v>195</v>
      </c>
      <c r="C49" s="51"/>
      <c r="D49" s="86">
        <f>SUM(D33,D42,D48)</f>
        <v>7914616</v>
      </c>
      <c r="E49" s="87"/>
      <c r="F49" s="86">
        <f>SUM(F31,F42,F48)</f>
        <v>7911</v>
      </c>
      <c r="G49" s="87"/>
      <c r="H49" s="86">
        <f>SUM(H31,H42,H48)</f>
        <v>-203158</v>
      </c>
      <c r="I49" s="87"/>
      <c r="J49" s="86">
        <f>SUM(J31,J42,J48)</f>
        <v>931583</v>
      </c>
      <c r="K49" s="84"/>
      <c r="L49" s="86">
        <f>SUM(L31,L42,L48)</f>
        <v>0</v>
      </c>
      <c r="M49" s="87"/>
      <c r="N49" s="86">
        <f>SUM(N31,N42,N48)</f>
        <v>14121751</v>
      </c>
      <c r="O49" s="87"/>
      <c r="P49" s="86">
        <f>SUM(P33,P42,P48)</f>
        <v>22772703</v>
      </c>
      <c r="Q49" s="126"/>
    </row>
    <row r="50" spans="2:17" ht="12" thickTop="1" x14ac:dyDescent="0.2">
      <c r="B50" s="119" t="s">
        <v>2</v>
      </c>
      <c r="C50" s="119"/>
      <c r="D50" s="121">
        <f>BS!D29-D49</f>
        <v>0</v>
      </c>
      <c r="E50" s="117"/>
      <c r="F50" s="121">
        <f>BS!D30-F49</f>
        <v>0</v>
      </c>
      <c r="G50" s="117"/>
      <c r="H50" s="121">
        <f>BS!D31-H49</f>
        <v>0</v>
      </c>
      <c r="I50" s="117"/>
      <c r="J50" s="121">
        <f>BS!D32-J49</f>
        <v>0</v>
      </c>
      <c r="K50" s="121"/>
      <c r="L50" s="121">
        <f>BS!D33-L49</f>
        <v>0</v>
      </c>
      <c r="M50" s="117"/>
      <c r="N50" s="121">
        <f>ROUND(BS!D34-N49,0)</f>
        <v>0</v>
      </c>
      <c r="O50" s="117"/>
      <c r="P50" s="121">
        <f>ROUND(BS!D35-P49,0)</f>
        <v>0</v>
      </c>
    </row>
    <row r="51" spans="2:17" x14ac:dyDescent="0.2">
      <c r="F51" s="117"/>
    </row>
    <row r="53" spans="2:17" ht="12" x14ac:dyDescent="0.25">
      <c r="B53" s="75" t="str">
        <f>BS!B39</f>
        <v>Данная финансовая отчетность была утверждена руководством Компании 14 августа 2025 года,</v>
      </c>
      <c r="C53" s="75"/>
      <c r="D53" s="76"/>
      <c r="F53" s="117"/>
      <c r="G53" s="127"/>
      <c r="H53" s="128"/>
    </row>
    <row r="54" spans="2:17" ht="12" x14ac:dyDescent="0.25">
      <c r="B54" s="77" t="s">
        <v>126</v>
      </c>
      <c r="C54" s="77"/>
      <c r="D54" s="78"/>
    </row>
    <row r="55" spans="2:17" x14ac:dyDescent="0.2">
      <c r="B55" s="78"/>
      <c r="C55" s="78"/>
      <c r="D55" s="78"/>
    </row>
    <row r="56" spans="2:17" ht="12" x14ac:dyDescent="0.2">
      <c r="B56" s="79" t="s">
        <v>122</v>
      </c>
      <c r="C56" s="79"/>
      <c r="D56" s="80"/>
    </row>
    <row r="57" spans="2:17" ht="12" x14ac:dyDescent="0.2">
      <c r="B57" s="80" t="str">
        <f>BS!B43</f>
        <v>Абишев Джан Булатович</v>
      </c>
      <c r="C57" s="80"/>
      <c r="D57" s="80" t="s">
        <v>123</v>
      </c>
    </row>
    <row r="58" spans="2:17" ht="12" x14ac:dyDescent="0.2">
      <c r="B58" s="80"/>
      <c r="C58" s="80"/>
      <c r="D58" s="80"/>
    </row>
    <row r="59" spans="2:17" x14ac:dyDescent="0.2">
      <c r="B59" s="78"/>
      <c r="C59" s="78"/>
    </row>
    <row r="60" spans="2:17" x14ac:dyDescent="0.2">
      <c r="B60" s="78"/>
      <c r="C60" s="78"/>
    </row>
    <row r="61" spans="2:17" ht="12" x14ac:dyDescent="0.2">
      <c r="B61" s="80"/>
      <c r="C61" s="80"/>
    </row>
    <row r="62" spans="2:17" ht="12" x14ac:dyDescent="0.2">
      <c r="B62" s="80"/>
      <c r="C62" s="80"/>
    </row>
  </sheetData>
  <mergeCells count="16">
    <mergeCell ref="B1:D1"/>
    <mergeCell ref="C6:C7"/>
    <mergeCell ref="P29:P30"/>
    <mergeCell ref="D5:D6"/>
    <mergeCell ref="F5:F6"/>
    <mergeCell ref="H5:H6"/>
    <mergeCell ref="J5:J6"/>
    <mergeCell ref="N5:N6"/>
    <mergeCell ref="P5:P6"/>
    <mergeCell ref="D29:D30"/>
    <mergeCell ref="F29:F30"/>
    <mergeCell ref="H29:H30"/>
    <mergeCell ref="J29:J30"/>
    <mergeCell ref="N29:N30"/>
    <mergeCell ref="L29:L30"/>
    <mergeCell ref="L5:L6"/>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K64"/>
  <sheetViews>
    <sheetView tabSelected="1" workbookViewId="0">
      <selection activeCell="F7" sqref="F7"/>
    </sheetView>
  </sheetViews>
  <sheetFormatPr defaultColWidth="10.28515625" defaultRowHeight="12" x14ac:dyDescent="0.25"/>
  <cols>
    <col min="1" max="1" width="67.28515625" style="65" bestFit="1" customWidth="1"/>
    <col min="2" max="2" width="7" style="65" customWidth="1"/>
    <col min="3" max="3" width="16.28515625" style="65" bestFit="1" customWidth="1"/>
    <col min="4" max="4" width="17.42578125" style="65" customWidth="1"/>
    <col min="5" max="5" width="10.28515625" style="65"/>
    <col min="6" max="6" width="11.7109375" style="65" bestFit="1" customWidth="1"/>
    <col min="7" max="7" width="11.7109375" style="89" bestFit="1" customWidth="1"/>
    <col min="8" max="10" width="10.28515625" style="65"/>
    <col min="11" max="11" width="11.7109375" style="65" bestFit="1" customWidth="1"/>
    <col min="12" max="16384" width="10.28515625" style="65"/>
  </cols>
  <sheetData>
    <row r="1" spans="1:11" x14ac:dyDescent="0.25">
      <c r="A1" s="107" t="s">
        <v>144</v>
      </c>
      <c r="B1" s="107"/>
      <c r="C1" s="107"/>
    </row>
    <row r="2" spans="1:11" x14ac:dyDescent="0.25">
      <c r="A2" s="66" t="s">
        <v>145</v>
      </c>
      <c r="B2" s="66"/>
    </row>
    <row r="3" spans="1:11" x14ac:dyDescent="0.25">
      <c r="A3" s="66" t="s">
        <v>192</v>
      </c>
      <c r="B3" s="93"/>
    </row>
    <row r="4" spans="1:11" ht="48" x14ac:dyDescent="0.25">
      <c r="B4" s="94"/>
      <c r="C4" s="172" t="s">
        <v>190</v>
      </c>
      <c r="D4" s="172" t="s">
        <v>191</v>
      </c>
    </row>
    <row r="5" spans="1:11" ht="54" customHeight="1" x14ac:dyDescent="0.25">
      <c r="A5" s="67" t="s">
        <v>90</v>
      </c>
      <c r="B5" s="67"/>
      <c r="C5" s="173" t="s">
        <v>124</v>
      </c>
      <c r="D5" s="173" t="s">
        <v>124</v>
      </c>
      <c r="K5" s="174"/>
    </row>
    <row r="6" spans="1:11" x14ac:dyDescent="0.25">
      <c r="A6" s="67" t="s">
        <v>72</v>
      </c>
      <c r="B6" s="67"/>
      <c r="C6" s="175">
        <f>IS!D25</f>
        <v>5440879</v>
      </c>
      <c r="D6" s="175">
        <f>IS!F25</f>
        <v>2888207</v>
      </c>
      <c r="K6" s="174"/>
    </row>
    <row r="7" spans="1:11" x14ac:dyDescent="0.25">
      <c r="A7" s="68" t="s">
        <v>91</v>
      </c>
      <c r="B7" s="68"/>
      <c r="C7" s="176"/>
      <c r="D7" s="176"/>
    </row>
    <row r="8" spans="1:11" x14ac:dyDescent="0.25">
      <c r="A8" s="69" t="s">
        <v>92</v>
      </c>
      <c r="B8" s="69"/>
      <c r="C8" s="177">
        <v>15371</v>
      </c>
      <c r="D8" s="177">
        <v>9610</v>
      </c>
      <c r="H8" s="90"/>
    </row>
    <row r="9" spans="1:11" ht="24" x14ac:dyDescent="0.25">
      <c r="A9" s="69" t="s">
        <v>172</v>
      </c>
      <c r="B9" s="69"/>
      <c r="C9" s="177">
        <v>15193</v>
      </c>
      <c r="D9" s="177">
        <v>-13144</v>
      </c>
      <c r="H9" s="90"/>
    </row>
    <row r="10" spans="1:11" ht="24" x14ac:dyDescent="0.25">
      <c r="A10" s="69" t="s">
        <v>173</v>
      </c>
      <c r="B10" s="69"/>
      <c r="C10" s="177">
        <v>0</v>
      </c>
      <c r="D10" s="177">
        <v>187990</v>
      </c>
      <c r="H10" s="90"/>
    </row>
    <row r="11" spans="1:11" ht="36" x14ac:dyDescent="0.25">
      <c r="A11" s="69" t="s">
        <v>174</v>
      </c>
      <c r="B11" s="69"/>
      <c r="C11" s="177">
        <v>-386208</v>
      </c>
      <c r="D11" s="177">
        <v>-257702</v>
      </c>
      <c r="H11" s="90"/>
    </row>
    <row r="12" spans="1:11" ht="36" x14ac:dyDescent="0.25">
      <c r="A12" s="69" t="s">
        <v>175</v>
      </c>
      <c r="B12" s="69"/>
      <c r="C12" s="177">
        <v>7414</v>
      </c>
      <c r="D12" s="177">
        <v>3186</v>
      </c>
    </row>
    <row r="13" spans="1:11" ht="24" x14ac:dyDescent="0.25">
      <c r="A13" s="69" t="s">
        <v>176</v>
      </c>
      <c r="B13" s="69"/>
      <c r="C13" s="177">
        <v>-517150</v>
      </c>
      <c r="D13" s="177">
        <v>-258463</v>
      </c>
      <c r="H13" s="90"/>
    </row>
    <row r="14" spans="1:11" ht="24" x14ac:dyDescent="0.25">
      <c r="A14" s="69" t="s">
        <v>177</v>
      </c>
      <c r="B14" s="69"/>
      <c r="C14" s="177">
        <v>0</v>
      </c>
      <c r="D14" s="177">
        <v>-65414</v>
      </c>
      <c r="H14" s="90"/>
    </row>
    <row r="15" spans="1:11" x14ac:dyDescent="0.25">
      <c r="A15" s="69" t="s">
        <v>165</v>
      </c>
      <c r="B15" s="69"/>
      <c r="C15" s="177">
        <v>57063</v>
      </c>
      <c r="D15" s="177">
        <v>-228305</v>
      </c>
      <c r="H15" s="90"/>
    </row>
    <row r="16" spans="1:11" ht="24" x14ac:dyDescent="0.25">
      <c r="A16" s="69" t="s">
        <v>150</v>
      </c>
      <c r="B16" s="69"/>
      <c r="C16" s="177">
        <v>-3165355</v>
      </c>
      <c r="D16" s="177">
        <v>-1383576</v>
      </c>
      <c r="H16" s="90"/>
    </row>
    <row r="17" spans="1:8" ht="24" x14ac:dyDescent="0.25">
      <c r="A17" s="69" t="s">
        <v>178</v>
      </c>
      <c r="B17" s="69"/>
      <c r="C17" s="177">
        <v>0</v>
      </c>
      <c r="D17" s="177">
        <v>8011</v>
      </c>
    </row>
    <row r="18" spans="1:8" ht="24" x14ac:dyDescent="0.25">
      <c r="A18" s="69" t="s">
        <v>179</v>
      </c>
      <c r="B18" s="69"/>
      <c r="C18" s="177">
        <v>0</v>
      </c>
      <c r="D18" s="177">
        <v>400</v>
      </c>
    </row>
    <row r="19" spans="1:8" x14ac:dyDescent="0.25">
      <c r="A19" s="69" t="s">
        <v>130</v>
      </c>
      <c r="B19" s="69"/>
      <c r="C19" s="177">
        <v>0</v>
      </c>
      <c r="D19" s="176">
        <v>0</v>
      </c>
      <c r="H19" s="90"/>
    </row>
    <row r="20" spans="1:8" x14ac:dyDescent="0.25">
      <c r="A20" s="69" t="s">
        <v>131</v>
      </c>
      <c r="B20" s="69"/>
      <c r="C20" s="176">
        <v>0</v>
      </c>
      <c r="D20" s="176">
        <v>0</v>
      </c>
    </row>
    <row r="21" spans="1:8" x14ac:dyDescent="0.25">
      <c r="A21" s="69" t="s">
        <v>153</v>
      </c>
      <c r="B21" s="69"/>
      <c r="C21" s="177">
        <v>0</v>
      </c>
      <c r="D21" s="177">
        <v>0</v>
      </c>
    </row>
    <row r="22" spans="1:8" ht="23.4" x14ac:dyDescent="0.25">
      <c r="A22" s="71" t="s">
        <v>132</v>
      </c>
      <c r="B22" s="71"/>
      <c r="C22" s="178">
        <f>SUM(C6:C21)</f>
        <v>1467207</v>
      </c>
      <c r="D22" s="178">
        <f>SUM(D6:D21)</f>
        <v>890800</v>
      </c>
      <c r="F22" s="89"/>
    </row>
    <row r="23" spans="1:8" ht="7.2" customHeight="1" x14ac:dyDescent="0.25">
      <c r="A23" s="72"/>
      <c r="B23" s="72"/>
      <c r="C23" s="177"/>
      <c r="D23" s="177"/>
    </row>
    <row r="24" spans="1:8" x14ac:dyDescent="0.25">
      <c r="A24" s="71" t="s">
        <v>96</v>
      </c>
      <c r="B24" s="71"/>
      <c r="C24" s="177"/>
      <c r="D24" s="177"/>
    </row>
    <row r="25" spans="1:8" x14ac:dyDescent="0.25">
      <c r="A25" s="69" t="s">
        <v>34</v>
      </c>
      <c r="B25" s="69"/>
      <c r="C25" s="177">
        <v>-591352</v>
      </c>
      <c r="D25" s="177">
        <v>-212119</v>
      </c>
    </row>
    <row r="26" spans="1:8" x14ac:dyDescent="0.25">
      <c r="A26" s="69" t="s">
        <v>35</v>
      </c>
      <c r="B26" s="69"/>
      <c r="C26" s="177">
        <v>-1900841</v>
      </c>
      <c r="D26" s="177">
        <v>-539664</v>
      </c>
    </row>
    <row r="27" spans="1:8" x14ac:dyDescent="0.25">
      <c r="A27" s="69" t="s">
        <v>36</v>
      </c>
      <c r="B27" s="69"/>
      <c r="C27" s="177">
        <v>-394535</v>
      </c>
      <c r="D27" s="177">
        <v>-1760842</v>
      </c>
    </row>
    <row r="28" spans="1:8" x14ac:dyDescent="0.25">
      <c r="A28" s="69" t="s">
        <v>40</v>
      </c>
      <c r="B28" s="69"/>
      <c r="C28" s="177">
        <v>-73583</v>
      </c>
      <c r="D28" s="177">
        <v>-237924</v>
      </c>
    </row>
    <row r="29" spans="1:8" x14ac:dyDescent="0.25">
      <c r="A29" s="71" t="s">
        <v>97</v>
      </c>
      <c r="B29" s="71"/>
      <c r="C29" s="177"/>
      <c r="D29" s="177"/>
    </row>
    <row r="30" spans="1:8" x14ac:dyDescent="0.25">
      <c r="A30" s="69" t="s">
        <v>44</v>
      </c>
      <c r="B30" s="69"/>
      <c r="C30" s="177">
        <v>4265359</v>
      </c>
      <c r="D30" s="177">
        <v>9833740</v>
      </c>
    </row>
    <row r="31" spans="1:8" x14ac:dyDescent="0.25">
      <c r="A31" s="69" t="s">
        <v>45</v>
      </c>
      <c r="B31" s="69"/>
      <c r="C31" s="177">
        <v>87394</v>
      </c>
      <c r="D31" s="177">
        <v>-192653</v>
      </c>
    </row>
    <row r="32" spans="1:8" x14ac:dyDescent="0.25">
      <c r="A32" s="69" t="s">
        <v>46</v>
      </c>
      <c r="B32" s="69"/>
      <c r="C32" s="177">
        <v>101565</v>
      </c>
      <c r="D32" s="177">
        <v>189428</v>
      </c>
    </row>
    <row r="33" spans="1:10" ht="34.799999999999997" x14ac:dyDescent="0.25">
      <c r="A33" s="71" t="s">
        <v>133</v>
      </c>
      <c r="B33" s="71"/>
      <c r="C33" s="178">
        <f>SUM(C22:C32)</f>
        <v>2961214</v>
      </c>
      <c r="D33" s="178">
        <f>SUM(D22:D32)</f>
        <v>7970766</v>
      </c>
    </row>
    <row r="34" spans="1:10" x14ac:dyDescent="0.25">
      <c r="A34" s="69" t="s">
        <v>99</v>
      </c>
      <c r="B34" s="69"/>
      <c r="C34" s="177">
        <v>2889110</v>
      </c>
      <c r="D34" s="177">
        <v>1649290</v>
      </c>
    </row>
    <row r="35" spans="1:10" x14ac:dyDescent="0.25">
      <c r="A35" s="69" t="s">
        <v>100</v>
      </c>
      <c r="B35" s="69"/>
      <c r="C35" s="177">
        <v>-638885</v>
      </c>
      <c r="D35" s="177">
        <v>-529573</v>
      </c>
    </row>
    <row r="36" spans="1:10" ht="22.8" x14ac:dyDescent="0.25">
      <c r="A36" s="67" t="s">
        <v>134</v>
      </c>
      <c r="B36" s="67"/>
      <c r="C36" s="178">
        <f>SUM(C33:C35)</f>
        <v>5211439</v>
      </c>
      <c r="D36" s="178">
        <f>SUM(D33:D35)</f>
        <v>9090483</v>
      </c>
    </row>
    <row r="37" spans="1:10" ht="7.2" customHeight="1" x14ac:dyDescent="0.25">
      <c r="A37" s="72"/>
      <c r="B37" s="72"/>
      <c r="C37" s="177"/>
      <c r="D37" s="177"/>
    </row>
    <row r="38" spans="1:10" ht="26.25" customHeight="1" x14ac:dyDescent="0.25">
      <c r="A38" s="71" t="s">
        <v>102</v>
      </c>
      <c r="B38" s="71"/>
      <c r="C38" s="177"/>
      <c r="D38" s="177"/>
    </row>
    <row r="39" spans="1:10" x14ac:dyDescent="0.25">
      <c r="A39" s="70" t="s">
        <v>103</v>
      </c>
      <c r="B39" s="70"/>
      <c r="C39" s="177">
        <v>-49250</v>
      </c>
      <c r="D39" s="177">
        <v>-31002</v>
      </c>
    </row>
    <row r="40" spans="1:10" ht="24" x14ac:dyDescent="0.25">
      <c r="A40" s="70" t="s">
        <v>180</v>
      </c>
      <c r="B40" s="70"/>
      <c r="C40" s="177">
        <v>-12934431</v>
      </c>
      <c r="D40" s="177">
        <v>-1413934</v>
      </c>
    </row>
    <row r="41" spans="1:10" ht="24" x14ac:dyDescent="0.25">
      <c r="A41" s="70" t="s">
        <v>181</v>
      </c>
      <c r="B41" s="70"/>
      <c r="C41" s="179">
        <v>0</v>
      </c>
      <c r="D41" s="179">
        <v>0</v>
      </c>
    </row>
    <row r="42" spans="1:10" ht="24" x14ac:dyDescent="0.25">
      <c r="A42" s="70" t="s">
        <v>182</v>
      </c>
      <c r="B42" s="70"/>
      <c r="C42" s="179">
        <v>0</v>
      </c>
      <c r="D42" s="179">
        <v>0</v>
      </c>
    </row>
    <row r="43" spans="1:10" x14ac:dyDescent="0.25">
      <c r="A43" s="69" t="s">
        <v>135</v>
      </c>
      <c r="B43" s="69"/>
      <c r="C43" s="179">
        <v>26</v>
      </c>
      <c r="D43" s="179">
        <v>0</v>
      </c>
      <c r="J43" s="89"/>
    </row>
    <row r="44" spans="1:10" ht="24" x14ac:dyDescent="0.25">
      <c r="A44" s="69" t="s">
        <v>183</v>
      </c>
      <c r="B44" s="69"/>
      <c r="C44" s="177">
        <v>2503684</v>
      </c>
      <c r="D44" s="177">
        <v>2129709</v>
      </c>
    </row>
    <row r="45" spans="1:10" ht="24" x14ac:dyDescent="0.25">
      <c r="A45" s="69" t="s">
        <v>187</v>
      </c>
      <c r="B45" s="69"/>
      <c r="C45" s="177">
        <v>715</v>
      </c>
      <c r="D45" s="177">
        <v>0</v>
      </c>
    </row>
    <row r="46" spans="1:10" ht="24" x14ac:dyDescent="0.25">
      <c r="A46" s="70" t="s">
        <v>184</v>
      </c>
      <c r="B46" s="69"/>
      <c r="C46" s="177">
        <v>0</v>
      </c>
      <c r="D46" s="177">
        <v>257945</v>
      </c>
    </row>
    <row r="47" spans="1:10" ht="23.4" x14ac:dyDescent="0.25">
      <c r="A47" s="71" t="s">
        <v>110</v>
      </c>
      <c r="B47" s="71"/>
      <c r="C47" s="175">
        <f>SUM(C39:C46)</f>
        <v>-10479256</v>
      </c>
      <c r="D47" s="175">
        <f>SUM(D39:D46)</f>
        <v>942718</v>
      </c>
    </row>
    <row r="48" spans="1:10" ht="6" customHeight="1" x14ac:dyDescent="0.25">
      <c r="A48" s="72"/>
      <c r="B48" s="72"/>
      <c r="C48" s="176"/>
      <c r="D48" s="176"/>
    </row>
    <row r="49" spans="1:6" x14ac:dyDescent="0.25">
      <c r="A49" s="71" t="s">
        <v>111</v>
      </c>
      <c r="B49" s="71"/>
      <c r="C49" s="176"/>
      <c r="D49" s="176"/>
    </row>
    <row r="50" spans="1:6" x14ac:dyDescent="0.25">
      <c r="A50" s="70" t="s">
        <v>87</v>
      </c>
      <c r="B50" s="91"/>
      <c r="C50" s="176">
        <v>0</v>
      </c>
      <c r="D50" s="176">
        <v>0</v>
      </c>
    </row>
    <row r="51" spans="1:6" x14ac:dyDescent="0.25">
      <c r="A51" s="70" t="s">
        <v>198</v>
      </c>
      <c r="B51" s="73"/>
      <c r="C51" s="176">
        <v>-54</v>
      </c>
      <c r="D51" s="176">
        <v>0</v>
      </c>
    </row>
    <row r="52" spans="1:6" x14ac:dyDescent="0.25">
      <c r="A52" s="70" t="s">
        <v>199</v>
      </c>
      <c r="B52" s="70"/>
      <c r="C52" s="176">
        <v>-257014</v>
      </c>
      <c r="D52" s="176">
        <v>0</v>
      </c>
    </row>
    <row r="53" spans="1:6" ht="23.4" x14ac:dyDescent="0.25">
      <c r="A53" s="71" t="s">
        <v>113</v>
      </c>
      <c r="B53" s="71"/>
      <c r="C53" s="175">
        <f>SUM(C50:C52)</f>
        <v>-257068</v>
      </c>
      <c r="D53" s="175">
        <f>SUM(D50:D52)</f>
        <v>0</v>
      </c>
    </row>
    <row r="54" spans="1:6" ht="7.2" customHeight="1" x14ac:dyDescent="0.25">
      <c r="A54" s="72"/>
      <c r="B54" s="72"/>
      <c r="C54" s="176"/>
      <c r="D54" s="176"/>
    </row>
    <row r="55" spans="1:6" ht="22.8" x14ac:dyDescent="0.25">
      <c r="A55" s="67" t="s">
        <v>136</v>
      </c>
      <c r="B55" s="67"/>
      <c r="C55" s="175">
        <f>SUM(C36,C47,C53)</f>
        <v>-5524885</v>
      </c>
      <c r="D55" s="175">
        <f>SUM(D36,D47,D53)</f>
        <v>10033201</v>
      </c>
    </row>
    <row r="56" spans="1:6" ht="24" x14ac:dyDescent="0.25">
      <c r="A56" s="69" t="s">
        <v>115</v>
      </c>
      <c r="B56" s="69"/>
      <c r="C56" s="176">
        <v>646</v>
      </c>
      <c r="D56" s="176">
        <v>-12154</v>
      </c>
    </row>
    <row r="57" spans="1:6" ht="12" customHeight="1" x14ac:dyDescent="0.25">
      <c r="A57" s="69" t="s">
        <v>116</v>
      </c>
      <c r="B57" s="69"/>
      <c r="C57" s="176">
        <f>BS!F7</f>
        <v>39334962</v>
      </c>
      <c r="D57" s="176">
        <v>18034107</v>
      </c>
    </row>
    <row r="58" spans="1:6" ht="31.5" customHeight="1" x14ac:dyDescent="0.25">
      <c r="A58" s="180" t="s">
        <v>129</v>
      </c>
      <c r="B58" s="74"/>
      <c r="C58" s="181">
        <f>C57+C55+C56</f>
        <v>33810723</v>
      </c>
      <c r="D58" s="181">
        <f>D57+D55+D56</f>
        <v>28055154</v>
      </c>
      <c r="E58" s="81"/>
      <c r="F58" s="81"/>
    </row>
    <row r="59" spans="1:6" ht="9.75" customHeight="1" x14ac:dyDescent="0.25">
      <c r="C59" s="88">
        <f>ROUND(C58-BS!D7,0)</f>
        <v>0</v>
      </c>
      <c r="D59" s="88"/>
    </row>
    <row r="60" spans="1:6" x14ac:dyDescent="0.25">
      <c r="A60" s="75" t="str">
        <f>BS!B39</f>
        <v>Данная финансовая отчетность была утверждена руководством Компании 14 августа 2025 года,</v>
      </c>
      <c r="B60" s="75"/>
      <c r="C60" s="76"/>
    </row>
    <row r="61" spans="1:6" ht="11.25" customHeight="1" x14ac:dyDescent="0.25">
      <c r="A61" s="77" t="s">
        <v>126</v>
      </c>
      <c r="B61" s="77"/>
      <c r="C61" s="78"/>
    </row>
    <row r="62" spans="1:6" ht="6" customHeight="1" x14ac:dyDescent="0.25">
      <c r="A62" s="78"/>
      <c r="B62" s="78"/>
      <c r="C62" s="78"/>
    </row>
    <row r="63" spans="1:6" x14ac:dyDescent="0.25">
      <c r="A63" s="79" t="s">
        <v>122</v>
      </c>
      <c r="B63" s="79"/>
      <c r="C63" s="80"/>
    </row>
    <row r="64" spans="1:6" x14ac:dyDescent="0.25">
      <c r="A64" s="80" t="str">
        <f>BS!B43</f>
        <v>Абишев Джан Булатович</v>
      </c>
      <c r="B64" s="80"/>
      <c r="C64" s="80" t="s">
        <v>123</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0.199999999999999" x14ac:dyDescent="0.2"/>
  <cols>
    <col min="1" max="1" width="11.7109375" customWidth="1"/>
    <col min="2" max="2" width="43.28515625" customWidth="1"/>
    <col min="3" max="3" width="18.7109375" customWidth="1"/>
    <col min="4" max="5" width="20.140625" customWidth="1"/>
    <col min="6" max="6" width="24.42578125" customWidth="1"/>
    <col min="7" max="14" width="20.140625" customWidth="1"/>
    <col min="15" max="16" width="12.28515625" customWidth="1"/>
    <col min="17" max="22" width="20.140625" customWidth="1"/>
    <col min="23" max="23" width="11.140625" bestFit="1" customWidth="1"/>
  </cols>
  <sheetData>
    <row r="5" spans="2:23" ht="79.2" customHeight="1" x14ac:dyDescent="0.25">
      <c r="B5" s="9" t="s">
        <v>3</v>
      </c>
      <c r="C5" s="10"/>
      <c r="D5" s="53" t="s">
        <v>32</v>
      </c>
      <c r="E5" s="54" t="s">
        <v>33</v>
      </c>
      <c r="F5" s="54" t="s">
        <v>34</v>
      </c>
      <c r="G5" s="54" t="s">
        <v>35</v>
      </c>
      <c r="H5" s="54" t="s">
        <v>36</v>
      </c>
      <c r="I5" s="53" t="s">
        <v>37</v>
      </c>
      <c r="J5" s="53" t="s">
        <v>39</v>
      </c>
      <c r="K5" s="54" t="s">
        <v>38</v>
      </c>
      <c r="L5" s="54" t="s">
        <v>40</v>
      </c>
      <c r="M5" s="54" t="s">
        <v>44</v>
      </c>
      <c r="N5" s="54" t="s">
        <v>45</v>
      </c>
      <c r="O5" s="55" t="s">
        <v>0</v>
      </c>
      <c r="P5" s="55" t="s">
        <v>1</v>
      </c>
      <c r="Q5" s="53" t="s">
        <v>46</v>
      </c>
      <c r="R5" s="53" t="s">
        <v>49</v>
      </c>
      <c r="S5" s="53" t="s">
        <v>50</v>
      </c>
      <c r="T5" s="54" t="s">
        <v>51</v>
      </c>
      <c r="U5" s="54" t="s">
        <v>52</v>
      </c>
      <c r="V5" s="54" t="s">
        <v>53</v>
      </c>
      <c r="W5" s="11" t="s">
        <v>2</v>
      </c>
    </row>
    <row r="6" spans="2:23" x14ac:dyDescent="0.2">
      <c r="C6" s="12">
        <v>43921</v>
      </c>
      <c r="D6" s="4">
        <f>VLOOKUP(D5,BS!$B$7:$D$36,3,0)</f>
        <v>33810723</v>
      </c>
      <c r="E6" s="4" t="e">
        <f>VLOOKUP(E5,BS!$B$7:$D$36,3,0)</f>
        <v>#N/A</v>
      </c>
      <c r="F6" s="4">
        <f>VLOOKUP(F5,BS!$B$7:$D$36,3,0)</f>
        <v>1374725</v>
      </c>
      <c r="G6" s="4">
        <f>VLOOKUP(G5,BS!$B$7:$D$36,3,0)</f>
        <v>2198911</v>
      </c>
      <c r="H6" s="4">
        <f>VLOOKUP(H5,BS!$B$7:$D$36,3,0)</f>
        <v>7915253</v>
      </c>
      <c r="I6" s="4">
        <f>BS!D14</f>
        <v>197837</v>
      </c>
      <c r="J6" s="4">
        <f>VLOOKUP(J5,BS!$B$7:$D$36,3,0)</f>
        <v>77882</v>
      </c>
      <c r="K6" s="4">
        <f>VLOOKUP(K5,BS!$B$7:$D$36,3,0)</f>
        <v>0</v>
      </c>
      <c r="L6" s="4">
        <f>VLOOKUP(L5,BS!$B$7:$D$36,3,0)</f>
        <v>195398</v>
      </c>
      <c r="M6" s="4">
        <f>(VLOOKUP(M5,BS!$B$7:$D$36,3,0)) * -1</f>
        <v>-41249451</v>
      </c>
      <c r="N6" s="4">
        <f>(VLOOKUP(N5,BS!$B$7:$D$36,3,0)) * -1</f>
        <v>-992903</v>
      </c>
      <c r="O6" s="4">
        <v>0</v>
      </c>
      <c r="P6" s="4">
        <v>0</v>
      </c>
      <c r="Q6" s="4">
        <f>(VLOOKUP(Q5,BS!$B$7:$D$36,3,0)) * -1</f>
        <v>-971175</v>
      </c>
      <c r="R6" s="4">
        <f>(VLOOKUP(R5,BS!$B$7:$D$36,3,0)) * -1</f>
        <v>-7914616</v>
      </c>
      <c r="S6" s="4">
        <f>(VLOOKUP(S5,BS!$B$7:$D$36,3,0)) * -1</f>
        <v>-7911</v>
      </c>
      <c r="T6" s="4">
        <f>(VLOOKUP(T5,BS!$B$7:$D$36,3,0)) * -1</f>
        <v>203158</v>
      </c>
      <c r="U6" s="4" t="e">
        <f>(VLOOKUP(U5,BS!$B$7:$D$36,3,0)) * -1</f>
        <v>#N/A</v>
      </c>
      <c r="V6" s="4">
        <f>(VLOOKUP(V5,BS!$B$7:$D$36,3,0)) * -1</f>
        <v>-14121751</v>
      </c>
      <c r="W6" s="5" t="e">
        <f>SUM(D6:V6)</f>
        <v>#N/A</v>
      </c>
    </row>
    <row r="7" spans="2:23" x14ac:dyDescent="0.2">
      <c r="C7" s="12">
        <v>43830</v>
      </c>
      <c r="D7" s="4">
        <f>VLOOKUP(D5,BS!$B$7:$F$36,5,0)</f>
        <v>39334962</v>
      </c>
      <c r="E7" s="4" t="e">
        <f>VLOOKUP(E5,BS!$B$7:$F$36,5,0)</f>
        <v>#N/A</v>
      </c>
      <c r="F7" s="4">
        <f>VLOOKUP(F5,BS!$B$7:$F$36,5,0)</f>
        <v>784760</v>
      </c>
      <c r="G7" s="4">
        <f>VLOOKUP(G5,BS!$B$7:$F$36,5,0)</f>
        <v>298070</v>
      </c>
      <c r="H7" s="4">
        <f>VLOOKUP(H5,BS!$B$7:$F$36,5,0)</f>
        <v>7520718</v>
      </c>
      <c r="I7" s="4">
        <f>VLOOKUP(I5,BS!$B$7:$F$36,5,0)</f>
        <v>163984</v>
      </c>
      <c r="J7" s="4">
        <f>VLOOKUP(J5,BS!$B$7:$F$36,5,0)</f>
        <v>77882</v>
      </c>
      <c r="K7" s="4">
        <f>VLOOKUP(K5,BS!$B$7:$F$36,5,0)</f>
        <v>0</v>
      </c>
      <c r="L7" s="4">
        <f>VLOOKUP(L5,BS!$B$7:$F$36,5,0)</f>
        <v>121596</v>
      </c>
      <c r="M7" s="4">
        <f>(VLOOKUP(M5,BS!$B$7:$F$36,5,0)) * -1</f>
        <v>-36984092</v>
      </c>
      <c r="N7" s="4">
        <f>(VLOOKUP(N5,BS!$B$7:$F$36,5,0)) * -1</f>
        <v>-894639</v>
      </c>
      <c r="O7" s="4">
        <v>0</v>
      </c>
      <c r="P7" s="4">
        <v>0</v>
      </c>
      <c r="Q7" s="4">
        <f>(VLOOKUP(Q5,BS!$B$7:$F$36,5,0)) * -1</f>
        <v>-417779</v>
      </c>
      <c r="R7" s="4">
        <f>(VLOOKUP(R5,BS!$B$7:$F$36,5,0)) * -1</f>
        <v>-7914670</v>
      </c>
      <c r="S7" s="4">
        <f>(VLOOKUP(S5,BS!$B$7:$F$36,5,0)) * -1</f>
        <v>-7911</v>
      </c>
      <c r="T7" s="4">
        <f>(VLOOKUP(T5,BS!$B$7:$F$36,5,0)) * -1</f>
        <v>249427</v>
      </c>
      <c r="U7" s="4" t="e">
        <f>(VLOOKUP(U5,BS!$B$7:$F$36,5,0)) * -1</f>
        <v>#N/A</v>
      </c>
      <c r="V7" s="4">
        <f>(VLOOKUP(V5,BS!$B$7:$F$36,5,0)) * -1</f>
        <v>-10666082</v>
      </c>
      <c r="W7" s="5" t="e">
        <f>SUM(D7:V7)</f>
        <v>#N/A</v>
      </c>
    </row>
    <row r="8" spans="2:23" x14ac:dyDescent="0.2">
      <c r="B8" s="13"/>
      <c r="C8" s="14" t="s">
        <v>4</v>
      </c>
      <c r="D8" s="3">
        <f>D6-D7</f>
        <v>-5524239</v>
      </c>
      <c r="E8" s="3" t="e">
        <f t="shared" ref="E8:V8" si="0">E6-E7</f>
        <v>#N/A</v>
      </c>
      <c r="F8" s="3">
        <f t="shared" si="0"/>
        <v>589965</v>
      </c>
      <c r="G8" s="3">
        <f t="shared" si="0"/>
        <v>1900841</v>
      </c>
      <c r="H8" s="3">
        <f t="shared" si="0"/>
        <v>394535</v>
      </c>
      <c r="I8" s="3">
        <f t="shared" si="0"/>
        <v>33853</v>
      </c>
      <c r="J8" s="3">
        <f t="shared" si="0"/>
        <v>0</v>
      </c>
      <c r="K8" s="3">
        <f t="shared" si="0"/>
        <v>0</v>
      </c>
      <c r="L8" s="3">
        <f t="shared" si="0"/>
        <v>73802</v>
      </c>
      <c r="M8" s="3">
        <f t="shared" si="0"/>
        <v>-4265359</v>
      </c>
      <c r="N8" s="3">
        <f t="shared" si="0"/>
        <v>-98264</v>
      </c>
      <c r="O8" s="3">
        <f t="shared" si="0"/>
        <v>0</v>
      </c>
      <c r="P8" s="3">
        <f t="shared" si="0"/>
        <v>0</v>
      </c>
      <c r="Q8" s="3">
        <f t="shared" si="0"/>
        <v>-553396</v>
      </c>
      <c r="R8" s="3">
        <f t="shared" si="0"/>
        <v>54</v>
      </c>
      <c r="S8" s="3">
        <f t="shared" si="0"/>
        <v>0</v>
      </c>
      <c r="T8" s="3">
        <f t="shared" si="0"/>
        <v>-46269</v>
      </c>
      <c r="U8" s="3" t="e">
        <f t="shared" si="0"/>
        <v>#N/A</v>
      </c>
      <c r="V8" s="3">
        <f t="shared" si="0"/>
        <v>-3455669</v>
      </c>
    </row>
    <row r="9" spans="2:23" x14ac:dyDescent="0.2">
      <c r="B9" s="15" t="s">
        <v>2</v>
      </c>
      <c r="D9" s="5"/>
      <c r="E9" s="5" t="e">
        <f t="shared" ref="E9:P9" si="1">SUM(E12:E49)+E8</f>
        <v>#N/A</v>
      </c>
      <c r="F9" s="5">
        <f t="shared" si="1"/>
        <v>0</v>
      </c>
      <c r="G9" s="5">
        <f t="shared" si="1"/>
        <v>0</v>
      </c>
      <c r="H9" s="5">
        <f t="shared" si="1"/>
        <v>0</v>
      </c>
      <c r="I9" s="5">
        <f t="shared" si="1"/>
        <v>17625</v>
      </c>
      <c r="J9" s="5">
        <f t="shared" si="1"/>
        <v>0</v>
      </c>
      <c r="K9" s="5">
        <f t="shared" si="1"/>
        <v>0</v>
      </c>
      <c r="L9" s="5">
        <f t="shared" si="1"/>
        <v>0</v>
      </c>
      <c r="M9" s="5">
        <f t="shared" si="1"/>
        <v>0</v>
      </c>
      <c r="N9" s="5">
        <f t="shared" si="1"/>
        <v>0</v>
      </c>
      <c r="O9" s="5">
        <f t="shared" si="1"/>
        <v>0</v>
      </c>
      <c r="P9" s="5">
        <f t="shared" si="1"/>
        <v>0</v>
      </c>
      <c r="Q9" s="5">
        <f t="shared" ref="Q9:V9" si="2">SUM(Q12:Q49)+Q8</f>
        <v>0</v>
      </c>
      <c r="R9" s="5">
        <f t="shared" si="2"/>
        <v>0</v>
      </c>
      <c r="S9" s="5">
        <f t="shared" si="2"/>
        <v>0</v>
      </c>
      <c r="T9" s="5">
        <f t="shared" si="2"/>
        <v>0</v>
      </c>
      <c r="U9" s="5" t="e">
        <f t="shared" si="2"/>
        <v>#N/A</v>
      </c>
      <c r="V9" s="5">
        <f t="shared" si="2"/>
        <v>897034</v>
      </c>
    </row>
    <row r="11" spans="2:23" ht="12.6" x14ac:dyDescent="0.2">
      <c r="B11" s="56" t="s">
        <v>90</v>
      </c>
    </row>
    <row r="12" spans="2:23" ht="12.6" x14ac:dyDescent="0.2">
      <c r="B12" s="56" t="s">
        <v>72</v>
      </c>
      <c r="C12" s="4">
        <f>ROUND(SUM(D12:V12),0)</f>
        <v>5440879</v>
      </c>
      <c r="V12" s="4">
        <f>IS!D25</f>
        <v>5440879</v>
      </c>
    </row>
    <row r="13" spans="2:23" ht="12.6" x14ac:dyDescent="0.2">
      <c r="B13" s="57" t="s">
        <v>91</v>
      </c>
    </row>
    <row r="14" spans="2:23" ht="12.6" x14ac:dyDescent="0.2">
      <c r="B14" s="58" t="s">
        <v>92</v>
      </c>
      <c r="C14" s="4">
        <f t="shared" ref="C14:C19" si="3">ROUND(SUM(D14:V14),0)</f>
        <v>2248</v>
      </c>
      <c r="E14" s="4"/>
      <c r="I14" s="4">
        <v>2248</v>
      </c>
    </row>
    <row r="15" spans="2:23" ht="12.6" x14ac:dyDescent="0.25">
      <c r="B15" s="59" t="s">
        <v>93</v>
      </c>
      <c r="C15" s="4">
        <f t="shared" si="3"/>
        <v>-62217</v>
      </c>
      <c r="D15" s="4">
        <v>-12302</v>
      </c>
      <c r="E15" s="4">
        <v>-49915</v>
      </c>
    </row>
    <row r="16" spans="2:23" ht="12.6" x14ac:dyDescent="0.25">
      <c r="B16" s="59" t="s">
        <v>62</v>
      </c>
      <c r="C16" s="4">
        <f t="shared" si="3"/>
        <v>-454069</v>
      </c>
      <c r="D16" s="4">
        <v>0</v>
      </c>
      <c r="E16" s="4">
        <v>-454069</v>
      </c>
    </row>
    <row r="17" spans="2:22" ht="12.6" x14ac:dyDescent="0.25">
      <c r="B17" s="61" t="s">
        <v>52</v>
      </c>
      <c r="C17" s="4" t="e">
        <f t="shared" si="3"/>
        <v>#N/A</v>
      </c>
      <c r="E17" s="4"/>
      <c r="U17" s="4" t="e">
        <f>-U8</f>
        <v>#N/A</v>
      </c>
      <c r="V17" s="4">
        <f>E87</f>
        <v>0</v>
      </c>
    </row>
    <row r="18" spans="2:22" ht="12.6" x14ac:dyDescent="0.25">
      <c r="B18" s="61" t="s">
        <v>5</v>
      </c>
      <c r="C18" s="4">
        <f t="shared" si="3"/>
        <v>0</v>
      </c>
      <c r="E18" s="4"/>
    </row>
    <row r="19" spans="2:22" ht="25.2" x14ac:dyDescent="0.25">
      <c r="B19" s="61" t="s">
        <v>94</v>
      </c>
      <c r="C19" s="4">
        <f t="shared" si="3"/>
        <v>0</v>
      </c>
      <c r="E19" s="4"/>
    </row>
    <row r="20" spans="2:22" s="2" customFormat="1" ht="37.799999999999997" x14ac:dyDescent="0.25">
      <c r="B20" s="60" t="s">
        <v>95</v>
      </c>
      <c r="C20" s="6" t="e">
        <f>SUM(C12:C19)</f>
        <v>#N/A</v>
      </c>
      <c r="E20" s="6"/>
    </row>
    <row r="21" spans="2:22" x14ac:dyDescent="0.2">
      <c r="B21" s="7"/>
      <c r="E21" s="4"/>
    </row>
    <row r="22" spans="2:22" s="2" customFormat="1" ht="25.2" x14ac:dyDescent="0.25">
      <c r="B22" s="60" t="s">
        <v>96</v>
      </c>
      <c r="E22" s="6"/>
    </row>
    <row r="23" spans="2:22" ht="25.2" x14ac:dyDescent="0.2">
      <c r="B23" s="62" t="s">
        <v>34</v>
      </c>
      <c r="C23" s="4">
        <f t="shared" ref="C23:C26" si="4">ROUND(SUM(D23:V23),0)</f>
        <v>-589965</v>
      </c>
      <c r="E23" s="4"/>
      <c r="F23" s="4">
        <f>-F8-F19</f>
        <v>-589965</v>
      </c>
    </row>
    <row r="24" spans="2:22" ht="25.2" x14ac:dyDescent="0.2">
      <c r="B24" s="62" t="s">
        <v>35</v>
      </c>
      <c r="C24" s="4">
        <f t="shared" si="4"/>
        <v>-1900841</v>
      </c>
      <c r="E24" s="4"/>
      <c r="G24" s="4">
        <f>-G8</f>
        <v>-1900841</v>
      </c>
    </row>
    <row r="25" spans="2:22" ht="25.2" x14ac:dyDescent="0.2">
      <c r="B25" s="62" t="s">
        <v>36</v>
      </c>
      <c r="C25" s="4">
        <f t="shared" si="4"/>
        <v>-394535</v>
      </c>
      <c r="E25" s="4"/>
      <c r="H25" s="4">
        <f>-H8</f>
        <v>-394535</v>
      </c>
    </row>
    <row r="26" spans="2:22" ht="12.6" x14ac:dyDescent="0.2">
      <c r="B26" s="62" t="s">
        <v>40</v>
      </c>
      <c r="C26" s="4">
        <f t="shared" si="4"/>
        <v>-73802</v>
      </c>
      <c r="E26" s="4"/>
      <c r="L26" s="4">
        <f>-L8</f>
        <v>-73802</v>
      </c>
    </row>
    <row r="27" spans="2:22" s="2" customFormat="1" ht="25.2" x14ac:dyDescent="0.25">
      <c r="B27" s="60" t="s">
        <v>97</v>
      </c>
      <c r="E27" s="6"/>
    </row>
    <row r="28" spans="2:22" ht="12.6" x14ac:dyDescent="0.2">
      <c r="B28" s="62" t="s">
        <v>44</v>
      </c>
      <c r="C28" s="4">
        <f t="shared" ref="C28:C33" si="5">ROUND(SUM(D28:V28),0)</f>
        <v>4265359</v>
      </c>
      <c r="E28" s="4"/>
      <c r="M28" s="4">
        <f>-M8</f>
        <v>4265359</v>
      </c>
    </row>
    <row r="29" spans="2:22" ht="25.2" x14ac:dyDescent="0.2">
      <c r="B29" s="62" t="s">
        <v>45</v>
      </c>
      <c r="C29" s="4">
        <f t="shared" si="5"/>
        <v>98264</v>
      </c>
      <c r="E29" s="4"/>
      <c r="N29" s="4">
        <f>-N8-N19</f>
        <v>98264</v>
      </c>
    </row>
    <row r="30" spans="2:22" ht="12.6" x14ac:dyDescent="0.2">
      <c r="B30" s="58" t="s">
        <v>46</v>
      </c>
      <c r="C30" s="4">
        <f t="shared" si="5"/>
        <v>553396</v>
      </c>
      <c r="E30" s="4"/>
      <c r="Q30" s="4">
        <f>-Q8</f>
        <v>553396</v>
      </c>
    </row>
    <row r="31" spans="2:22" s="2" customFormat="1" ht="63" x14ac:dyDescent="0.25">
      <c r="B31" s="60" t="s">
        <v>98</v>
      </c>
      <c r="C31" s="6" t="e">
        <f>SUM(C20:C30)</f>
        <v>#N/A</v>
      </c>
      <c r="E31" s="6"/>
    </row>
    <row r="32" spans="2:22" ht="12.6" x14ac:dyDescent="0.2">
      <c r="B32" s="58" t="s">
        <v>99</v>
      </c>
      <c r="C32" s="4">
        <f t="shared" si="5"/>
        <v>28537</v>
      </c>
      <c r="E32" s="4">
        <f>D74-F72-K73</f>
        <v>28537.345769999993</v>
      </c>
    </row>
    <row r="33" spans="2:22" ht="12.6" x14ac:dyDescent="0.2">
      <c r="B33" s="58" t="s">
        <v>100</v>
      </c>
      <c r="C33" s="4">
        <f t="shared" si="5"/>
        <v>-1088176</v>
      </c>
      <c r="E33" s="4"/>
      <c r="J33" s="4">
        <f>-J8</f>
        <v>0</v>
      </c>
      <c r="K33" s="4">
        <f>-K8</f>
        <v>0</v>
      </c>
      <c r="V33" s="4">
        <f>IS!D26</f>
        <v>-1088176</v>
      </c>
    </row>
    <row r="34" spans="2:22" s="2" customFormat="1" ht="37.799999999999997" x14ac:dyDescent="0.2">
      <c r="B34" s="63" t="s">
        <v>101</v>
      </c>
      <c r="C34" s="6" t="e">
        <f>SUM(C31:C33)</f>
        <v>#N/A</v>
      </c>
      <c r="E34" s="6"/>
    </row>
    <row r="35" spans="2:22" x14ac:dyDescent="0.2">
      <c r="B35" s="7"/>
      <c r="E35" s="4"/>
    </row>
    <row r="36" spans="2:22" s="2" customFormat="1" ht="37.799999999999997" x14ac:dyDescent="0.25">
      <c r="B36" s="60" t="s">
        <v>102</v>
      </c>
      <c r="E36" s="6"/>
    </row>
    <row r="37" spans="2:22" ht="12.6" x14ac:dyDescent="0.25">
      <c r="B37" s="61" t="s">
        <v>108</v>
      </c>
      <c r="C37" s="4">
        <f t="shared" ref="C37:C43" si="6">ROUND(SUM(D37:V37),0)</f>
        <v>0</v>
      </c>
      <c r="E37" s="4"/>
    </row>
    <row r="38" spans="2:22" ht="12.6" x14ac:dyDescent="0.25">
      <c r="B38" s="61" t="s">
        <v>109</v>
      </c>
      <c r="C38" s="4">
        <f t="shared" si="6"/>
        <v>0</v>
      </c>
      <c r="E38" s="4"/>
    </row>
    <row r="39" spans="2:22" ht="25.2" x14ac:dyDescent="0.25">
      <c r="B39" s="61" t="s">
        <v>103</v>
      </c>
      <c r="C39" s="4">
        <f t="shared" si="6"/>
        <v>-18476</v>
      </c>
      <c r="E39" s="4"/>
      <c r="I39" s="4">
        <v>-18476</v>
      </c>
    </row>
    <row r="40" spans="2:22" ht="25.2" x14ac:dyDescent="0.2">
      <c r="B40" s="62" t="s">
        <v>104</v>
      </c>
      <c r="C40" s="4">
        <f t="shared" si="6"/>
        <v>0</v>
      </c>
      <c r="E40" s="4"/>
    </row>
    <row r="41" spans="2:22" ht="25.2" x14ac:dyDescent="0.2">
      <c r="B41" s="62" t="s">
        <v>105</v>
      </c>
      <c r="C41" s="4" t="e">
        <f t="shared" si="6"/>
        <v>#N/A</v>
      </c>
      <c r="E41" s="4" t="e">
        <f>-E8-E15-E16-E19-E32-E42</f>
        <v>#N/A</v>
      </c>
      <c r="T41" s="4">
        <f>-T8</f>
        <v>46269</v>
      </c>
    </row>
    <row r="42" spans="2:22" ht="37.799999999999997" x14ac:dyDescent="0.2">
      <c r="B42" s="62" t="s">
        <v>106</v>
      </c>
      <c r="C42" s="4">
        <f t="shared" si="6"/>
        <v>477632</v>
      </c>
      <c r="E42" s="4">
        <v>477632</v>
      </c>
    </row>
    <row r="43" spans="2:22" ht="12.6" x14ac:dyDescent="0.25">
      <c r="B43" s="61" t="s">
        <v>107</v>
      </c>
      <c r="C43" s="4">
        <f t="shared" si="6"/>
        <v>0</v>
      </c>
      <c r="E43" s="4"/>
    </row>
    <row r="44" spans="2:22" s="2" customFormat="1" ht="37.799999999999997" x14ac:dyDescent="0.25">
      <c r="B44" s="60" t="s">
        <v>110</v>
      </c>
      <c r="C44" s="6" t="e">
        <f>SUM(C37:C43)</f>
        <v>#N/A</v>
      </c>
    </row>
    <row r="45" spans="2:22" x14ac:dyDescent="0.2">
      <c r="B45" s="7"/>
    </row>
    <row r="46" spans="2:22" s="2" customFormat="1" ht="25.2" x14ac:dyDescent="0.25">
      <c r="B46" s="60" t="s">
        <v>111</v>
      </c>
    </row>
    <row r="47" spans="2:22" ht="12.6" x14ac:dyDescent="0.25">
      <c r="B47" s="59" t="s">
        <v>87</v>
      </c>
      <c r="C47" s="4">
        <f t="shared" ref="C47:C48" si="7">ROUND(SUM(D47:V47),0)</f>
        <v>-54</v>
      </c>
      <c r="R47" s="4">
        <f>-R8</f>
        <v>-54</v>
      </c>
      <c r="S47" s="4">
        <f>-S8</f>
        <v>0</v>
      </c>
    </row>
    <row r="48" spans="2:22" ht="12.6" x14ac:dyDescent="0.25">
      <c r="B48" s="61" t="s">
        <v>112</v>
      </c>
      <c r="C48" s="4">
        <f t="shared" si="7"/>
        <v>0</v>
      </c>
    </row>
    <row r="49" spans="2:22" s="2" customFormat="1" ht="25.2" x14ac:dyDescent="0.25">
      <c r="B49" s="60" t="s">
        <v>113</v>
      </c>
      <c r="C49" s="6">
        <f>SUM(C47:C48)</f>
        <v>-54</v>
      </c>
    </row>
    <row r="50" spans="2:22" x14ac:dyDescent="0.2">
      <c r="B50" s="7"/>
    </row>
    <row r="51" spans="2:22" s="2" customFormat="1" ht="25.2" x14ac:dyDescent="0.2">
      <c r="B51" s="63" t="s">
        <v>114</v>
      </c>
      <c r="C51" s="3" t="e">
        <f>ROUND(C34+C44+C49,0)</f>
        <v>#N/A</v>
      </c>
      <c r="D51" s="16"/>
      <c r="E51" s="16"/>
      <c r="F51" s="16"/>
      <c r="G51" s="16"/>
      <c r="H51" s="16"/>
      <c r="I51" s="16"/>
      <c r="J51" s="16"/>
      <c r="K51" s="16"/>
      <c r="L51" s="16"/>
      <c r="M51" s="16"/>
      <c r="N51" s="16"/>
      <c r="O51" s="16"/>
      <c r="P51" s="16"/>
      <c r="Q51" s="16"/>
      <c r="R51" s="16"/>
      <c r="S51" s="16"/>
      <c r="T51" s="16"/>
      <c r="U51" s="16"/>
      <c r="V51" s="16"/>
    </row>
    <row r="52" spans="2:22" ht="37.799999999999997" x14ac:dyDescent="0.2">
      <c r="B52" s="62" t="s">
        <v>115</v>
      </c>
      <c r="C52" s="4">
        <f t="shared" ref="C52" si="8">ROUND(SUM(D52:V52),0)</f>
        <v>12302</v>
      </c>
      <c r="D52" s="4">
        <f>-D15</f>
        <v>12302</v>
      </c>
    </row>
    <row r="53" spans="2:22" ht="25.2" x14ac:dyDescent="0.2">
      <c r="B53" s="62" t="s">
        <v>116</v>
      </c>
      <c r="C53" s="4">
        <f>D7</f>
        <v>39334962</v>
      </c>
    </row>
    <row r="54" spans="2:22" s="2" customFormat="1" ht="30.6" x14ac:dyDescent="0.2">
      <c r="B54" s="8" t="s">
        <v>117</v>
      </c>
      <c r="C54" s="6">
        <f>D6</f>
        <v>33810723</v>
      </c>
    </row>
    <row r="55" spans="2:22" x14ac:dyDescent="0.2">
      <c r="B55" s="13"/>
      <c r="C55" s="13"/>
      <c r="D55" s="13"/>
      <c r="E55" s="13"/>
      <c r="F55" s="13"/>
      <c r="G55" s="13"/>
      <c r="H55" s="13"/>
      <c r="I55" s="13"/>
      <c r="J55" s="13"/>
      <c r="K55" s="13"/>
      <c r="L55" s="13"/>
      <c r="M55" s="13"/>
      <c r="N55" s="13"/>
      <c r="O55" s="13"/>
      <c r="P55" s="13"/>
      <c r="Q55" s="13"/>
      <c r="R55" s="13"/>
      <c r="S55" s="13"/>
      <c r="T55" s="13"/>
      <c r="U55" s="13"/>
      <c r="V55" s="13"/>
    </row>
    <row r="56" spans="2:22" x14ac:dyDescent="0.2">
      <c r="C56" s="4" t="e">
        <f>SUM(C51:C53)</f>
        <v>#N/A</v>
      </c>
    </row>
    <row r="57" spans="2:22" x14ac:dyDescent="0.2">
      <c r="C57" s="4">
        <f>C54</f>
        <v>33810723</v>
      </c>
    </row>
    <row r="58" spans="2:22" x14ac:dyDescent="0.2">
      <c r="B58" s="17" t="s">
        <v>2</v>
      </c>
      <c r="C58" s="5" t="e">
        <f>C56-C57</f>
        <v>#N/A</v>
      </c>
    </row>
    <row r="60" spans="2:22" ht="13.2" x14ac:dyDescent="0.2">
      <c r="B60" s="64" t="s">
        <v>118</v>
      </c>
    </row>
    <row r="61" spans="2:22" ht="13.2" x14ac:dyDescent="0.2">
      <c r="B61" s="64" t="s">
        <v>119</v>
      </c>
    </row>
    <row r="62" spans="2:22" x14ac:dyDescent="0.2">
      <c r="B62" s="1"/>
      <c r="F62" s="4"/>
    </row>
    <row r="63" spans="2:22" x14ac:dyDescent="0.2">
      <c r="B63" s="1"/>
      <c r="F63" s="4"/>
    </row>
    <row r="64" spans="2:22" ht="13.2" x14ac:dyDescent="0.2">
      <c r="B64" s="64" t="s">
        <v>120</v>
      </c>
      <c r="F64" s="4"/>
    </row>
    <row r="65" spans="2:11" ht="13.2" x14ac:dyDescent="0.2">
      <c r="B65" s="64" t="s">
        <v>121</v>
      </c>
    </row>
    <row r="68" spans="2:11" ht="13.2" x14ac:dyDescent="0.25">
      <c r="B68" s="18" t="s">
        <v>6</v>
      </c>
      <c r="C68" s="19"/>
      <c r="D68" s="19"/>
      <c r="E68" s="19"/>
      <c r="G68" s="18" t="s">
        <v>6</v>
      </c>
      <c r="H68" s="19"/>
      <c r="I68" s="19"/>
      <c r="J68" s="19"/>
    </row>
    <row r="69" spans="2:11" ht="15.6" x14ac:dyDescent="0.3">
      <c r="B69" s="20" t="s">
        <v>7</v>
      </c>
      <c r="C69" s="19"/>
      <c r="D69" s="19"/>
      <c r="E69" s="19"/>
      <c r="G69" s="20" t="s">
        <v>8</v>
      </c>
      <c r="H69" s="19"/>
      <c r="I69" s="19"/>
      <c r="J69" s="19"/>
    </row>
    <row r="70" spans="2:11" x14ac:dyDescent="0.2">
      <c r="B70" s="19" t="s">
        <v>9</v>
      </c>
      <c r="C70" s="19" t="s">
        <v>10</v>
      </c>
      <c r="D70" s="19"/>
      <c r="E70" s="19"/>
      <c r="G70" s="19" t="s">
        <v>9</v>
      </c>
      <c r="H70" s="19" t="s">
        <v>10</v>
      </c>
      <c r="I70" s="19"/>
      <c r="J70" s="19"/>
    </row>
    <row r="71" spans="2:11" ht="13.2" x14ac:dyDescent="0.2">
      <c r="B71" s="21" t="s">
        <v>11</v>
      </c>
      <c r="C71" s="22" t="s">
        <v>12</v>
      </c>
      <c r="D71" s="22" t="s">
        <v>13</v>
      </c>
      <c r="E71" s="22" t="s">
        <v>14</v>
      </c>
      <c r="G71" s="21" t="s">
        <v>11</v>
      </c>
      <c r="H71" s="95" t="s">
        <v>12</v>
      </c>
      <c r="I71" s="95" t="s">
        <v>13</v>
      </c>
      <c r="J71" s="95" t="s">
        <v>14</v>
      </c>
    </row>
    <row r="72" spans="2:11" ht="22.8" x14ac:dyDescent="0.2">
      <c r="B72" s="23">
        <v>2170.0100000000002</v>
      </c>
      <c r="C72" s="24" t="s">
        <v>15</v>
      </c>
      <c r="D72" s="25">
        <v>29517.696809999998</v>
      </c>
      <c r="E72" s="25"/>
      <c r="F72" s="4">
        <f>D78-D72</f>
        <v>7383.557380000002</v>
      </c>
      <c r="G72" s="21" t="s">
        <v>16</v>
      </c>
      <c r="H72" s="96"/>
      <c r="I72" s="96"/>
      <c r="J72" s="96"/>
    </row>
    <row r="73" spans="2:11" ht="11.4" x14ac:dyDescent="0.2">
      <c r="B73" s="26"/>
      <c r="C73" s="27">
        <v>1060</v>
      </c>
      <c r="D73" s="28"/>
      <c r="E73" s="28">
        <v>35084.559099999999</v>
      </c>
      <c r="F73" s="4"/>
      <c r="G73" s="23">
        <v>2170.04</v>
      </c>
      <c r="H73" s="24" t="s">
        <v>15</v>
      </c>
      <c r="I73" s="25">
        <v>6670.2653600000003</v>
      </c>
      <c r="J73" s="25"/>
      <c r="K73" s="4">
        <f>I81-I73</f>
        <v>26.009359999999106</v>
      </c>
    </row>
    <row r="74" spans="2:11" ht="22.8" x14ac:dyDescent="0.2">
      <c r="B74" s="26"/>
      <c r="C74" s="29">
        <v>6110.01</v>
      </c>
      <c r="D74" s="28">
        <v>35946.912509999995</v>
      </c>
      <c r="E74" s="28"/>
      <c r="G74" s="30" t="s">
        <v>17</v>
      </c>
      <c r="H74" s="30" t="s">
        <v>15</v>
      </c>
      <c r="I74" s="31">
        <v>6670.2653600000003</v>
      </c>
      <c r="J74" s="31"/>
    </row>
    <row r="75" spans="2:11" ht="11.4" x14ac:dyDescent="0.2">
      <c r="B75" s="26"/>
      <c r="C75" s="27">
        <v>6250</v>
      </c>
      <c r="D75" s="28">
        <v>6864.1776399999999</v>
      </c>
      <c r="E75" s="28"/>
      <c r="G75" s="32"/>
      <c r="H75" s="27">
        <v>1060</v>
      </c>
      <c r="I75" s="28">
        <v>7571.2949600000002</v>
      </c>
      <c r="J75" s="28">
        <v>8951.2475099999992</v>
      </c>
      <c r="K75" s="4"/>
    </row>
    <row r="76" spans="2:11" ht="11.4" x14ac:dyDescent="0.2">
      <c r="B76" s="26"/>
      <c r="C76" s="27">
        <v>7430</v>
      </c>
      <c r="D76" s="28"/>
      <c r="E76" s="28">
        <v>342.97366999999997</v>
      </c>
      <c r="G76" s="32"/>
      <c r="H76" s="27">
        <v>6250</v>
      </c>
      <c r="I76" s="28">
        <v>1476.4915100000001</v>
      </c>
      <c r="J76" s="28"/>
    </row>
    <row r="77" spans="2:11" ht="11.4" x14ac:dyDescent="0.2">
      <c r="B77" s="33"/>
      <c r="C77" s="24" t="s">
        <v>18</v>
      </c>
      <c r="D77" s="25">
        <v>42811.090149999996</v>
      </c>
      <c r="E77" s="25">
        <v>35427.532770000005</v>
      </c>
      <c r="G77" s="32"/>
      <c r="H77" s="27">
        <v>7430</v>
      </c>
      <c r="I77" s="28"/>
      <c r="J77" s="28">
        <v>70.529600000000002</v>
      </c>
    </row>
    <row r="78" spans="2:11" ht="11.4" x14ac:dyDescent="0.2">
      <c r="B78" s="33"/>
      <c r="C78" s="24" t="s">
        <v>19</v>
      </c>
      <c r="D78" s="25">
        <v>36901.25419</v>
      </c>
      <c r="E78" s="25"/>
      <c r="G78" s="34"/>
      <c r="H78" s="30" t="s">
        <v>18</v>
      </c>
      <c r="I78" s="31">
        <v>9047.7864700000009</v>
      </c>
      <c r="J78" s="31">
        <v>9021.7771099999991</v>
      </c>
    </row>
    <row r="79" spans="2:11" ht="22.8" x14ac:dyDescent="0.2">
      <c r="G79" s="34"/>
      <c r="H79" s="30" t="s">
        <v>19</v>
      </c>
      <c r="I79" s="31">
        <v>6696.2747199999994</v>
      </c>
      <c r="J79" s="31"/>
    </row>
    <row r="80" spans="2:11" ht="11.4" x14ac:dyDescent="0.2">
      <c r="G80" s="33"/>
      <c r="H80" s="24" t="s">
        <v>18</v>
      </c>
      <c r="I80" s="25">
        <v>9047.7864700000009</v>
      </c>
      <c r="J80" s="25">
        <v>9021.7771099999991</v>
      </c>
    </row>
    <row r="81" spans="2:10" ht="11.4" x14ac:dyDescent="0.2">
      <c r="G81" s="33"/>
      <c r="H81" s="24" t="s">
        <v>19</v>
      </c>
      <c r="I81" s="25">
        <v>6696.2747199999994</v>
      </c>
      <c r="J81" s="25"/>
    </row>
    <row r="82" spans="2:10" ht="13.2" x14ac:dyDescent="0.25">
      <c r="B82" s="18" t="s">
        <v>6</v>
      </c>
      <c r="C82" s="19"/>
      <c r="D82" s="19"/>
      <c r="E82" s="19"/>
    </row>
    <row r="83" spans="2:10" ht="15.6" x14ac:dyDescent="0.3">
      <c r="B83" s="20" t="s">
        <v>20</v>
      </c>
      <c r="C83" s="19"/>
      <c r="D83" s="19"/>
      <c r="E83" s="19"/>
    </row>
    <row r="84" spans="2:10" x14ac:dyDescent="0.2">
      <c r="B84" s="19" t="s">
        <v>9</v>
      </c>
      <c r="C84" s="19" t="s">
        <v>10</v>
      </c>
      <c r="D84" s="19"/>
      <c r="E84" s="19"/>
    </row>
    <row r="85" spans="2:10" ht="13.2" x14ac:dyDescent="0.2">
      <c r="B85" s="21" t="s">
        <v>11</v>
      </c>
      <c r="C85" s="22" t="s">
        <v>12</v>
      </c>
      <c r="D85" s="22" t="s">
        <v>13</v>
      </c>
      <c r="E85" s="22" t="s">
        <v>14</v>
      </c>
    </row>
    <row r="86" spans="2:10" ht="22.8" x14ac:dyDescent="0.2">
      <c r="B86" s="35">
        <v>5510</v>
      </c>
      <c r="C86" s="24" t="s">
        <v>15</v>
      </c>
      <c r="D86" s="25"/>
      <c r="E86" s="25">
        <v>106048.10427</v>
      </c>
    </row>
    <row r="87" spans="2:10" ht="11.4" x14ac:dyDescent="0.2">
      <c r="B87" s="26"/>
      <c r="C87" s="29">
        <v>5490.4</v>
      </c>
      <c r="D87" s="28"/>
      <c r="E87" s="28"/>
    </row>
    <row r="88" spans="2:10" ht="11.4" x14ac:dyDescent="0.2">
      <c r="B88" s="26"/>
      <c r="C88" s="27">
        <v>5520</v>
      </c>
      <c r="D88" s="28">
        <v>113532.24127</v>
      </c>
      <c r="E88" s="28"/>
    </row>
    <row r="89" spans="2:10" ht="11.4" x14ac:dyDescent="0.2">
      <c r="B89" s="26"/>
      <c r="C89" s="27">
        <v>5610</v>
      </c>
      <c r="D89" s="28"/>
      <c r="E89" s="28">
        <v>469352.63460000005</v>
      </c>
    </row>
    <row r="90" spans="2:10" ht="11.4" x14ac:dyDescent="0.2">
      <c r="B90" s="33"/>
      <c r="C90" s="24" t="s">
        <v>18</v>
      </c>
      <c r="D90" s="25"/>
      <c r="E90" s="25">
        <v>469352.63459999999</v>
      </c>
    </row>
    <row r="91" spans="2:10" ht="11.4" x14ac:dyDescent="0.2">
      <c r="B91" s="33"/>
      <c r="C91" s="24" t="s">
        <v>19</v>
      </c>
      <c r="D91" s="25"/>
      <c r="E91" s="25">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0.199999999999999" x14ac:dyDescent="0.2"/>
  <cols>
    <col min="1" max="1" width="50" customWidth="1"/>
    <col min="2" max="2" width="11" bestFit="1" customWidth="1"/>
    <col min="3" max="3" width="18.140625" customWidth="1"/>
    <col min="4" max="4" width="20.42578125" customWidth="1"/>
    <col min="5" max="5" width="15.28515625" bestFit="1" customWidth="1"/>
    <col min="6" max="6" width="14.28515625" customWidth="1"/>
    <col min="7" max="7" width="11.7109375" customWidth="1"/>
  </cols>
  <sheetData>
    <row r="1" spans="1:8" ht="15.6" x14ac:dyDescent="0.3">
      <c r="A1" s="36" t="s">
        <v>21</v>
      </c>
    </row>
    <row r="2" spans="1:8" ht="15.6" x14ac:dyDescent="0.3">
      <c r="A2" s="36" t="s">
        <v>22</v>
      </c>
    </row>
    <row r="5" spans="1:8" x14ac:dyDescent="0.2">
      <c r="A5" t="s">
        <v>23</v>
      </c>
    </row>
    <row r="6" spans="1:8" x14ac:dyDescent="0.2">
      <c r="A6" t="s">
        <v>24</v>
      </c>
    </row>
    <row r="9" spans="1:8" x14ac:dyDescent="0.2">
      <c r="A9" s="37" t="s">
        <v>25</v>
      </c>
      <c r="B9">
        <f>BS!D29*1000/10000</f>
        <v>791461.6</v>
      </c>
    </row>
    <row r="11" spans="1:8" ht="40.799999999999997" x14ac:dyDescent="0.2">
      <c r="A11" s="103" t="s">
        <v>31</v>
      </c>
      <c r="B11" s="104"/>
      <c r="C11" s="39" t="s">
        <v>26</v>
      </c>
      <c r="D11" s="40" t="s">
        <v>29</v>
      </c>
      <c r="E11" s="40" t="s">
        <v>28</v>
      </c>
      <c r="F11" s="40" t="s">
        <v>27</v>
      </c>
      <c r="G11" s="40" t="s">
        <v>30</v>
      </c>
    </row>
    <row r="12" spans="1:8" x14ac:dyDescent="0.2">
      <c r="A12" s="105">
        <v>2017</v>
      </c>
      <c r="B12" s="106"/>
      <c r="C12" s="41">
        <v>365</v>
      </c>
      <c r="D12" s="41">
        <f>937000000/10000</f>
        <v>93700</v>
      </c>
      <c r="E12" s="41">
        <f t="shared" ref="E12:E17" si="0">C12/365*D12</f>
        <v>93700</v>
      </c>
      <c r="F12" s="41">
        <v>33811000</v>
      </c>
      <c r="G12" s="42">
        <f>F12/E12</f>
        <v>360.84311632870862</v>
      </c>
      <c r="H12" s="38"/>
    </row>
    <row r="13" spans="1:8" x14ac:dyDescent="0.2">
      <c r="A13" s="105">
        <v>2018</v>
      </c>
      <c r="B13" s="106"/>
      <c r="C13" s="41">
        <v>365</v>
      </c>
      <c r="D13" s="41">
        <f>937000000/10000</f>
        <v>93700</v>
      </c>
      <c r="E13" s="41">
        <f t="shared" si="0"/>
        <v>93700</v>
      </c>
      <c r="F13" s="41">
        <v>184175000</v>
      </c>
      <c r="G13" s="42">
        <f>F13/E13</f>
        <v>1965.581643543223</v>
      </c>
      <c r="H13" s="38"/>
    </row>
    <row r="14" spans="1:8" x14ac:dyDescent="0.2">
      <c r="A14" s="44">
        <v>43465</v>
      </c>
      <c r="B14" s="44">
        <v>43468</v>
      </c>
      <c r="C14" s="43">
        <f>B14-A14</f>
        <v>3</v>
      </c>
      <c r="D14" s="41">
        <v>93700</v>
      </c>
      <c r="E14" s="41">
        <f t="shared" si="0"/>
        <v>770.1369863013698</v>
      </c>
      <c r="F14" s="100">
        <v>105481000</v>
      </c>
      <c r="G14" s="97">
        <f>F14/SUM(E14:E17)</f>
        <v>792.40302467115771</v>
      </c>
    </row>
    <row r="15" spans="1:8" x14ac:dyDescent="0.2">
      <c r="A15" s="44">
        <v>43468</v>
      </c>
      <c r="B15" s="44">
        <v>43480</v>
      </c>
      <c r="C15" s="43">
        <f t="shared" ref="C15:C20" si="1">B15-A15</f>
        <v>12</v>
      </c>
      <c r="D15" s="41">
        <f>93700+1300</f>
        <v>95000</v>
      </c>
      <c r="E15" s="41">
        <f t="shared" si="0"/>
        <v>3123.2876712328766</v>
      </c>
      <c r="F15" s="101"/>
      <c r="G15" s="98"/>
    </row>
    <row r="16" spans="1:8" x14ac:dyDescent="0.2">
      <c r="A16" s="44">
        <v>43480</v>
      </c>
      <c r="B16" s="44">
        <v>43761</v>
      </c>
      <c r="C16" s="43">
        <f t="shared" si="1"/>
        <v>281</v>
      </c>
      <c r="D16" s="41">
        <f>95000+37000</f>
        <v>132000</v>
      </c>
      <c r="E16" s="41">
        <f t="shared" si="0"/>
        <v>101621.91780821916</v>
      </c>
      <c r="F16" s="101"/>
      <c r="G16" s="98"/>
    </row>
    <row r="17" spans="1:7" x14ac:dyDescent="0.2">
      <c r="A17" s="44">
        <v>43761</v>
      </c>
      <c r="B17" s="44">
        <v>43830</v>
      </c>
      <c r="C17" s="43">
        <f t="shared" si="1"/>
        <v>69</v>
      </c>
      <c r="D17" s="41">
        <f>132000+14000</f>
        <v>146000</v>
      </c>
      <c r="E17" s="41">
        <f t="shared" si="0"/>
        <v>27600</v>
      </c>
      <c r="F17" s="102"/>
      <c r="G17" s="99"/>
    </row>
    <row r="18" spans="1:7" x14ac:dyDescent="0.2">
      <c r="A18" s="44">
        <v>43830</v>
      </c>
      <c r="B18" s="45">
        <v>43858</v>
      </c>
      <c r="C18" s="41">
        <f t="shared" si="1"/>
        <v>28</v>
      </c>
      <c r="D18" s="46">
        <f>D17</f>
        <v>146000</v>
      </c>
      <c r="E18" s="41">
        <f>C18/91*D18</f>
        <v>44923.076923076922</v>
      </c>
      <c r="F18" s="100">
        <v>469352000</v>
      </c>
      <c r="G18" s="97">
        <f>F18/SUM(E18:E20)</f>
        <v>2978.0387672570073</v>
      </c>
    </row>
    <row r="19" spans="1:7" x14ac:dyDescent="0.2">
      <c r="A19" s="45">
        <v>43858</v>
      </c>
      <c r="B19" s="44">
        <v>43888</v>
      </c>
      <c r="C19" s="43">
        <f t="shared" si="1"/>
        <v>30</v>
      </c>
      <c r="D19" s="46">
        <f>D18+11000</f>
        <v>157000</v>
      </c>
      <c r="E19" s="41">
        <f>C19/91*D19</f>
        <v>51758.241758241755</v>
      </c>
      <c r="F19" s="101"/>
      <c r="G19" s="98"/>
    </row>
    <row r="20" spans="1:7" x14ac:dyDescent="0.2">
      <c r="A20" s="44">
        <v>43888</v>
      </c>
      <c r="B20" s="44">
        <v>43921</v>
      </c>
      <c r="C20" s="43">
        <f t="shared" si="1"/>
        <v>33</v>
      </c>
      <c r="D20" s="46">
        <f>D19+11000</f>
        <v>168000</v>
      </c>
      <c r="E20" s="41">
        <f>C20/91*D20</f>
        <v>60923.076923076922</v>
      </c>
      <c r="F20" s="102"/>
      <c r="G20" s="99"/>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Арсен Түлкі</cp:lastModifiedBy>
  <cp:lastPrinted>2025-08-14T07:05:13Z</cp:lastPrinted>
  <dcterms:created xsi:type="dcterms:W3CDTF">2020-06-17T09:42:51Z</dcterms:created>
  <dcterms:modified xsi:type="dcterms:W3CDTF">2025-08-14T09:05:34Z</dcterms:modified>
</cp:coreProperties>
</file>