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rymbet-my.sharepoint.com/personal/baimukhametova_tinone_kz/Documents/Рабочий стол/Виктория/Отчеты/KASE/2025/"/>
    </mc:Choice>
  </mc:AlternateContent>
  <xr:revisionPtr revIDLastSave="85" documentId="8_{30ACF134-C8CA-42EC-A737-07CDB7BFF06B}" xr6:coauthVersionLast="45" xr6:coauthVersionMax="45" xr10:uidLastSave="{1D6A466C-FAE5-4029-8929-864D8E5B8CB9}"/>
  <bookViews>
    <workbookView xWindow="780" yWindow="780" windowWidth="21600" windowHeight="11385" tabRatio="641" activeTab="3" xr2:uid="{00000000-000D-0000-FFFF-FFFF00000000}"/>
  </bookViews>
  <sheets>
    <sheet name="ОФП " sheetId="1" r:id="rId1"/>
    <sheet name="ОСД " sheetId="3" r:id="rId2"/>
    <sheet name="ОИК" sheetId="2" r:id="rId3"/>
    <sheet name="ОДДС" sheetId="23" r:id="rId4"/>
  </sheets>
  <definedNames>
    <definedName name="OLE_LINK1" localSheetId="0">'ОФП '!#REF!</definedName>
    <definedName name="_xlnm.Print_Titles" localSheetId="2">ОИК!$6:$6</definedName>
    <definedName name="_xlnm.Print_Titles" localSheetId="1">'ОСД '!$6:$6</definedName>
    <definedName name="_xlnm.Print_Titles" localSheetId="0">'ОФП '!$6:$6</definedName>
    <definedName name="_xlnm.Print_Area" localSheetId="2">ОИК!$A$1:$E$26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" l="1"/>
  <c r="C24" i="3"/>
  <c r="E8" i="2"/>
  <c r="D13" i="2"/>
  <c r="D15" i="2" s="1"/>
  <c r="D21" i="2" s="1"/>
  <c r="C15" i="2"/>
  <c r="C21" i="2" s="1"/>
  <c r="E19" i="2"/>
  <c r="D17" i="2"/>
  <c r="E9" i="2"/>
  <c r="E11" i="2"/>
  <c r="E21" i="2" l="1"/>
  <c r="F21" i="2" s="1"/>
  <c r="E13" i="2"/>
  <c r="E15" i="2"/>
  <c r="F15" i="2" s="1"/>
  <c r="D13" i="3"/>
  <c r="C13" i="3"/>
  <c r="D10" i="3"/>
  <c r="D9" i="3"/>
  <c r="D8" i="3"/>
  <c r="D11" i="3" s="1"/>
  <c r="D17" i="3" s="1"/>
  <c r="D20" i="3" s="1"/>
  <c r="D21" i="3" s="1"/>
  <c r="C9" i="3"/>
  <c r="C10" i="3"/>
  <c r="C8" i="3"/>
  <c r="C11" i="3" s="1"/>
  <c r="C17" i="3" s="1"/>
  <c r="C20" i="3" s="1"/>
  <c r="C21" i="3" s="1"/>
  <c r="E17" i="2" s="1"/>
  <c r="C25" i="1"/>
  <c r="C26" i="1" s="1"/>
  <c r="C22" i="1"/>
  <c r="C42" i="1"/>
  <c r="C43" i="1" s="1"/>
  <c r="D42" i="1"/>
  <c r="C41" i="1"/>
  <c r="D41" i="1"/>
  <c r="D43" i="1" s="1"/>
  <c r="D44" i="1" s="1"/>
  <c r="D45" i="1" s="1"/>
  <c r="C38" i="1"/>
  <c r="C44" i="1" s="1"/>
  <c r="C45" i="1" s="1"/>
  <c r="D38" i="1" l="1"/>
  <c r="C37" i="1"/>
  <c r="D37" i="1"/>
  <c r="C35" i="1"/>
  <c r="D35" i="1"/>
  <c r="C31" i="1"/>
  <c r="C32" i="1" s="1"/>
  <c r="D31" i="1"/>
  <c r="D32" i="1" s="1"/>
  <c r="C24" i="1"/>
  <c r="D24" i="1"/>
  <c r="C23" i="1"/>
  <c r="D22" i="1"/>
  <c r="C21" i="1"/>
  <c r="D21" i="1"/>
  <c r="D25" i="1" s="1"/>
  <c r="C20" i="1"/>
  <c r="D20" i="1"/>
  <c r="C16" i="1"/>
  <c r="C15" i="1"/>
  <c r="D15" i="1"/>
  <c r="C14" i="1"/>
  <c r="D14" i="1"/>
  <c r="C12" i="1"/>
  <c r="D12" i="1"/>
  <c r="C11" i="1"/>
  <c r="C17" i="1" s="1"/>
  <c r="D11" i="1"/>
  <c r="C10" i="1"/>
  <c r="D10" i="1"/>
  <c r="D17" i="1" s="1"/>
  <c r="D26" i="1" s="1"/>
  <c r="C30" i="1" l="1"/>
  <c r="D36" i="1" l="1"/>
  <c r="C36" i="1"/>
  <c r="D30" i="1"/>
  <c r="D16" i="1"/>
  <c r="A1" i="2" l="1"/>
</calcChain>
</file>

<file path=xl/sharedStrings.xml><?xml version="1.0" encoding="utf-8"?>
<sst xmlns="http://schemas.openxmlformats.org/spreadsheetml/2006/main" count="230" uniqueCount="161">
  <si>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</si>
  <si>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</si>
  <si>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</si>
  <si>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</si>
  <si>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Долгосрочные обязательства</t>
  </si>
  <si>
    <t>ОТЧЕТ ОБ ИЗМЕНЕНИЯХ В КАПИТАЛЕ</t>
  </si>
  <si>
    <t>в тысячах тенге</t>
  </si>
  <si>
    <t>Прим.</t>
  </si>
  <si>
    <t>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</si>
  <si>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</si>
  <si>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</si>
  <si>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</si>
  <si>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</si>
  <si>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</si>
  <si>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Финансовые доходы</t>
  </si>
  <si>
    <t>Расходы по подоходному налогу</t>
  </si>
  <si>
    <t xml:space="preserve">Итого </t>
  </si>
  <si>
    <t>______________</t>
  </si>
  <si>
    <t>Главный бухгалтер</t>
  </si>
  <si>
    <t>________________</t>
  </si>
  <si>
    <t>ОТЧЕТ О ФИНАНСОВОМ  ПОЛОЖЕНИИ</t>
  </si>
  <si>
    <t>ОТЧЕТ О СОВОКУПНОМ  ДОХОДЕ</t>
  </si>
  <si>
    <t>НДС и прочие налоги к возмещению</t>
  </si>
  <si>
    <t>Предоплаты за разведочные и оченочные активы</t>
  </si>
  <si>
    <t>Запасы</t>
  </si>
  <si>
    <t>Краткосрочные активы</t>
  </si>
  <si>
    <t>Прочая дебиторская задолженность</t>
  </si>
  <si>
    <t>Депозиты</t>
  </si>
  <si>
    <t>Прочие предоплаты</t>
  </si>
  <si>
    <t xml:space="preserve">АО "TIN ONE MINING" </t>
  </si>
  <si>
    <t>Займы и прочие финансовые обязательства</t>
  </si>
  <si>
    <t>Торговая и прочая кредиторская задолженность</t>
  </si>
  <si>
    <t>Обязательства по возмещению исторических затрат</t>
  </si>
  <si>
    <t>Краткосрочные обязательства</t>
  </si>
  <si>
    <t>Итого текущие активы</t>
  </si>
  <si>
    <t>Итого долгосрочные активы</t>
  </si>
  <si>
    <t>ИТОГО АКТИВЫ</t>
  </si>
  <si>
    <t>ИТОГО КАПИТАЛ</t>
  </si>
  <si>
    <t>Итого долгорочные обязательства</t>
  </si>
  <si>
    <t>Итого текущие обязательства</t>
  </si>
  <si>
    <t>ИТОГО ОБЯЗАТЕЛЬСТВА</t>
  </si>
  <si>
    <t>ИТОГО КАПИТАЛ И ОБЯЗАТЕЛЬСТВА</t>
  </si>
  <si>
    <t>Президент</t>
  </si>
  <si>
    <t>Убыток за год</t>
  </si>
  <si>
    <t>Прочий совокупный доход</t>
  </si>
  <si>
    <t>Дополнительный оплаченный капитал</t>
  </si>
  <si>
    <t>Общие административные расходы</t>
  </si>
  <si>
    <t>Прочие доходы</t>
  </si>
  <si>
    <t>Прочие расходы</t>
  </si>
  <si>
    <t>Результаты операционой деятельности</t>
  </si>
  <si>
    <t>Финансовые расходы</t>
  </si>
  <si>
    <t>Убыток до налогообложения</t>
  </si>
  <si>
    <t>Убыток на акцию</t>
  </si>
  <si>
    <t xml:space="preserve">Базовый и разводненный убыток на акцию </t>
  </si>
  <si>
    <t>Чистые финансовые доходы</t>
  </si>
  <si>
    <t>-</t>
  </si>
  <si>
    <t>Отчет о движении денежных средств (прямой метод)</t>
  </si>
  <si>
    <t>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</si>
  <si>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</si>
  <si>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</si>
  <si>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</si>
  <si>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</si>
  <si>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</si>
  <si>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</si>
  <si>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</si>
  <si>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</si>
  <si>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</si>
  <si>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</si>
  <si>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</si>
  <si>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</si>
  <si>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(подпись)</t>
  </si>
  <si>
    <t>Наименование показателей</t>
  </si>
  <si>
    <t>Чистый убыток за период</t>
  </si>
  <si>
    <t>Итого совокупный убыток за период</t>
  </si>
  <si>
    <t>Убыток (доход) за период</t>
  </si>
  <si>
    <t>За предыдущий период</t>
  </si>
  <si>
    <t>АО Tin One Mining (Тин Уан Майнинг)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</si>
  <si>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</si>
  <si>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</si>
  <si>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</si>
  <si>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</si>
  <si>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</si>
  <si>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</si>
  <si>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</si>
  <si>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</si>
  <si>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</si>
  <si>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</si>
  <si>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</si>
  <si>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</si>
  <si>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</si>
  <si>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1. Поступление денежных средств, всего (сумма строк с 041 по 052)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</si>
  <si>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</si>
  <si>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</si>
  <si>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</si>
  <si>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</si>
  <si>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</si>
  <si>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</si>
  <si>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</si>
  <si>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</si>
  <si>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</si>
  <si>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</si>
  <si>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073)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</si>
  <si>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</si>
  <si>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</si>
  <si>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</si>
  <si>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</si>
  <si>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</si>
  <si>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</si>
  <si>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>размещение денежных вкладов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</si>
  <si>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</si>
  <si>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</si>
  <si>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</si>
  <si>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</si>
  <si>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</si>
  <si>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</si>
  <si>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</si>
  <si>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</si>
  <si>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</si>
  <si>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</si>
  <si>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</si>
  <si>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</si>
  <si>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</si>
  <si>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</si>
  <si>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</si>
  <si>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</si>
  <si>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(фамилия, имя, отчество (при его наличии))</t>
  </si>
  <si>
    <t>(при наличии)</t>
  </si>
  <si>
    <t>Форма</t>
  </si>
  <si>
    <t>Периодичность:</t>
  </si>
  <si>
    <t>Код
строки</t>
  </si>
  <si>
    <t xml:space="preserve">На 1 января 2024 года </t>
  </si>
  <si>
    <t>Приложение 3 к приказу
Министра финансов
Республики Казахстан
от 2 марта 2022 года № 241</t>
  </si>
  <si>
    <t>Приложение 4
к приказу Министра финансов
Республики Казахстан
от 28 июня 2017 года № 404</t>
  </si>
  <si>
    <t>Индекс формы административных данных:   № 3 - ДДС-П</t>
  </si>
  <si>
    <t>годовая</t>
  </si>
  <si>
    <t>Круг лиц, представляющих информацию:    организации публичного интереса по результатам финансового года</t>
  </si>
  <si>
    <t>Срок представления формы административных данных:   ежегодно не позднее 31 августа года, следующего за отчетным</t>
  </si>
  <si>
    <t>Примечание:   пояснение по заполнению отчета приведено в приложении к форме, предназначенной для сбора административных</t>
  </si>
  <si>
    <t>данных "Отчет о движении денежных средств (прямой метод)"</t>
  </si>
  <si>
    <t>Наименование организации</t>
  </si>
  <si>
    <t>выплата вознаграждения</t>
  </si>
  <si>
    <t>Место печати</t>
  </si>
  <si>
    <t>Актив в форме права пользования</t>
  </si>
  <si>
    <t>по состоянию на 31 марта 2025 года</t>
  </si>
  <si>
    <t>31 марта 2025 года</t>
  </si>
  <si>
    <t>31 декабря 2024 года</t>
  </si>
  <si>
    <t>Худайбергенов А.Е.</t>
  </si>
  <si>
    <t>Попова В.И.</t>
  </si>
  <si>
    <t>За 3 мес5ца, заканчивающихся 31 марта 2024 года</t>
  </si>
  <si>
    <t>За 3 месяца, заканчивающихся 31 марта 2025 года</t>
  </si>
  <si>
    <t>За 3 месяца, заканчивающихся 31 марта 2024 года</t>
  </si>
  <si>
    <t>На 31 декабря 2024 года</t>
  </si>
  <si>
    <t xml:space="preserve">На 1 января 2025 года </t>
  </si>
  <si>
    <t>На 31 марта 2025 года</t>
  </si>
  <si>
    <t>Худайбергенов Абай Есетович</t>
  </si>
  <si>
    <t>Попова Виктория Игорьевна</t>
  </si>
  <si>
    <t>за 3 месяца, заканчивающихся 31 марта 2025 года</t>
  </si>
  <si>
    <t>за 3 месяца, заканчивающихся  31 марта 2025 года</t>
  </si>
  <si>
    <t>(343 422)</t>
  </si>
  <si>
    <t>(10 434)</t>
  </si>
  <si>
    <t>(2 965)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</si>
</sst>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  <numFmt numFmtId="204" formatCode="_-* #,##0.00\ _₽_-;\-* #,##0.00\ _₽_-;_-* &quot;-&quot;\ _₽_-;_-@_-"/>
    <numFmt numFmtId="205" formatCode="#,##0,"/>
    <numFmt numFmtId="206" formatCode="[=0]&quot;-&quot;;General"/>
    <numFmt numFmtId="207" formatCode="[=0]&quot;&quot;;General"/>
    <numFmt numFmtId="208" formatCode="000"/>
  </numFmts>
  <fonts count="1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rgb="FFFF0000"/>
      <name val="Times New Roman"/>
      <family val="1"/>
      <charset val="204"/>
    </font>
    <font>
      <sz val="8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  <fill>
      <patternFill patternType="solid">
        <fgColor rgb="FFFFFFC0"/>
        <bgColor auto="1"/>
      </patternFill>
    </fill>
    <fill>
      <patternFill patternType="solid">
        <fgColor rgb="FFC0DCC0"/>
        <bgColor auto="1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497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  <xf numFmtId="0" fontId="124" fillId="0" borderId="0"/>
  </cellStyleXfs>
  <cellXfs count="229">
    <xf numFmtId="0" fontId="0" fillId="0" borderId="0" xfId="0"/>
    <xf numFmtId="0" fontId="4" fillId="0" borderId="0" xfId="389" applyFont="1" applyFill="1"/>
    <xf numFmtId="0" fontId="4" fillId="0" borderId="0" xfId="389" applyFont="1" applyFill="1" applyAlignment="1">
      <alignment horizontal="center"/>
    </xf>
    <xf numFmtId="167" fontId="4" fillId="0" borderId="0" xfId="473" applyFont="1" applyFill="1"/>
    <xf numFmtId="0" fontId="3" fillId="0" borderId="0" xfId="389" applyFont="1" applyFill="1" applyBorder="1" applyAlignment="1">
      <alignment horizontal="center"/>
    </xf>
    <xf numFmtId="0" fontId="109" fillId="0" borderId="0" xfId="0" applyFont="1" applyFill="1"/>
    <xf numFmtId="0" fontId="109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vertical="center"/>
    </xf>
    <xf numFmtId="0" fontId="0" fillId="0" borderId="0" xfId="0" applyFill="1"/>
    <xf numFmtId="0" fontId="112" fillId="0" borderId="0" xfId="0" applyFont="1" applyFill="1"/>
    <xf numFmtId="0" fontId="110" fillId="0" borderId="10" xfId="0" applyFont="1" applyFill="1" applyBorder="1" applyAlignment="1">
      <alignment horizontal="center" wrapText="1"/>
    </xf>
    <xf numFmtId="0" fontId="110" fillId="0" borderId="0" xfId="0" applyFont="1" applyFill="1" applyAlignment="1">
      <alignment wrapText="1"/>
    </xf>
    <xf numFmtId="0" fontId="111" fillId="0" borderId="0" xfId="0" applyFont="1" applyFill="1" applyAlignment="1">
      <alignment horizontal="center" wrapText="1"/>
    </xf>
    <xf numFmtId="0" fontId="109" fillId="0" borderId="0" xfId="0" applyFont="1" applyFill="1" applyAlignment="1">
      <alignment wrapText="1"/>
    </xf>
    <xf numFmtId="0" fontId="109" fillId="0" borderId="0" xfId="0" applyFont="1" applyFill="1" applyBorder="1" applyAlignment="1">
      <alignment wrapText="1"/>
    </xf>
    <xf numFmtId="0" fontId="109" fillId="0" borderId="0" xfId="0" applyFont="1" applyFill="1" applyBorder="1" applyAlignment="1">
      <alignment horizontal="center" wrapText="1"/>
    </xf>
    <xf numFmtId="0" fontId="111" fillId="0" borderId="0" xfId="0" applyFont="1" applyFill="1" applyBorder="1" applyAlignment="1">
      <alignment horizontal="center" wrapText="1"/>
    </xf>
    <xf numFmtId="0" fontId="109" fillId="0" borderId="10" xfId="0" applyFont="1" applyFill="1" applyBorder="1" applyAlignment="1">
      <alignment horizontal="center" wrapText="1"/>
    </xf>
    <xf numFmtId="0" fontId="111" fillId="0" borderId="0" xfId="0" applyFont="1" applyFill="1" applyAlignment="1">
      <alignment wrapText="1"/>
    </xf>
    <xf numFmtId="0" fontId="4" fillId="0" borderId="0" xfId="389" applyFont="1" applyFill="1" applyBorder="1" applyAlignment="1">
      <alignment horizontal="center"/>
    </xf>
    <xf numFmtId="0" fontId="110" fillId="0" borderId="10" xfId="0" applyFont="1" applyFill="1" applyBorder="1" applyAlignment="1">
      <alignment wrapText="1"/>
    </xf>
    <xf numFmtId="0" fontId="110" fillId="0" borderId="0" xfId="0" applyFont="1" applyFill="1" applyBorder="1" applyAlignment="1">
      <alignment wrapText="1"/>
    </xf>
    <xf numFmtId="3" fontId="110" fillId="0" borderId="0" xfId="0" applyNumberFormat="1" applyFont="1" applyFill="1" applyBorder="1" applyAlignment="1">
      <alignment horizontal="right" wrapText="1"/>
    </xf>
    <xf numFmtId="0" fontId="4" fillId="0" borderId="0" xfId="400" applyFont="1" applyFill="1"/>
    <xf numFmtId="4" fontId="4" fillId="0" borderId="0" xfId="400" applyNumberFormat="1" applyFont="1" applyFill="1" applyAlignment="1">
      <alignment horizontal="right"/>
    </xf>
    <xf numFmtId="0" fontId="5" fillId="0" borderId="0" xfId="400" applyFont="1" applyFill="1" applyAlignment="1">
      <alignment horizontal="center"/>
    </xf>
    <xf numFmtId="0" fontId="110" fillId="0" borderId="0" xfId="0" applyFont="1" applyFill="1" applyAlignment="1">
      <alignment horizontal="center" wrapText="1"/>
    </xf>
    <xf numFmtId="0" fontId="2" fillId="0" borderId="0" xfId="359" applyFont="1" applyFill="1" applyBorder="1" applyAlignment="1">
      <alignment horizontal="right" vertical="center"/>
    </xf>
    <xf numFmtId="0" fontId="111" fillId="0" borderId="0" xfId="0" applyFont="1" applyFill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0" fontId="113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0" fontId="109" fillId="0" borderId="27" xfId="0" applyFont="1" applyFill="1" applyBorder="1" applyAlignment="1">
      <alignment horizontal="center" wrapText="1"/>
    </xf>
    <xf numFmtId="0" fontId="110" fillId="0" borderId="28" xfId="0" applyFont="1" applyFill="1" applyBorder="1" applyAlignment="1">
      <alignment horizontal="left" wrapText="1"/>
    </xf>
    <xf numFmtId="0" fontId="110" fillId="0" borderId="28" xfId="0" applyFont="1" applyFill="1" applyBorder="1" applyAlignment="1">
      <alignment horizontal="center" wrapText="1"/>
    </xf>
    <xf numFmtId="164" fontId="113" fillId="0" borderId="0" xfId="0" applyNumberFormat="1" applyFont="1" applyFill="1" applyAlignment="1">
      <alignment horizontal="right" wrapText="1"/>
    </xf>
    <xf numFmtId="164" fontId="110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 wrapText="1"/>
    </xf>
    <xf numFmtId="164" fontId="110" fillId="0" borderId="9" xfId="0" applyNumberFormat="1" applyFont="1" applyFill="1" applyBorder="1" applyAlignment="1">
      <alignment horizontal="right" wrapText="1"/>
    </xf>
    <xf numFmtId="164" fontId="3" fillId="0" borderId="28" xfId="0" applyNumberFormat="1" applyFont="1" applyFill="1" applyBorder="1" applyAlignment="1">
      <alignment horizontal="right" wrapText="1"/>
    </xf>
    <xf numFmtId="164" fontId="110" fillId="0" borderId="28" xfId="0" applyNumberFormat="1" applyFont="1" applyFill="1" applyBorder="1" applyAlignment="1">
      <alignment horizontal="right" wrapText="1"/>
    </xf>
    <xf numFmtId="164" fontId="114" fillId="0" borderId="0" xfId="0" applyNumberFormat="1" applyFont="1" applyFill="1" applyAlignment="1">
      <alignment horizontal="right" wrapText="1"/>
    </xf>
    <xf numFmtId="164" fontId="114" fillId="0" borderId="0" xfId="0" applyNumberFormat="1" applyFont="1" applyFill="1" applyBorder="1" applyAlignment="1">
      <alignment horizontal="right" wrapText="1"/>
    </xf>
    <xf numFmtId="164" fontId="110" fillId="0" borderId="0" xfId="0" applyNumberFormat="1" applyFont="1" applyFill="1" applyBorder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164" fontId="109" fillId="0" borderId="27" xfId="0" applyNumberFormat="1" applyFont="1" applyFill="1" applyBorder="1" applyAlignment="1">
      <alignment horizontal="right" wrapText="1"/>
    </xf>
    <xf numFmtId="164" fontId="103" fillId="0" borderId="0" xfId="0" applyNumberFormat="1" applyFont="1" applyFill="1"/>
    <xf numFmtId="0" fontId="109" fillId="0" borderId="0" xfId="0" applyFont="1" applyFill="1" applyBorder="1" applyAlignment="1">
      <alignment horizontal="left" wrapText="1"/>
    </xf>
    <xf numFmtId="0" fontId="112" fillId="0" borderId="0" xfId="0" applyFont="1" applyFill="1" applyBorder="1" applyAlignment="1"/>
    <xf numFmtId="0" fontId="115" fillId="0" borderId="0" xfId="0" applyFont="1" applyFill="1" applyBorder="1" applyAlignment="1">
      <alignment wrapText="1"/>
    </xf>
    <xf numFmtId="164" fontId="110" fillId="0" borderId="0" xfId="0" applyNumberFormat="1" applyFont="1" applyFill="1" applyAlignment="1">
      <alignment wrapText="1"/>
    </xf>
    <xf numFmtId="164" fontId="111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113" fillId="0" borderId="0" xfId="0" applyNumberFormat="1" applyFont="1" applyFill="1" applyBorder="1" applyAlignment="1">
      <alignment horizontal="right" wrapText="1"/>
    </xf>
    <xf numFmtId="0" fontId="116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horizontal="center" wrapText="1"/>
    </xf>
    <xf numFmtId="0" fontId="113" fillId="0" borderId="27" xfId="0" applyFont="1" applyFill="1" applyBorder="1" applyAlignment="1">
      <alignment horizontal="right" wrapText="1"/>
    </xf>
    <xf numFmtId="0" fontId="109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wrapText="1"/>
    </xf>
    <xf numFmtId="164" fontId="3" fillId="0" borderId="27" xfId="0" applyNumberFormat="1" applyFont="1" applyFill="1" applyBorder="1" applyAlignment="1">
      <alignment horizontal="right" wrapText="1"/>
    </xf>
    <xf numFmtId="164" fontId="109" fillId="0" borderId="0" xfId="0" applyNumberFormat="1" applyFont="1" applyFill="1" applyBorder="1" applyAlignment="1">
      <alignment horizontal="center" wrapText="1"/>
    </xf>
    <xf numFmtId="164" fontId="110" fillId="0" borderId="27" xfId="0" applyNumberFormat="1" applyFont="1" applyFill="1" applyBorder="1" applyAlignment="1">
      <alignment horizontal="right" wrapText="1"/>
    </xf>
    <xf numFmtId="164" fontId="110" fillId="0" borderId="10" xfId="0" applyNumberFormat="1" applyFont="1" applyFill="1" applyBorder="1" applyAlignment="1">
      <alignment horizontal="right" wrapText="1"/>
    </xf>
    <xf numFmtId="0" fontId="109" fillId="0" borderId="29" xfId="0" applyFont="1" applyFill="1" applyBorder="1" applyAlignment="1">
      <alignment wrapText="1"/>
    </xf>
    <xf numFmtId="0" fontId="109" fillId="0" borderId="29" xfId="0" applyFont="1" applyFill="1" applyBorder="1" applyAlignment="1">
      <alignment horizontal="center" wrapText="1"/>
    </xf>
    <xf numFmtId="164" fontId="109" fillId="0" borderId="29" xfId="0" applyNumberFormat="1" applyFont="1" applyFill="1" applyBorder="1" applyAlignment="1">
      <alignment horizontal="right" wrapText="1"/>
    </xf>
    <xf numFmtId="0" fontId="110" fillId="0" borderId="0" xfId="0" applyFont="1" applyFill="1" applyBorder="1" applyAlignment="1">
      <alignment vertical="center" wrapText="1"/>
    </xf>
    <xf numFmtId="0" fontId="117" fillId="0" borderId="0" xfId="0" applyFont="1" applyFill="1" applyBorder="1"/>
    <xf numFmtId="0" fontId="110" fillId="0" borderId="0" xfId="0" applyFont="1" applyFill="1" applyBorder="1" applyAlignment="1">
      <alignment vertical="top" wrapText="1"/>
    </xf>
    <xf numFmtId="0" fontId="116" fillId="0" borderId="10" xfId="0" applyFont="1" applyFill="1" applyBorder="1" applyAlignment="1">
      <alignment wrapText="1"/>
    </xf>
    <xf numFmtId="0" fontId="110" fillId="0" borderId="10" xfId="0" applyFont="1" applyFill="1" applyBorder="1" applyAlignment="1">
      <alignment horizontal="right" wrapText="1"/>
    </xf>
    <xf numFmtId="164" fontId="109" fillId="0" borderId="0" xfId="0" applyNumberFormat="1" applyFont="1" applyFill="1"/>
    <xf numFmtId="203" fontId="109" fillId="0" borderId="0" xfId="0" applyNumberFormat="1" applyFont="1" applyFill="1" applyBorder="1" applyAlignment="1">
      <alignment horizontal="right" wrapText="1"/>
    </xf>
    <xf numFmtId="0" fontId="113" fillId="0" borderId="29" xfId="0" applyFont="1" applyFill="1" applyBorder="1" applyAlignment="1">
      <alignment wrapText="1"/>
    </xf>
    <xf numFmtId="0" fontId="110" fillId="0" borderId="29" xfId="0" applyFont="1" applyFill="1" applyBorder="1" applyAlignment="1">
      <alignment horizontal="center" wrapText="1"/>
    </xf>
    <xf numFmtId="164" fontId="3" fillId="0" borderId="29" xfId="0" applyNumberFormat="1" applyFont="1" applyFill="1" applyBorder="1" applyAlignment="1">
      <alignment horizontal="right" wrapText="1"/>
    </xf>
    <xf numFmtId="164" fontId="110" fillId="0" borderId="29" xfId="0" applyNumberFormat="1" applyFont="1" applyFill="1" applyBorder="1" applyAlignment="1">
      <alignment horizontal="right" wrapText="1"/>
    </xf>
    <xf numFmtId="203" fontId="110" fillId="0" borderId="27" xfId="0" applyNumberFormat="1" applyFont="1" applyFill="1" applyBorder="1" applyAlignment="1">
      <alignment horizontal="right" wrapText="1"/>
    </xf>
    <xf numFmtId="204" fontId="109" fillId="0" borderId="27" xfId="0" applyNumberFormat="1" applyFont="1" applyFill="1" applyBorder="1" applyAlignment="1">
      <alignment horizontal="right" wrapText="1"/>
    </xf>
    <xf numFmtId="164" fontId="0" fillId="0" borderId="0" xfId="0" applyNumberFormat="1" applyFill="1"/>
    <xf numFmtId="0" fontId="113" fillId="0" borderId="27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204" fontId="4" fillId="0" borderId="27" xfId="0" applyNumberFormat="1" applyFont="1" applyFill="1" applyBorder="1" applyAlignment="1">
      <alignment horizontal="right" wrapText="1"/>
    </xf>
    <xf numFmtId="0" fontId="0" fillId="0" borderId="0" xfId="0" applyAlignment="1">
      <alignment horizontal="left" indent="2"/>
    </xf>
    <xf numFmtId="0" fontId="119" fillId="0" borderId="32" xfId="0" applyFont="1" applyBorder="1" applyAlignment="1">
      <alignment horizontal="center" vertical="top"/>
    </xf>
    <xf numFmtId="0" fontId="119" fillId="0" borderId="33" xfId="0" applyFont="1" applyBorder="1" applyAlignment="1">
      <alignment horizontal="center" vertical="top"/>
    </xf>
    <xf numFmtId="0" fontId="119" fillId="57" borderId="32" xfId="0" applyFont="1" applyFill="1" applyBorder="1" applyAlignment="1">
      <alignment horizontal="right"/>
    </xf>
    <xf numFmtId="0" fontId="119" fillId="57" borderId="34" xfId="0" applyFont="1" applyFill="1" applyBorder="1" applyAlignment="1">
      <alignment horizontal="right"/>
    </xf>
    <xf numFmtId="0" fontId="119" fillId="57" borderId="33" xfId="0" applyFont="1" applyFill="1" applyBorder="1" applyAlignment="1">
      <alignment horizontal="right"/>
    </xf>
    <xf numFmtId="0" fontId="119" fillId="57" borderId="35" xfId="0" applyFont="1" applyFill="1" applyBorder="1" applyAlignment="1">
      <alignment horizontal="right"/>
    </xf>
    <xf numFmtId="0" fontId="119" fillId="0" borderId="32" xfId="0" applyFont="1" applyBorder="1" applyAlignment="1">
      <alignment horizontal="center" vertical="center"/>
    </xf>
    <xf numFmtId="0" fontId="119" fillId="0" borderId="33" xfId="0" applyFont="1" applyBorder="1" applyAlignment="1">
      <alignment horizontal="center" vertical="center"/>
    </xf>
    <xf numFmtId="0" fontId="119" fillId="57" borderId="32" xfId="0" applyFont="1" applyFill="1" applyBorder="1" applyAlignment="1">
      <alignment horizontal="right" vertical="top"/>
    </xf>
    <xf numFmtId="0" fontId="119" fillId="57" borderId="34" xfId="0" applyFont="1" applyFill="1" applyBorder="1" applyAlignment="1">
      <alignment horizontal="right" vertical="top"/>
    </xf>
    <xf numFmtId="0" fontId="119" fillId="57" borderId="33" xfId="0" applyFont="1" applyFill="1" applyBorder="1" applyAlignment="1">
      <alignment horizontal="right" vertical="top"/>
    </xf>
    <xf numFmtId="0" fontId="119" fillId="57" borderId="35" xfId="0" applyFont="1" applyFill="1" applyBorder="1" applyAlignment="1">
      <alignment horizontal="right" vertical="top"/>
    </xf>
    <xf numFmtId="0" fontId="0" fillId="0" borderId="39" xfId="0" applyBorder="1" applyAlignment="1">
      <alignment horizontal="left"/>
    </xf>
    <xf numFmtId="0" fontId="118" fillId="0" borderId="0" xfId="0" applyFont="1" applyAlignment="1">
      <alignment horizontal="right"/>
    </xf>
    <xf numFmtId="0" fontId="12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18" fillId="0" borderId="0" xfId="0" applyFont="1" applyAlignment="1">
      <alignment horizontal="left"/>
    </xf>
    <xf numFmtId="0" fontId="65" fillId="0" borderId="0" xfId="0" applyFont="1" applyAlignment="1">
      <alignment horizontal="center" vertical="top"/>
    </xf>
    <xf numFmtId="0" fontId="3" fillId="0" borderId="0" xfId="359" applyFont="1" applyFill="1" applyBorder="1" applyAlignment="1">
      <alignment horizontal="left"/>
    </xf>
    <xf numFmtId="0" fontId="3" fillId="0" borderId="0" xfId="359" applyFont="1" applyFill="1" applyAlignment="1">
      <alignment horizontal="left"/>
    </xf>
    <xf numFmtId="0" fontId="3" fillId="0" borderId="0" xfId="389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18" fillId="57" borderId="39" xfId="0" applyFont="1" applyFill="1" applyBorder="1" applyAlignment="1">
      <alignment horizontal="left" wrapText="1"/>
    </xf>
    <xf numFmtId="0" fontId="119" fillId="0" borderId="38" xfId="0" applyFont="1" applyBorder="1" applyAlignment="1">
      <alignment horizontal="left" vertical="center" wrapText="1"/>
    </xf>
    <xf numFmtId="0" fontId="119" fillId="0" borderId="38" xfId="0" applyFont="1" applyBorder="1" applyAlignment="1">
      <alignment horizontal="left" vertical="center"/>
    </xf>
    <xf numFmtId="0" fontId="119" fillId="0" borderId="38" xfId="0" applyFont="1" applyBorder="1" applyAlignment="1">
      <alignment horizontal="left"/>
    </xf>
    <xf numFmtId="0" fontId="119" fillId="0" borderId="38" xfId="0" applyFont="1" applyBorder="1" applyAlignment="1">
      <alignment horizontal="left" indent="5"/>
    </xf>
    <xf numFmtId="0" fontId="119" fillId="0" borderId="38" xfId="0" applyFont="1" applyBorder="1" applyAlignment="1">
      <alignment horizontal="left" wrapText="1"/>
    </xf>
    <xf numFmtId="0" fontId="119" fillId="0" borderId="30" xfId="0" applyFont="1" applyBorder="1" applyAlignment="1">
      <alignment horizontal="center" vertical="center"/>
    </xf>
    <xf numFmtId="1" fontId="120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 indent="2"/>
    </xf>
    <xf numFmtId="0" fontId="118" fillId="0" borderId="0" xfId="0" applyFont="1" applyAlignment="1">
      <alignment horizontal="left"/>
    </xf>
    <xf numFmtId="0" fontId="118" fillId="57" borderId="0" xfId="0" applyFont="1" applyFill="1" applyAlignment="1">
      <alignment horizontal="left" wrapText="1"/>
    </xf>
    <xf numFmtId="0" fontId="119" fillId="0" borderId="0" xfId="0" applyFont="1" applyAlignment="1">
      <alignment horizontal="left"/>
    </xf>
    <xf numFmtId="0" fontId="1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22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205" fontId="118" fillId="58" borderId="32" xfId="0" applyNumberFormat="1" applyFont="1" applyFill="1" applyBorder="1" applyAlignment="1">
      <alignment horizontal="right" vertical="center"/>
    </xf>
    <xf numFmtId="205" fontId="118" fillId="58" borderId="34" xfId="0" applyNumberFormat="1" applyFont="1" applyFill="1" applyBorder="1" applyAlignment="1">
      <alignment horizontal="right" vertical="center"/>
    </xf>
    <xf numFmtId="205" fontId="118" fillId="58" borderId="33" xfId="0" applyNumberFormat="1" applyFont="1" applyFill="1" applyBorder="1" applyAlignment="1">
      <alignment horizontal="right" vertical="center"/>
    </xf>
    <xf numFmtId="1" fontId="118" fillId="0" borderId="32" xfId="0" applyNumberFormat="1" applyFont="1" applyBorder="1" applyAlignment="1">
      <alignment horizontal="center" vertical="center"/>
    </xf>
    <xf numFmtId="1" fontId="118" fillId="0" borderId="33" xfId="0" applyNumberFormat="1" applyFont="1" applyBorder="1" applyAlignment="1">
      <alignment horizontal="center" vertical="center"/>
    </xf>
    <xf numFmtId="0" fontId="119" fillId="0" borderId="0" xfId="0" applyFont="1" applyBorder="1" applyAlignment="1">
      <alignment horizontal="left" vertical="center" wrapText="1"/>
    </xf>
    <xf numFmtId="0" fontId="119" fillId="0" borderId="40" xfId="0" applyFont="1" applyBorder="1" applyAlignment="1">
      <alignment horizontal="left" vertical="center" wrapText="1"/>
    </xf>
    <xf numFmtId="0" fontId="65" fillId="0" borderId="37" xfId="0" applyFont="1" applyBorder="1" applyAlignment="1">
      <alignment horizontal="center" vertical="top"/>
    </xf>
    <xf numFmtId="205" fontId="118" fillId="58" borderId="41" xfId="0" applyNumberFormat="1" applyFont="1" applyFill="1" applyBorder="1" applyAlignment="1">
      <alignment horizontal="right" vertical="center"/>
    </xf>
    <xf numFmtId="205" fontId="118" fillId="58" borderId="42" xfId="0" applyNumberFormat="1" applyFont="1" applyFill="1" applyBorder="1" applyAlignment="1">
      <alignment horizontal="right" vertical="center"/>
    </xf>
    <xf numFmtId="205" fontId="118" fillId="58" borderId="43" xfId="0" applyNumberFormat="1" applyFont="1" applyFill="1" applyBorder="1" applyAlignment="1">
      <alignment horizontal="right" vertical="center"/>
    </xf>
    <xf numFmtId="1" fontId="118" fillId="0" borderId="41" xfId="0" applyNumberFormat="1" applyFont="1" applyBorder="1" applyAlignment="1">
      <alignment horizontal="center" vertical="center"/>
    </xf>
    <xf numFmtId="1" fontId="118" fillId="0" borderId="43" xfId="0" applyNumberFormat="1" applyFont="1" applyBorder="1" applyAlignment="1">
      <alignment horizontal="center" vertical="center"/>
    </xf>
    <xf numFmtId="0" fontId="119" fillId="0" borderId="44" xfId="0" applyFont="1" applyBorder="1" applyAlignment="1">
      <alignment horizontal="left" vertical="center" wrapText="1"/>
    </xf>
    <xf numFmtId="0" fontId="119" fillId="0" borderId="45" xfId="0" applyFont="1" applyBorder="1" applyAlignment="1">
      <alignment horizontal="left" vertical="center" wrapText="1"/>
    </xf>
    <xf numFmtId="0" fontId="119" fillId="0" borderId="46" xfId="0" applyFont="1" applyBorder="1" applyAlignment="1">
      <alignment horizontal="left" vertical="center" wrapText="1"/>
    </xf>
    <xf numFmtId="0" fontId="118" fillId="57" borderId="32" xfId="0" applyFont="1" applyFill="1" applyBorder="1" applyAlignment="1">
      <alignment horizontal="right" vertical="center"/>
    </xf>
    <xf numFmtId="0" fontId="118" fillId="57" borderId="34" xfId="0" applyFont="1" applyFill="1" applyBorder="1" applyAlignment="1">
      <alignment horizontal="right" vertical="center"/>
    </xf>
    <xf numFmtId="0" fontId="118" fillId="57" borderId="35" xfId="0" applyFont="1" applyFill="1" applyBorder="1" applyAlignment="1">
      <alignment horizontal="right" vertical="center"/>
    </xf>
    <xf numFmtId="0" fontId="118" fillId="57" borderId="33" xfId="0" applyFont="1" applyFill="1" applyBorder="1" applyAlignment="1">
      <alignment horizontal="right" vertical="center"/>
    </xf>
    <xf numFmtId="205" fontId="118" fillId="58" borderId="41" xfId="496" applyNumberFormat="1" applyFont="1" applyFill="1" applyBorder="1" applyAlignment="1">
      <alignment horizontal="right" vertical="center"/>
    </xf>
    <xf numFmtId="205" fontId="118" fillId="58" borderId="42" xfId="496" applyNumberFormat="1" applyFont="1" applyFill="1" applyBorder="1" applyAlignment="1">
      <alignment horizontal="right" vertical="center"/>
    </xf>
    <xf numFmtId="205" fontId="118" fillId="58" borderId="47" xfId="496" applyNumberFormat="1" applyFont="1" applyFill="1" applyBorder="1" applyAlignment="1">
      <alignment horizontal="right" vertical="center"/>
    </xf>
    <xf numFmtId="205" fontId="118" fillId="58" borderId="32" xfId="496" applyNumberFormat="1" applyFont="1" applyFill="1" applyBorder="1" applyAlignment="1">
      <alignment horizontal="right" vertical="center"/>
    </xf>
    <xf numFmtId="205" fontId="118" fillId="58" borderId="34" xfId="496" applyNumberFormat="1" applyFont="1" applyFill="1" applyBorder="1" applyAlignment="1">
      <alignment horizontal="right" vertical="center"/>
    </xf>
    <xf numFmtId="205" fontId="118" fillId="58" borderId="35" xfId="496" applyNumberFormat="1" applyFont="1" applyFill="1" applyBorder="1" applyAlignment="1">
      <alignment horizontal="right" vertical="center"/>
    </xf>
    <xf numFmtId="205" fontId="118" fillId="58" borderId="35" xfId="0" applyNumberFormat="1" applyFont="1" applyFill="1" applyBorder="1" applyAlignment="1">
      <alignment horizontal="right" vertical="center"/>
    </xf>
    <xf numFmtId="206" fontId="119" fillId="57" borderId="32" xfId="0" applyNumberFormat="1" applyFont="1" applyFill="1" applyBorder="1" applyAlignment="1">
      <alignment horizontal="right" vertical="center"/>
    </xf>
    <xf numFmtId="206" fontId="119" fillId="57" borderId="34" xfId="0" applyNumberFormat="1" applyFont="1" applyFill="1" applyBorder="1" applyAlignment="1">
      <alignment horizontal="right" vertical="center"/>
    </xf>
    <xf numFmtId="206" fontId="119" fillId="57" borderId="35" xfId="0" applyNumberFormat="1" applyFont="1" applyFill="1" applyBorder="1" applyAlignment="1">
      <alignment horizontal="right" vertical="center"/>
    </xf>
    <xf numFmtId="206" fontId="119" fillId="57" borderId="33" xfId="0" applyNumberFormat="1" applyFont="1" applyFill="1" applyBorder="1" applyAlignment="1">
      <alignment horizontal="right" vertical="center"/>
    </xf>
    <xf numFmtId="1" fontId="119" fillId="0" borderId="32" xfId="0" applyNumberFormat="1" applyFont="1" applyBorder="1" applyAlignment="1">
      <alignment horizontal="center" vertical="center"/>
    </xf>
    <xf numFmtId="1" fontId="119" fillId="0" borderId="33" xfId="0" applyNumberFormat="1" applyFont="1" applyBorder="1" applyAlignment="1">
      <alignment horizontal="center" vertical="center"/>
    </xf>
    <xf numFmtId="0" fontId="119" fillId="0" borderId="0" xfId="0" applyFont="1" applyBorder="1" applyAlignment="1">
      <alignment horizontal="left" vertical="center"/>
    </xf>
    <xf numFmtId="0" fontId="119" fillId="0" borderId="40" xfId="0" applyFont="1" applyBorder="1" applyAlignment="1">
      <alignment horizontal="left" vertical="center"/>
    </xf>
    <xf numFmtId="205" fontId="119" fillId="57" borderId="32" xfId="0" applyNumberFormat="1" applyFont="1" applyFill="1" applyBorder="1" applyAlignment="1">
      <alignment horizontal="right" vertical="center"/>
    </xf>
    <xf numFmtId="205" fontId="119" fillId="57" borderId="34" xfId="0" applyNumberFormat="1" applyFont="1" applyFill="1" applyBorder="1" applyAlignment="1">
      <alignment horizontal="right" vertical="center"/>
    </xf>
    <xf numFmtId="205" fontId="119" fillId="57" borderId="35" xfId="0" applyNumberFormat="1" applyFont="1" applyFill="1" applyBorder="1" applyAlignment="1">
      <alignment horizontal="right" vertical="center"/>
    </xf>
    <xf numFmtId="205" fontId="119" fillId="57" borderId="33" xfId="0" applyNumberFormat="1" applyFont="1" applyFill="1" applyBorder="1" applyAlignment="1">
      <alignment horizontal="right" vertical="center"/>
    </xf>
    <xf numFmtId="207" fontId="119" fillId="57" borderId="32" xfId="0" applyNumberFormat="1" applyFont="1" applyFill="1" applyBorder="1" applyAlignment="1">
      <alignment horizontal="right" vertical="top"/>
    </xf>
    <xf numFmtId="207" fontId="119" fillId="57" borderId="34" xfId="0" applyNumberFormat="1" applyFont="1" applyFill="1" applyBorder="1" applyAlignment="1">
      <alignment horizontal="right" vertical="top"/>
    </xf>
    <xf numFmtId="207" fontId="119" fillId="57" borderId="35" xfId="0" applyNumberFormat="1" applyFont="1" applyFill="1" applyBorder="1" applyAlignment="1">
      <alignment horizontal="right" vertical="top"/>
    </xf>
    <xf numFmtId="207" fontId="119" fillId="57" borderId="33" xfId="0" applyNumberFormat="1" applyFont="1" applyFill="1" applyBorder="1" applyAlignment="1">
      <alignment horizontal="right" vertical="top"/>
    </xf>
    <xf numFmtId="0" fontId="119" fillId="0" borderId="38" xfId="0" applyFont="1" applyBorder="1" applyAlignment="1">
      <alignment horizontal="left" vertical="top"/>
    </xf>
    <xf numFmtId="0" fontId="119" fillId="0" borderId="0" xfId="0" applyFont="1" applyBorder="1" applyAlignment="1">
      <alignment horizontal="left" vertical="top"/>
    </xf>
    <xf numFmtId="0" fontId="119" fillId="0" borderId="40" xfId="0" applyFont="1" applyBorder="1" applyAlignment="1">
      <alignment horizontal="left" vertical="top"/>
    </xf>
    <xf numFmtId="0" fontId="119" fillId="57" borderId="32" xfId="0" applyFont="1" applyFill="1" applyBorder="1" applyAlignment="1">
      <alignment horizontal="right" vertical="center"/>
    </xf>
    <xf numFmtId="0" fontId="119" fillId="57" borderId="34" xfId="0" applyFont="1" applyFill="1" applyBorder="1" applyAlignment="1">
      <alignment horizontal="right" vertical="center"/>
    </xf>
    <xf numFmtId="0" fontId="119" fillId="57" borderId="35" xfId="0" applyFont="1" applyFill="1" applyBorder="1" applyAlignment="1">
      <alignment horizontal="right" vertical="center"/>
    </xf>
    <xf numFmtId="0" fontId="119" fillId="57" borderId="33" xfId="0" applyFont="1" applyFill="1" applyBorder="1" applyAlignment="1">
      <alignment horizontal="right" vertical="center"/>
    </xf>
    <xf numFmtId="208" fontId="119" fillId="0" borderId="32" xfId="0" applyNumberFormat="1" applyFont="1" applyBorder="1" applyAlignment="1">
      <alignment horizontal="center" vertical="center"/>
    </xf>
    <xf numFmtId="208" fontId="119" fillId="0" borderId="33" xfId="0" applyNumberFormat="1" applyFont="1" applyBorder="1" applyAlignment="1">
      <alignment horizontal="center" vertical="center"/>
    </xf>
    <xf numFmtId="208" fontId="119" fillId="0" borderId="32" xfId="0" applyNumberFormat="1" applyFont="1" applyBorder="1" applyAlignment="1">
      <alignment horizontal="center" vertical="top"/>
    </xf>
    <xf numFmtId="208" fontId="119" fillId="0" borderId="33" xfId="0" applyNumberFormat="1" applyFont="1" applyBorder="1" applyAlignment="1">
      <alignment horizontal="center" vertical="top"/>
    </xf>
    <xf numFmtId="206" fontId="118" fillId="58" borderId="32" xfId="0" applyNumberFormat="1" applyFont="1" applyFill="1" applyBorder="1" applyAlignment="1">
      <alignment horizontal="right" vertical="center"/>
    </xf>
    <xf numFmtId="206" fontId="118" fillId="58" borderId="34" xfId="0" applyNumberFormat="1" applyFont="1" applyFill="1" applyBorder="1" applyAlignment="1">
      <alignment horizontal="right" vertical="center"/>
    </xf>
    <xf numFmtId="206" fontId="118" fillId="58" borderId="35" xfId="0" applyNumberFormat="1" applyFont="1" applyFill="1" applyBorder="1" applyAlignment="1">
      <alignment horizontal="right" vertical="center"/>
    </xf>
    <xf numFmtId="208" fontId="118" fillId="0" borderId="32" xfId="0" applyNumberFormat="1" applyFont="1" applyBorder="1" applyAlignment="1">
      <alignment horizontal="center" vertical="center"/>
    </xf>
    <xf numFmtId="208" fontId="118" fillId="0" borderId="33" xfId="0" applyNumberFormat="1" applyFont="1" applyBorder="1" applyAlignment="1">
      <alignment horizontal="center" vertical="center"/>
    </xf>
    <xf numFmtId="0" fontId="119" fillId="0" borderId="48" xfId="0" applyFont="1" applyBorder="1" applyAlignment="1">
      <alignment horizontal="left" vertical="center" wrapText="1"/>
    </xf>
    <xf numFmtId="0" fontId="119" fillId="0" borderId="39" xfId="0" applyFont="1" applyBorder="1" applyAlignment="1">
      <alignment horizontal="left" vertical="center" wrapText="1"/>
    </xf>
    <xf numFmtId="0" fontId="119" fillId="0" borderId="49" xfId="0" applyFont="1" applyBorder="1" applyAlignment="1">
      <alignment horizontal="left" vertical="center" wrapText="1"/>
    </xf>
    <xf numFmtId="0" fontId="119" fillId="0" borderId="36" xfId="0" applyFont="1" applyBorder="1" applyAlignment="1">
      <alignment horizontal="left" vertical="center"/>
    </xf>
    <xf numFmtId="0" fontId="119" fillId="0" borderId="37" xfId="0" applyFont="1" applyBorder="1" applyAlignment="1">
      <alignment horizontal="left" vertical="center"/>
    </xf>
    <xf numFmtId="0" fontId="119" fillId="0" borderId="50" xfId="0" applyFont="1" applyBorder="1" applyAlignment="1">
      <alignment horizontal="left" vertical="center"/>
    </xf>
    <xf numFmtId="0" fontId="118" fillId="0" borderId="31" xfId="0" applyFont="1" applyBorder="1" applyAlignment="1">
      <alignment horizontal="left" vertical="center"/>
    </xf>
    <xf numFmtId="0" fontId="118" fillId="0" borderId="34" xfId="0" applyFont="1" applyBorder="1" applyAlignment="1">
      <alignment horizontal="left" vertical="center"/>
    </xf>
    <xf numFmtId="0" fontId="118" fillId="0" borderId="35" xfId="0" applyFont="1" applyBorder="1" applyAlignment="1">
      <alignment horizontal="left" vertical="center"/>
    </xf>
    <xf numFmtId="0" fontId="119" fillId="0" borderId="0" xfId="0" applyFont="1" applyBorder="1" applyAlignment="1">
      <alignment horizontal="left"/>
    </xf>
    <xf numFmtId="0" fontId="119" fillId="0" borderId="40" xfId="0" applyFont="1" applyBorder="1" applyAlignment="1">
      <alignment horizontal="left"/>
    </xf>
    <xf numFmtId="0" fontId="119" fillId="0" borderId="0" xfId="0" applyFont="1" applyBorder="1" applyAlignment="1">
      <alignment horizontal="left" indent="5"/>
    </xf>
    <xf numFmtId="0" fontId="119" fillId="0" borderId="40" xfId="0" applyFont="1" applyBorder="1" applyAlignment="1">
      <alignment horizontal="left" indent="5"/>
    </xf>
    <xf numFmtId="0" fontId="119" fillId="0" borderId="0" xfId="0" applyFont="1" applyBorder="1" applyAlignment="1">
      <alignment horizontal="left" wrapText="1"/>
    </xf>
    <xf numFmtId="0" fontId="119" fillId="0" borderId="40" xfId="0" applyFont="1" applyBorder="1" applyAlignment="1">
      <alignment horizontal="left" wrapText="1"/>
    </xf>
    <xf numFmtId="1" fontId="120" fillId="0" borderId="32" xfId="0" applyNumberFormat="1" applyFont="1" applyBorder="1" applyAlignment="1">
      <alignment horizontal="center" vertical="center"/>
    </xf>
    <xf numFmtId="1" fontId="120" fillId="0" borderId="34" xfId="0" applyNumberFormat="1" applyFont="1" applyBorder="1" applyAlignment="1">
      <alignment horizontal="center" vertical="center"/>
    </xf>
    <xf numFmtId="1" fontId="120" fillId="0" borderId="35" xfId="0" applyNumberFormat="1" applyFont="1" applyBorder="1" applyAlignment="1">
      <alignment horizontal="center" vertical="center"/>
    </xf>
    <xf numFmtId="1" fontId="120" fillId="0" borderId="33" xfId="0" applyNumberFormat="1" applyFont="1" applyBorder="1" applyAlignment="1">
      <alignment horizontal="center" vertical="center"/>
    </xf>
    <xf numFmtId="0" fontId="119" fillId="0" borderId="51" xfId="0" applyFont="1" applyBorder="1" applyAlignment="1">
      <alignment horizontal="center" vertical="top" wrapText="1"/>
    </xf>
    <xf numFmtId="0" fontId="119" fillId="0" borderId="52" xfId="0" applyFont="1" applyBorder="1" applyAlignment="1">
      <alignment horizontal="center" vertical="top" wrapText="1"/>
    </xf>
    <xf numFmtId="0" fontId="119" fillId="0" borderId="53" xfId="0" applyFont="1" applyBorder="1" applyAlignment="1">
      <alignment horizontal="center" vertical="top" wrapText="1"/>
    </xf>
    <xf numFmtId="0" fontId="119" fillId="0" borderId="54" xfId="0" applyFont="1" applyBorder="1" applyAlignment="1">
      <alignment horizontal="center" vertical="top" wrapText="1"/>
    </xf>
    <xf numFmtId="0" fontId="119" fillId="0" borderId="52" xfId="0" applyFont="1" applyBorder="1" applyAlignment="1">
      <alignment horizontal="center" vertical="center"/>
    </xf>
    <xf numFmtId="0" fontId="119" fillId="0" borderId="54" xfId="0" applyFont="1" applyBorder="1" applyAlignment="1">
      <alignment horizontal="center" vertical="center"/>
    </xf>
    <xf numFmtId="206" fontId="118" fillId="58" borderId="33" xfId="0" applyNumberFormat="1" applyFont="1" applyFill="1" applyBorder="1" applyAlignment="1">
      <alignment horizontal="right" vertical="center"/>
    </xf>
    <xf numFmtId="206" fontId="119" fillId="57" borderId="41" xfId="0" applyNumberFormat="1" applyFont="1" applyFill="1" applyBorder="1" applyAlignment="1">
      <alignment horizontal="right" vertical="center"/>
    </xf>
    <xf numFmtId="206" fontId="119" fillId="57" borderId="42" xfId="0" applyNumberFormat="1" applyFont="1" applyFill="1" applyBorder="1" applyAlignment="1">
      <alignment horizontal="right" vertical="center"/>
    </xf>
    <xf numFmtId="206" fontId="119" fillId="57" borderId="47" xfId="0" applyNumberFormat="1" applyFont="1" applyFill="1" applyBorder="1" applyAlignment="1">
      <alignment horizontal="right" vertical="center"/>
    </xf>
    <xf numFmtId="206" fontId="119" fillId="57" borderId="43" xfId="0" applyNumberFormat="1" applyFont="1" applyFill="1" applyBorder="1" applyAlignment="1">
      <alignment horizontal="right" vertical="center"/>
    </xf>
    <xf numFmtId="208" fontId="119" fillId="0" borderId="41" xfId="0" applyNumberFormat="1" applyFont="1" applyBorder="1" applyAlignment="1">
      <alignment horizontal="center" vertical="center"/>
    </xf>
    <xf numFmtId="208" fontId="119" fillId="0" borderId="43" xfId="0" applyNumberFormat="1" applyFont="1" applyBorder="1" applyAlignment="1">
      <alignment horizontal="center" vertical="center"/>
    </xf>
    <xf numFmtId="0" fontId="119" fillId="0" borderId="44" xfId="0" applyFont="1" applyBorder="1" applyAlignment="1">
      <alignment horizontal="left" vertical="center"/>
    </xf>
    <xf numFmtId="0" fontId="119" fillId="0" borderId="45" xfId="0" applyFont="1" applyBorder="1" applyAlignment="1">
      <alignment horizontal="left" vertical="center"/>
    </xf>
    <xf numFmtId="0" fontId="119" fillId="0" borderId="46" xfId="0" applyFont="1" applyBorder="1" applyAlignment="1">
      <alignment horizontal="left" vertical="center"/>
    </xf>
    <xf numFmtId="49" fontId="118" fillId="58" borderId="32" xfId="0" applyNumberFormat="1" applyFont="1" applyFill="1" applyBorder="1" applyAlignment="1">
      <alignment horizontal="right" vertical="center"/>
    </xf>
    <xf numFmtId="49" fontId="118" fillId="58" borderId="34" xfId="0" applyNumberFormat="1" applyFont="1" applyFill="1" applyBorder="1" applyAlignment="1">
      <alignment horizontal="right" vertical="center"/>
    </xf>
    <xf numFmtId="49" fontId="118" fillId="58" borderId="35" xfId="0" applyNumberFormat="1" applyFont="1" applyFill="1" applyBorder="1" applyAlignment="1">
      <alignment horizontal="right" vertical="center"/>
    </xf>
    <xf numFmtId="49" fontId="118" fillId="58" borderId="33" xfId="0" applyNumberFormat="1" applyFont="1" applyFill="1" applyBorder="1" applyAlignment="1">
      <alignment horizontal="right" vertical="center"/>
    </xf>
    <xf numFmtId="0" fontId="13" fillId="0" borderId="5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</cellXfs>
  <cellStyles count="497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37" xfId="496" xr:uid="{692DA260-73FF-44CD-8942-473035ACF723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CA010000}"/>
    <cellStyle name="Плохой 3" xfId="447" xr:uid="{00000000-0005-0000-0000-0000CB010000}"/>
    <cellStyle name="Пояснение 2" xfId="448" xr:uid="{00000000-0005-0000-0000-0000CC010000}"/>
    <cellStyle name="Пояснение 3" xfId="449" xr:uid="{00000000-0005-0000-0000-0000CD010000}"/>
    <cellStyle name="Примечание 2" xfId="450" xr:uid="{00000000-0005-0000-0000-0000CE010000}"/>
    <cellStyle name="Примечание 3" xfId="451" xr:uid="{00000000-0005-0000-0000-0000CF010000}"/>
    <cellStyle name="Процентный 2" xfId="452" xr:uid="{00000000-0005-0000-0000-0000D0010000}"/>
    <cellStyle name="Процентный 2 2" xfId="453" xr:uid="{00000000-0005-0000-0000-0000D1010000}"/>
    <cellStyle name="Процентный 2 3" xfId="454" xr:uid="{00000000-0005-0000-0000-0000D2010000}"/>
    <cellStyle name="Процентный 2 4" xfId="455" xr:uid="{00000000-0005-0000-0000-0000D3010000}"/>
    <cellStyle name="Процентный 2 5" xfId="456" xr:uid="{00000000-0005-0000-0000-0000D4010000}"/>
    <cellStyle name="Процентный 3" xfId="457" xr:uid="{00000000-0005-0000-0000-0000D5010000}"/>
    <cellStyle name="Связанная ячейка 2" xfId="458" xr:uid="{00000000-0005-0000-0000-0000D6010000}"/>
    <cellStyle name="Связанная ячейка 3" xfId="459" xr:uid="{00000000-0005-0000-0000-0000D7010000}"/>
    <cellStyle name="Стиль 1" xfId="460" xr:uid="{00000000-0005-0000-0000-0000D8010000}"/>
    <cellStyle name="Стиль 1 2" xfId="461" xr:uid="{00000000-0005-0000-0000-0000D9010000}"/>
    <cellStyle name="Стиль 1 3" xfId="462" xr:uid="{00000000-0005-0000-0000-0000DA010000}"/>
    <cellStyle name="Стиль 2" xfId="463" xr:uid="{00000000-0005-0000-0000-0000DB010000}"/>
    <cellStyle name="Стиль 3" xfId="464" xr:uid="{00000000-0005-0000-0000-0000DC010000}"/>
    <cellStyle name="Стиль 4" xfId="465" xr:uid="{00000000-0005-0000-0000-0000DD010000}"/>
    <cellStyle name="Стиль 5" xfId="466" xr:uid="{00000000-0005-0000-0000-0000DE010000}"/>
    <cellStyle name="Стиль 6" xfId="467" xr:uid="{00000000-0005-0000-0000-0000DF010000}"/>
    <cellStyle name="Стиль_названий" xfId="468" xr:uid="{00000000-0005-0000-0000-0000E0010000}"/>
    <cellStyle name="Текст предупреждения 2" xfId="469" xr:uid="{00000000-0005-0000-0000-0000E1010000}"/>
    <cellStyle name="Текст предупреждения 3" xfId="470" xr:uid="{00000000-0005-0000-0000-0000E2010000}"/>
    <cellStyle name="Тысячи [0]" xfId="471" xr:uid="{00000000-0005-0000-0000-0000E3010000}"/>
    <cellStyle name="Тысячи_010SN05" xfId="472" xr:uid="{00000000-0005-0000-0000-0000E4010000}"/>
    <cellStyle name="Финансовый" xfId="473" builtinId="3"/>
    <cellStyle name="Финансовый [0] 2" xfId="474" xr:uid="{00000000-0005-0000-0000-0000E6010000}"/>
    <cellStyle name="Финансовый 10" xfId="475" xr:uid="{00000000-0005-0000-0000-0000E7010000}"/>
    <cellStyle name="Финансовый 10 2" xfId="476" xr:uid="{00000000-0005-0000-0000-0000E8010000}"/>
    <cellStyle name="Финансовый 10 3" xfId="477" xr:uid="{00000000-0005-0000-0000-0000E9010000}"/>
    <cellStyle name="Финансовый 10 4" xfId="478" xr:uid="{00000000-0005-0000-0000-0000EA010000}"/>
    <cellStyle name="Финансовый 2" xfId="479" xr:uid="{00000000-0005-0000-0000-0000EB010000}"/>
    <cellStyle name="Финансовый 2 2" xfId="480" xr:uid="{00000000-0005-0000-0000-0000EC010000}"/>
    <cellStyle name="Финансовый 2 3" xfId="481" xr:uid="{00000000-0005-0000-0000-0000ED010000}"/>
    <cellStyle name="Финансовый 2 4" xfId="482" xr:uid="{00000000-0005-0000-0000-0000EE010000}"/>
    <cellStyle name="Финансовый 2 5" xfId="483" xr:uid="{00000000-0005-0000-0000-0000EF010000}"/>
    <cellStyle name="Финансовый 2 6" xfId="484" xr:uid="{00000000-0005-0000-0000-0000F0010000}"/>
    <cellStyle name="Финансовый 3" xfId="485" xr:uid="{00000000-0005-0000-0000-0000F1010000}"/>
    <cellStyle name="Финансовый 4" xfId="486" xr:uid="{00000000-0005-0000-0000-0000F2010000}"/>
    <cellStyle name="Финансовый 5" xfId="487" xr:uid="{00000000-0005-0000-0000-0000F3010000}"/>
    <cellStyle name="Финансовый 6" xfId="488" xr:uid="{00000000-0005-0000-0000-0000F4010000}"/>
    <cellStyle name="Финансовый 7" xfId="489" xr:uid="{00000000-0005-0000-0000-0000F5010000}"/>
    <cellStyle name="Финансовый 8" xfId="490" xr:uid="{00000000-0005-0000-0000-0000F6010000}"/>
    <cellStyle name="Финансовый 9" xfId="491" xr:uid="{00000000-0005-0000-0000-0000F7010000}"/>
    <cellStyle name="Хороший 2" xfId="492" xr:uid="{00000000-0005-0000-0000-0000F8010000}"/>
    <cellStyle name="Хороший 3" xfId="493" xr:uid="{00000000-0005-0000-0000-0000F9010000}"/>
    <cellStyle name="Цена" xfId="494" xr:uid="{00000000-0005-0000-0000-0000FA010000}"/>
    <cellStyle name="Џђћ–…ќ’ќ›‰" xfId="495" xr:uid="{00000000-0005-0000-0000-0000F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opLeftCell="A16" zoomScaleNormal="100" zoomScaleSheetLayoutView="100" workbookViewId="0">
      <selection activeCell="H19" sqref="H19"/>
    </sheetView>
  </sheetViews>
  <sheetFormatPr defaultColWidth="9.140625" defaultRowHeight="15"/>
  <cols>
    <col min="1" max="1" width="37" style="8" customWidth="1"/>
    <col min="2" max="2" width="15.7109375" style="8" hidden="1" customWidth="1"/>
    <col min="3" max="3" width="19.140625" style="9" customWidth="1"/>
    <col min="4" max="4" width="20.5703125" style="9" customWidth="1"/>
    <col min="5" max="5" width="9.140625" style="8"/>
    <col min="6" max="6" width="12" style="8" customWidth="1"/>
    <col min="7" max="16384" width="9.140625" style="8"/>
  </cols>
  <sheetData>
    <row r="1" spans="1:6">
      <c r="A1" s="7" t="s">
        <v>29</v>
      </c>
      <c r="B1" s="7"/>
      <c r="C1" s="7"/>
      <c r="D1" s="27"/>
      <c r="E1" s="7"/>
    </row>
    <row r="2" spans="1:6" ht="9" customHeight="1">
      <c r="A2" s="7"/>
      <c r="B2" s="7"/>
      <c r="C2" s="7"/>
      <c r="D2" s="7"/>
      <c r="E2" s="7"/>
    </row>
    <row r="3" spans="1:6">
      <c r="A3" s="108" t="s">
        <v>20</v>
      </c>
      <c r="B3" s="108"/>
      <c r="C3" s="108"/>
      <c r="D3" s="108"/>
    </row>
    <row r="4" spans="1:6">
      <c r="A4" s="109" t="s">
        <v>143</v>
      </c>
      <c r="B4" s="109"/>
      <c r="C4" s="109"/>
      <c r="D4" s="109"/>
    </row>
    <row r="5" spans="1:6" ht="8.25" customHeight="1"/>
    <row r="6" spans="1:6">
      <c r="A6" s="58" t="s">
        <v>6</v>
      </c>
      <c r="B6" s="59" t="s">
        <v>7</v>
      </c>
      <c r="C6" s="60" t="s">
        <v>144</v>
      </c>
      <c r="D6" s="60" t="s">
        <v>145</v>
      </c>
    </row>
    <row r="7" spans="1:6">
      <c r="A7" s="11"/>
      <c r="B7" s="29"/>
      <c r="C7" s="35"/>
      <c r="D7" s="57"/>
    </row>
    <row r="8" spans="1:6">
      <c r="A8" s="11" t="s">
        <v>8</v>
      </c>
      <c r="B8" s="6"/>
      <c r="C8" s="36"/>
      <c r="D8" s="37"/>
    </row>
    <row r="9" spans="1:6">
      <c r="A9" s="11" t="s">
        <v>0</v>
      </c>
      <c r="B9" s="12"/>
      <c r="C9" s="36"/>
      <c r="D9" s="37"/>
    </row>
    <row r="10" spans="1:6">
      <c r="A10" s="13" t="s">
        <v>1</v>
      </c>
      <c r="B10" s="6">
        <v>1</v>
      </c>
      <c r="C10" s="38">
        <f>(12357891697.09+1838887957.98)/1000</f>
        <v>14196779.655069999</v>
      </c>
      <c r="D10" s="37">
        <f>(12314061485.72+1838887957.98)/1000</f>
        <v>14152949.443699999</v>
      </c>
      <c r="F10" s="83"/>
    </row>
    <row r="11" spans="1:6">
      <c r="A11" s="13" t="s">
        <v>2</v>
      </c>
      <c r="B11" s="102"/>
      <c r="C11" s="38">
        <f>75270800.88/1000</f>
        <v>75270.800879999995</v>
      </c>
      <c r="D11" s="37">
        <f>49946200.13/1000</f>
        <v>49946.200130000005</v>
      </c>
    </row>
    <row r="12" spans="1:6">
      <c r="A12" s="13" t="s">
        <v>22</v>
      </c>
      <c r="B12" s="103">
        <v>6</v>
      </c>
      <c r="C12" s="38">
        <f>(97927819.84+1016152414.43)/1000</f>
        <v>1114080.2342699999</v>
      </c>
      <c r="D12" s="37">
        <f>(86346465.89+1016152414.43)/1000</f>
        <v>1102498.88032</v>
      </c>
    </row>
    <row r="13" spans="1:6" ht="26.25">
      <c r="A13" s="13" t="s">
        <v>23</v>
      </c>
      <c r="B13" s="102"/>
      <c r="C13" s="38">
        <v>0</v>
      </c>
      <c r="D13" s="37">
        <v>0</v>
      </c>
    </row>
    <row r="14" spans="1:6">
      <c r="A14" s="13" t="s">
        <v>3</v>
      </c>
      <c r="B14" s="102"/>
      <c r="C14" s="37">
        <f>18721.21/1000</f>
        <v>18.721209999999999</v>
      </c>
      <c r="D14" s="37">
        <f>24961.66/1000</f>
        <v>24.961659999999998</v>
      </c>
    </row>
    <row r="15" spans="1:6">
      <c r="A15" s="13" t="s">
        <v>142</v>
      </c>
      <c r="B15" s="102"/>
      <c r="C15" s="38">
        <f>42248416.63/1000</f>
        <v>42248.41663</v>
      </c>
      <c r="D15" s="38">
        <f>42636016.45/1000</f>
        <v>42636.016450000003</v>
      </c>
    </row>
    <row r="16" spans="1:6">
      <c r="A16" s="13" t="s">
        <v>24</v>
      </c>
      <c r="B16" s="102"/>
      <c r="C16" s="38">
        <f>53961578.01/1000</f>
        <v>53961.578009999997</v>
      </c>
      <c r="D16" s="37">
        <f>53961578.01/1000</f>
        <v>53961.578009999997</v>
      </c>
    </row>
    <row r="17" spans="1:4">
      <c r="A17" s="30" t="s">
        <v>35</v>
      </c>
      <c r="B17" s="31"/>
      <c r="C17" s="40">
        <f>SUM(C10:C16)</f>
        <v>15482359.406069998</v>
      </c>
      <c r="D17" s="41">
        <f>SUM(D10:D16)</f>
        <v>15402017.08027</v>
      </c>
    </row>
    <row r="18" spans="1:4">
      <c r="A18" s="13"/>
      <c r="B18" s="16"/>
      <c r="C18" s="38"/>
      <c r="D18" s="39"/>
    </row>
    <row r="19" spans="1:4">
      <c r="A19" s="11" t="s">
        <v>25</v>
      </c>
      <c r="B19" s="12"/>
      <c r="C19" s="38"/>
      <c r="D19" s="37"/>
    </row>
    <row r="20" spans="1:4">
      <c r="A20" s="13" t="s">
        <v>24</v>
      </c>
      <c r="B20" s="103">
        <v>3</v>
      </c>
      <c r="C20" s="38">
        <f>1288403.07/1000</f>
        <v>1288.4030700000001</v>
      </c>
      <c r="D20" s="37">
        <f>2756581.32/1000</f>
        <v>2756.5813199999998</v>
      </c>
    </row>
    <row r="21" spans="1:4">
      <c r="A21" s="13" t="s">
        <v>26</v>
      </c>
      <c r="B21" s="103">
        <v>5</v>
      </c>
      <c r="C21" s="38">
        <f>2293440/1000</f>
        <v>2293.44</v>
      </c>
      <c r="D21" s="37">
        <f>2274760/1000</f>
        <v>2274.7600000000002</v>
      </c>
    </row>
    <row r="22" spans="1:4">
      <c r="A22" s="13" t="s">
        <v>27</v>
      </c>
      <c r="B22" s="103">
        <v>2</v>
      </c>
      <c r="C22" s="38">
        <f>(92774000-155129)/1000</f>
        <v>92618.870999999999</v>
      </c>
      <c r="D22" s="37">
        <f>(127659334.9-155129)/1000</f>
        <v>127504.2059</v>
      </c>
    </row>
    <row r="23" spans="1:4">
      <c r="A23" s="13" t="s">
        <v>9</v>
      </c>
      <c r="B23" s="103">
        <v>2</v>
      </c>
      <c r="C23" s="38">
        <f>31919596.57/1000</f>
        <v>31919.596570000002</v>
      </c>
      <c r="D23" s="37" t="s">
        <v>55</v>
      </c>
    </row>
    <row r="24" spans="1:4">
      <c r="A24" s="13" t="s">
        <v>28</v>
      </c>
      <c r="B24" s="103">
        <v>4</v>
      </c>
      <c r="C24" s="38">
        <f>(116493818.99+50400000)/1000</f>
        <v>166893.81899</v>
      </c>
      <c r="D24" s="37">
        <f>(74387034.41+50400000)/1000</f>
        <v>124787.03440999999</v>
      </c>
    </row>
    <row r="25" spans="1:4">
      <c r="A25" s="30" t="s">
        <v>34</v>
      </c>
      <c r="B25" s="31"/>
      <c r="C25" s="40">
        <f>SUM(C20:C24)</f>
        <v>295014.12962999998</v>
      </c>
      <c r="D25" s="41">
        <f>SUM(D20:D24)</f>
        <v>257322.58163</v>
      </c>
    </row>
    <row r="26" spans="1:4" ht="15.75" thickBot="1">
      <c r="A26" s="33" t="s">
        <v>36</v>
      </c>
      <c r="B26" s="34"/>
      <c r="C26" s="42">
        <f>C17+C25</f>
        <v>15777373.535699997</v>
      </c>
      <c r="D26" s="43">
        <f>D17+D25</f>
        <v>15659339.661900001</v>
      </c>
    </row>
    <row r="27" spans="1:4">
      <c r="A27" s="13"/>
      <c r="B27" s="16"/>
      <c r="C27" s="44"/>
      <c r="D27" s="39"/>
    </row>
    <row r="28" spans="1:4">
      <c r="A28" s="11" t="s">
        <v>10</v>
      </c>
      <c r="B28" s="12"/>
      <c r="C28" s="44"/>
      <c r="D28" s="37"/>
    </row>
    <row r="29" spans="1:4">
      <c r="A29" s="11" t="s">
        <v>11</v>
      </c>
      <c r="B29" s="12"/>
      <c r="C29" s="44"/>
      <c r="D29" s="37"/>
    </row>
    <row r="30" spans="1:4">
      <c r="A30" s="13" t="s">
        <v>12</v>
      </c>
      <c r="B30" s="103">
        <v>7</v>
      </c>
      <c r="C30" s="38">
        <f>10751303405.56/1000</f>
        <v>10751303.40556</v>
      </c>
      <c r="D30" s="37">
        <f>10751303405.56/1000</f>
        <v>10751303.40556</v>
      </c>
    </row>
    <row r="31" spans="1:4">
      <c r="A31" s="14" t="s">
        <v>13</v>
      </c>
      <c r="B31" s="15"/>
      <c r="C31" s="76">
        <f>(6694081485.97-6653588405.18)/1000</f>
        <v>40493.080789999964</v>
      </c>
      <c r="D31" s="76">
        <f>(6542414344.97-6492989728.69)/1000</f>
        <v>49424.616280000686</v>
      </c>
    </row>
    <row r="32" spans="1:4">
      <c r="A32" s="30" t="s">
        <v>37</v>
      </c>
      <c r="B32" s="31"/>
      <c r="C32" s="41">
        <f>SUM(C30:C31)</f>
        <v>10791796.48635</v>
      </c>
      <c r="D32" s="41">
        <f>SUM(D30:D31)</f>
        <v>10800728.021840001</v>
      </c>
    </row>
    <row r="33" spans="1:4">
      <c r="A33" s="28"/>
      <c r="B33" s="16"/>
      <c r="C33" s="44"/>
      <c r="D33" s="39"/>
    </row>
    <row r="34" spans="1:4">
      <c r="A34" s="11" t="s">
        <v>4</v>
      </c>
      <c r="B34" s="12"/>
      <c r="C34" s="44"/>
      <c r="D34" s="37"/>
    </row>
    <row r="35" spans="1:4" ht="18.75" customHeight="1">
      <c r="A35" s="18" t="s">
        <v>30</v>
      </c>
      <c r="B35" s="103">
        <v>9</v>
      </c>
      <c r="C35" s="38">
        <f>4456332135.64/1000</f>
        <v>4456332.13564</v>
      </c>
      <c r="D35" s="37">
        <f>4265439309.77/1000</f>
        <v>4265439.3097700002</v>
      </c>
    </row>
    <row r="36" spans="1:4" ht="26.25">
      <c r="A36" s="18" t="s">
        <v>31</v>
      </c>
      <c r="B36" s="103">
        <v>10</v>
      </c>
      <c r="C36" s="38">
        <f>4200000/1000</f>
        <v>4200</v>
      </c>
      <c r="D36" s="37">
        <f>4200000/1000</f>
        <v>4200</v>
      </c>
    </row>
    <row r="37" spans="1:4" ht="26.25">
      <c r="A37" s="28" t="s">
        <v>32</v>
      </c>
      <c r="B37" s="104">
        <v>11</v>
      </c>
      <c r="C37" s="39">
        <f>78706791.34/1000</f>
        <v>78706.791340000011</v>
      </c>
      <c r="D37" s="39">
        <f>78706791.34/1000</f>
        <v>78706.791340000011</v>
      </c>
    </row>
    <row r="38" spans="1:4">
      <c r="A38" s="30" t="s">
        <v>38</v>
      </c>
      <c r="B38" s="31"/>
      <c r="C38" s="40">
        <f>SUM(C35:C37)</f>
        <v>4539238.92698</v>
      </c>
      <c r="D38" s="41">
        <f>SUM(D35:D37)</f>
        <v>4348346.1011100002</v>
      </c>
    </row>
    <row r="39" spans="1:4">
      <c r="A39" s="21" t="s">
        <v>33</v>
      </c>
      <c r="B39" s="16"/>
      <c r="C39" s="45"/>
      <c r="D39" s="46"/>
    </row>
    <row r="40" spans="1:4" ht="15" customHeight="1">
      <c r="A40" s="18" t="s">
        <v>30</v>
      </c>
      <c r="B40" s="102"/>
      <c r="C40" s="38">
        <v>0</v>
      </c>
      <c r="D40" s="37">
        <v>0</v>
      </c>
    </row>
    <row r="41" spans="1:4" s="9" customFormat="1" ht="25.5">
      <c r="A41" s="18" t="s">
        <v>31</v>
      </c>
      <c r="B41" s="103">
        <v>8</v>
      </c>
      <c r="C41" s="38">
        <f>(35807640.45+1185837+2396505.09+370443508.52+14812171.9)/1000</f>
        <v>424645.66295999999</v>
      </c>
      <c r="D41" s="37">
        <f>(133083087.1+962632+2130410.92+332321637.36+12425500.57)/1000</f>
        <v>480923.26795000001</v>
      </c>
    </row>
    <row r="42" spans="1:4" s="9" customFormat="1" ht="25.5">
      <c r="A42" s="28" t="s">
        <v>32</v>
      </c>
      <c r="B42" s="103">
        <v>8</v>
      </c>
      <c r="C42" s="38">
        <f>21692935/1000</f>
        <v>21692.935000000001</v>
      </c>
      <c r="D42" s="37">
        <f>29342271/1000</f>
        <v>29342.271000000001</v>
      </c>
    </row>
    <row r="43" spans="1:4" s="9" customFormat="1" ht="12.75">
      <c r="A43" s="30" t="s">
        <v>39</v>
      </c>
      <c r="B43" s="31"/>
      <c r="C43" s="40">
        <f>SUM(C40:C42)</f>
        <v>446338.59795999998</v>
      </c>
      <c r="D43" s="41">
        <f>SUM(D40:D42)</f>
        <v>510265.53895000002</v>
      </c>
    </row>
    <row r="44" spans="1:4" s="9" customFormat="1" ht="12.75">
      <c r="A44" s="77" t="s">
        <v>40</v>
      </c>
      <c r="B44" s="78"/>
      <c r="C44" s="79">
        <f>C38+C43</f>
        <v>4985577.5249399999</v>
      </c>
      <c r="D44" s="80">
        <f>D38+D43</f>
        <v>4858611.6400600001</v>
      </c>
    </row>
    <row r="45" spans="1:4" s="9" customFormat="1" ht="19.5" customHeight="1" thickBot="1">
      <c r="A45" s="33" t="s">
        <v>41</v>
      </c>
      <c r="B45" s="34"/>
      <c r="C45" s="42">
        <f>C32+C44</f>
        <v>15777374.011289999</v>
      </c>
      <c r="D45" s="43">
        <f>D32+D44</f>
        <v>15659339.661900001</v>
      </c>
    </row>
    <row r="46" spans="1:4">
      <c r="C46" s="49"/>
      <c r="D46" s="49"/>
    </row>
    <row r="47" spans="1:4" ht="12" customHeight="1">
      <c r="A47" s="14" t="s">
        <v>19</v>
      </c>
      <c r="B47" s="50"/>
      <c r="C47" s="51"/>
      <c r="D47" s="14" t="s">
        <v>17</v>
      </c>
    </row>
    <row r="48" spans="1:4">
      <c r="A48" s="70" t="s">
        <v>146</v>
      </c>
      <c r="B48" s="70"/>
      <c r="C48" s="71"/>
      <c r="D48" s="70" t="s">
        <v>147</v>
      </c>
    </row>
    <row r="49" spans="1:4">
      <c r="A49" s="72" t="s">
        <v>42</v>
      </c>
      <c r="B49" s="70"/>
      <c r="C49" s="71"/>
      <c r="D49" s="72" t="s">
        <v>18</v>
      </c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zoomScaleNormal="100" zoomScaleSheetLayoutView="100" workbookViewId="0">
      <selection activeCell="D25" sqref="D25"/>
    </sheetView>
  </sheetViews>
  <sheetFormatPr defaultColWidth="9.140625" defaultRowHeight="15"/>
  <cols>
    <col min="1" max="1" width="34.7109375" style="8" customWidth="1"/>
    <col min="2" max="2" width="15.7109375" style="8" hidden="1" customWidth="1"/>
    <col min="3" max="3" width="21.7109375" style="8" customWidth="1"/>
    <col min="4" max="4" width="21" style="8" customWidth="1"/>
    <col min="5" max="16384" width="9.140625" style="8"/>
  </cols>
  <sheetData>
    <row r="1" spans="1:5">
      <c r="A1" s="7" t="s">
        <v>29</v>
      </c>
      <c r="B1" s="7"/>
      <c r="C1" s="7"/>
      <c r="D1" s="27"/>
      <c r="E1" s="7"/>
    </row>
    <row r="2" spans="1:5">
      <c r="A2" s="23"/>
      <c r="B2" s="23"/>
      <c r="C2" s="24"/>
      <c r="D2" s="24"/>
    </row>
    <row r="3" spans="1:5">
      <c r="A3" s="108" t="s">
        <v>21</v>
      </c>
      <c r="B3" s="108"/>
      <c r="C3" s="108"/>
      <c r="D3" s="108"/>
    </row>
    <row r="4" spans="1:5">
      <c r="A4" s="109" t="s">
        <v>148</v>
      </c>
      <c r="B4" s="109"/>
      <c r="C4" s="109"/>
      <c r="D4" s="109"/>
    </row>
    <row r="5" spans="1:5">
      <c r="A5" s="25"/>
      <c r="B5" s="25"/>
      <c r="C5" s="25"/>
      <c r="D5" s="25"/>
    </row>
    <row r="6" spans="1:5" ht="67.5" customHeight="1">
      <c r="A6" s="58" t="s">
        <v>6</v>
      </c>
      <c r="B6" s="59" t="s">
        <v>7</v>
      </c>
      <c r="C6" s="84" t="s">
        <v>149</v>
      </c>
      <c r="D6" s="84" t="s">
        <v>150</v>
      </c>
    </row>
    <row r="7" spans="1:5">
      <c r="A7" s="13"/>
      <c r="B7" s="12"/>
      <c r="C7" s="53"/>
      <c r="D7" s="54"/>
    </row>
    <row r="8" spans="1:5">
      <c r="A8" s="13" t="s">
        <v>46</v>
      </c>
      <c r="B8" s="6">
        <v>15</v>
      </c>
      <c r="C8" s="38">
        <f>-167683841/1000</f>
        <v>-167683.84099999999</v>
      </c>
      <c r="D8" s="37">
        <f>-116001424.85/1000</f>
        <v>-116001.42485</v>
      </c>
    </row>
    <row r="9" spans="1:5" ht="13.5" customHeight="1">
      <c r="A9" s="13" t="s">
        <v>47</v>
      </c>
      <c r="B9" s="6">
        <v>12</v>
      </c>
      <c r="C9" s="38">
        <f>6635637.29/1000</f>
        <v>6635.6372899999997</v>
      </c>
      <c r="D9" s="37">
        <f>243976239.02/1000</f>
        <v>243976.23902000001</v>
      </c>
    </row>
    <row r="10" spans="1:5" ht="13.5" customHeight="1">
      <c r="A10" s="61" t="s">
        <v>48</v>
      </c>
      <c r="B10" s="32">
        <v>13</v>
      </c>
      <c r="C10" s="47">
        <f>-580654.05/1000</f>
        <v>-580.6540500000001</v>
      </c>
      <c r="D10" s="47">
        <f>-52481042.24/1000</f>
        <v>-52481.042240000002</v>
      </c>
    </row>
    <row r="11" spans="1:5">
      <c r="A11" s="11" t="s">
        <v>49</v>
      </c>
      <c r="B11" s="26"/>
      <c r="C11" s="55">
        <f>SUM(C8:C10)</f>
        <v>-161628.85775999998</v>
      </c>
      <c r="D11" s="55">
        <f>SUM(D8:D10)</f>
        <v>75493.771930000017</v>
      </c>
    </row>
    <row r="12" spans="1:5" ht="8.25" customHeight="1">
      <c r="A12" s="13"/>
      <c r="B12" s="6"/>
      <c r="C12" s="38"/>
      <c r="D12" s="37"/>
    </row>
    <row r="13" spans="1:5">
      <c r="A13" s="13" t="s">
        <v>14</v>
      </c>
      <c r="B13" s="6">
        <v>14</v>
      </c>
      <c r="C13" s="38">
        <f>1030181.91/1000</f>
        <v>1030.18191</v>
      </c>
      <c r="D13" s="38">
        <f>2983252.45/1000</f>
        <v>2983.2524500000004</v>
      </c>
    </row>
    <row r="14" spans="1:5">
      <c r="A14" s="13" t="s">
        <v>50</v>
      </c>
      <c r="B14" s="6"/>
      <c r="C14" s="38">
        <v>0</v>
      </c>
      <c r="D14" s="37">
        <v>0</v>
      </c>
    </row>
    <row r="15" spans="1:5" ht="8.25" customHeight="1">
      <c r="A15" s="13"/>
      <c r="B15" s="6"/>
      <c r="C15" s="38"/>
      <c r="D15" s="37"/>
    </row>
    <row r="16" spans="1:5">
      <c r="A16" s="11" t="s">
        <v>54</v>
      </c>
      <c r="B16" s="6"/>
      <c r="C16" s="38"/>
      <c r="D16" s="37"/>
    </row>
    <row r="17" spans="1:4">
      <c r="A17" s="11" t="s">
        <v>51</v>
      </c>
      <c r="B17" s="26"/>
      <c r="C17" s="55">
        <f>SUM(C11:C15)</f>
        <v>-160598.67584999997</v>
      </c>
      <c r="D17" s="55">
        <f>SUM(D11:D15)</f>
        <v>78477.024380000017</v>
      </c>
    </row>
    <row r="18" spans="1:4" ht="8.25" customHeight="1">
      <c r="A18" s="13"/>
      <c r="B18" s="6"/>
      <c r="C18" s="55"/>
      <c r="D18" s="36"/>
    </row>
    <row r="19" spans="1:4">
      <c r="A19" s="61" t="s">
        <v>15</v>
      </c>
      <c r="B19" s="32"/>
      <c r="C19" s="47">
        <v>0</v>
      </c>
      <c r="D19" s="47">
        <v>0</v>
      </c>
    </row>
    <row r="20" spans="1:4">
      <c r="A20" s="62" t="s">
        <v>72</v>
      </c>
      <c r="B20" s="59"/>
      <c r="C20" s="63">
        <f>C17</f>
        <v>-160598.67584999997</v>
      </c>
      <c r="D20" s="63">
        <f>D17</f>
        <v>78477.024380000017</v>
      </c>
    </row>
    <row r="21" spans="1:4" ht="15.75" thickBot="1">
      <c r="A21" s="20" t="s">
        <v>73</v>
      </c>
      <c r="B21" s="10"/>
      <c r="C21" s="56">
        <f>C20</f>
        <v>-160598.67584999997</v>
      </c>
      <c r="D21" s="56">
        <f>D20</f>
        <v>78477.024380000017</v>
      </c>
    </row>
    <row r="22" spans="1:4" ht="10.5" customHeight="1">
      <c r="A22" s="11"/>
      <c r="B22" s="26"/>
      <c r="C22" s="36"/>
      <c r="D22" s="36"/>
    </row>
    <row r="23" spans="1:4">
      <c r="A23" s="11" t="s">
        <v>52</v>
      </c>
      <c r="B23" s="26"/>
      <c r="C23" s="36"/>
      <c r="D23" s="36"/>
    </row>
    <row r="24" spans="1:4" ht="26.25">
      <c r="A24" s="61" t="s">
        <v>53</v>
      </c>
      <c r="B24" s="32"/>
      <c r="C24" s="86">
        <f>('ОФП '!C26-'ОФП '!C14-'ОФП '!C15-'ОФП '!C44)/120001</f>
        <v>89.57866078549344</v>
      </c>
      <c r="D24" s="82">
        <f>('ОФП '!D26-'ОФП '!D14-'ОФП '!D15-'ОФП '!D44)/12001</f>
        <v>896.43088440379972</v>
      </c>
    </row>
    <row r="26" spans="1:4">
      <c r="A26" s="52"/>
      <c r="B26" s="52"/>
      <c r="C26" s="52"/>
      <c r="D26" s="52"/>
    </row>
    <row r="27" spans="1:4">
      <c r="A27" s="14" t="s">
        <v>19</v>
      </c>
      <c r="B27" s="50"/>
      <c r="C27" s="51"/>
      <c r="D27" s="14" t="s">
        <v>17</v>
      </c>
    </row>
    <row r="28" spans="1:4">
      <c r="A28" s="70" t="s">
        <v>146</v>
      </c>
      <c r="B28" s="70"/>
      <c r="C28" s="71"/>
      <c r="D28" s="70" t="s">
        <v>147</v>
      </c>
    </row>
    <row r="29" spans="1:4">
      <c r="A29" s="72" t="s">
        <v>42</v>
      </c>
      <c r="B29" s="70"/>
      <c r="C29" s="71"/>
      <c r="D29" s="72" t="s">
        <v>18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zoomScaleNormal="100" zoomScaleSheetLayoutView="100" workbookViewId="0">
      <selection activeCell="K21" sqref="K21"/>
    </sheetView>
  </sheetViews>
  <sheetFormatPr defaultColWidth="9.140625" defaultRowHeight="12.75"/>
  <cols>
    <col min="1" max="1" width="31.42578125" style="5" customWidth="1"/>
    <col min="2" max="2" width="5.85546875" style="5" hidden="1" customWidth="1"/>
    <col min="3" max="3" width="15.7109375" style="5" customWidth="1"/>
    <col min="4" max="4" width="17.5703125" style="5" customWidth="1"/>
    <col min="5" max="5" width="17" style="5" customWidth="1"/>
    <col min="6" max="6" width="14.5703125" style="5" customWidth="1"/>
    <col min="7" max="16384" width="9.140625" style="5"/>
  </cols>
  <sheetData>
    <row r="1" spans="1:6" s="8" customFormat="1" ht="15">
      <c r="A1" s="7" t="str">
        <f>'ОСД '!A1</f>
        <v xml:space="preserve">АО "TIN ONE MINING" </v>
      </c>
      <c r="B1" s="7"/>
      <c r="C1" s="7"/>
      <c r="D1" s="7"/>
      <c r="E1" s="27"/>
    </row>
    <row r="2" spans="1:6">
      <c r="A2" s="1"/>
      <c r="B2" s="2"/>
      <c r="C2" s="2"/>
      <c r="D2" s="3"/>
      <c r="E2" s="1"/>
    </row>
    <row r="3" spans="1:6" ht="15">
      <c r="A3" s="110" t="s">
        <v>5</v>
      </c>
      <c r="B3" s="110"/>
      <c r="C3" s="110"/>
      <c r="D3" s="110"/>
      <c r="E3" s="111"/>
    </row>
    <row r="4" spans="1:6" customFormat="1" ht="15">
      <c r="A4" s="109" t="s">
        <v>149</v>
      </c>
      <c r="B4" s="109"/>
      <c r="C4" s="109"/>
      <c r="D4" s="112"/>
      <c r="E4" s="112"/>
    </row>
    <row r="5" spans="1:6">
      <c r="A5" s="19"/>
      <c r="B5" s="19"/>
      <c r="C5" s="19"/>
      <c r="D5" s="19"/>
      <c r="E5" s="4"/>
    </row>
    <row r="6" spans="1:6" ht="26.25" thickBot="1">
      <c r="A6" s="73" t="s">
        <v>6</v>
      </c>
      <c r="B6" s="10" t="s">
        <v>7</v>
      </c>
      <c r="C6" s="74" t="s">
        <v>12</v>
      </c>
      <c r="D6" s="74" t="s">
        <v>13</v>
      </c>
      <c r="E6" s="74" t="s">
        <v>16</v>
      </c>
    </row>
    <row r="7" spans="1:6">
      <c r="A7" s="21"/>
      <c r="B7" s="15"/>
      <c r="C7" s="64"/>
      <c r="D7" s="64"/>
      <c r="E7" s="39"/>
    </row>
    <row r="8" spans="1:6">
      <c r="A8" s="62" t="s">
        <v>130</v>
      </c>
      <c r="B8" s="59"/>
      <c r="C8" s="65">
        <v>10751303</v>
      </c>
      <c r="D8" s="81">
        <v>-2804206</v>
      </c>
      <c r="E8" s="65">
        <f>SUM(C8:D8)</f>
        <v>7947097</v>
      </c>
    </row>
    <row r="9" spans="1:6">
      <c r="A9" s="13" t="s">
        <v>43</v>
      </c>
      <c r="B9" s="6"/>
      <c r="C9" s="37">
        <v>0</v>
      </c>
      <c r="D9" s="37">
        <v>58766</v>
      </c>
      <c r="E9" s="37">
        <f>SUM(C9:D9)</f>
        <v>58766</v>
      </c>
    </row>
    <row r="10" spans="1:6">
      <c r="A10" s="13" t="s">
        <v>44</v>
      </c>
      <c r="B10" s="6"/>
      <c r="C10" s="37">
        <v>0</v>
      </c>
      <c r="D10" s="37">
        <v>0</v>
      </c>
      <c r="E10" s="37">
        <v>0</v>
      </c>
    </row>
    <row r="11" spans="1:6" ht="13.5" customHeight="1">
      <c r="A11" s="61" t="s">
        <v>45</v>
      </c>
      <c r="B11" s="32">
        <v>12</v>
      </c>
      <c r="C11" s="48">
        <v>0</v>
      </c>
      <c r="D11" s="48">
        <v>2794865</v>
      </c>
      <c r="E11" s="37">
        <f>SUM(C11:D11)</f>
        <v>2794865</v>
      </c>
      <c r="F11" s="75"/>
    </row>
    <row r="12" spans="1:6" ht="6" customHeight="1">
      <c r="A12" s="67"/>
      <c r="B12" s="68"/>
      <c r="C12" s="69"/>
      <c r="D12" s="69"/>
      <c r="E12" s="69"/>
    </row>
    <row r="13" spans="1:6" ht="13.5" thickBot="1">
      <c r="A13" s="20" t="s">
        <v>151</v>
      </c>
      <c r="B13" s="17"/>
      <c r="C13" s="66">
        <v>10751303</v>
      </c>
      <c r="D13" s="66">
        <f>D8+D9+D11</f>
        <v>49425</v>
      </c>
      <c r="E13" s="66">
        <f>SUM(C13:D13)</f>
        <v>10800728</v>
      </c>
    </row>
    <row r="14" spans="1:6">
      <c r="A14" s="21"/>
      <c r="B14" s="15"/>
      <c r="C14" s="39"/>
      <c r="D14" s="39"/>
      <c r="E14" s="39"/>
    </row>
    <row r="15" spans="1:6">
      <c r="A15" s="62" t="s">
        <v>152</v>
      </c>
      <c r="B15" s="59"/>
      <c r="C15" s="63">
        <f>C13</f>
        <v>10751303</v>
      </c>
      <c r="D15" s="63">
        <f>D13</f>
        <v>49425</v>
      </c>
      <c r="E15" s="63">
        <f>SUM(C15:D15)</f>
        <v>10800728</v>
      </c>
      <c r="F15" s="75">
        <f>E15-'ОФП '!D32</f>
        <v>-2.184000052511692E-2</v>
      </c>
    </row>
    <row r="16" spans="1:6" ht="7.5" customHeight="1">
      <c r="A16" s="62"/>
      <c r="B16" s="59"/>
      <c r="C16" s="63"/>
      <c r="D16" s="63"/>
      <c r="E16" s="63"/>
    </row>
    <row r="17" spans="1:6">
      <c r="A17" s="13" t="s">
        <v>74</v>
      </c>
      <c r="B17" s="6"/>
      <c r="C17" s="37">
        <v>0</v>
      </c>
      <c r="D17" s="37">
        <f>'ОСД '!C21</f>
        <v>-160598.67584999997</v>
      </c>
      <c r="E17" s="37">
        <f>SUM(C17:D17)</f>
        <v>-160598.67584999997</v>
      </c>
    </row>
    <row r="18" spans="1:6">
      <c r="A18" s="13" t="s">
        <v>44</v>
      </c>
      <c r="B18" s="6"/>
      <c r="C18" s="37"/>
      <c r="D18" s="37">
        <v>0</v>
      </c>
      <c r="E18" s="37">
        <v>0</v>
      </c>
    </row>
    <row r="19" spans="1:6" ht="12.75" customHeight="1">
      <c r="A19" s="61" t="s">
        <v>45</v>
      </c>
      <c r="B19" s="32"/>
      <c r="C19" s="48">
        <v>0</v>
      </c>
      <c r="D19" s="48">
        <v>151667</v>
      </c>
      <c r="E19" s="37">
        <f>D19</f>
        <v>151667</v>
      </c>
      <c r="F19" s="75"/>
    </row>
    <row r="20" spans="1:6">
      <c r="A20" s="61"/>
      <c r="B20" s="32"/>
      <c r="C20" s="47"/>
      <c r="D20" s="47"/>
      <c r="E20" s="47"/>
    </row>
    <row r="21" spans="1:6" ht="13.5" thickBot="1">
      <c r="A21" s="20" t="s">
        <v>153</v>
      </c>
      <c r="B21" s="10"/>
      <c r="C21" s="66">
        <f>C15</f>
        <v>10751303</v>
      </c>
      <c r="D21" s="66">
        <f>D15+D17+D19</f>
        <v>40493.324150000029</v>
      </c>
      <c r="E21" s="66">
        <f>C21+D21</f>
        <v>10791796.32415</v>
      </c>
      <c r="F21" s="75">
        <f>E21-'ОФП '!C32</f>
        <v>-0.16220000013709068</v>
      </c>
    </row>
    <row r="22" spans="1:6">
      <c r="A22" s="21"/>
      <c r="B22" s="15"/>
      <c r="C22" s="22"/>
      <c r="D22" s="22"/>
      <c r="E22" s="22"/>
    </row>
    <row r="23" spans="1:6" s="8" customFormat="1" ht="9.75" customHeight="1">
      <c r="A23" s="52"/>
      <c r="B23" s="52"/>
      <c r="C23" s="52"/>
    </row>
    <row r="24" spans="1:6" s="8" customFormat="1" ht="15">
      <c r="A24" s="14" t="s">
        <v>19</v>
      </c>
      <c r="B24" s="50"/>
      <c r="C24" s="51"/>
      <c r="D24" s="14" t="s">
        <v>17</v>
      </c>
      <c r="E24" s="14"/>
    </row>
    <row r="25" spans="1:6" s="8" customFormat="1" ht="15">
      <c r="A25" s="70" t="s">
        <v>146</v>
      </c>
      <c r="B25" s="70"/>
      <c r="C25" s="71"/>
      <c r="D25" s="70" t="s">
        <v>147</v>
      </c>
      <c r="E25" s="70"/>
    </row>
    <row r="26" spans="1:6" s="8" customFormat="1" ht="15">
      <c r="A26" s="72" t="s">
        <v>42</v>
      </c>
      <c r="B26" s="70"/>
      <c r="C26" s="71"/>
      <c r="D26" s="72" t="s">
        <v>18</v>
      </c>
      <c r="E26" s="72"/>
    </row>
  </sheetData>
  <mergeCells count="2">
    <mergeCell ref="A3:E3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2355-0036-4721-AAF1-F516240B5A6C}">
  <dimension ref="A1:X118"/>
  <sheetViews>
    <sheetView tabSelected="1" topLeftCell="B88" workbookViewId="0">
      <selection activeCell="S26" sqref="S26:U26"/>
    </sheetView>
  </sheetViews>
  <sheetFormatPr defaultColWidth="9" defaultRowHeight="15"/>
  <cols>
    <col min="1" max="1" width="2.28515625" style="85" customWidth="1"/>
    <col min="2" max="2" width="1.85546875" style="85" customWidth="1"/>
    <col min="3" max="3" width="2.140625" style="85" customWidth="1"/>
    <col min="4" max="4" width="13.28515625" style="85" customWidth="1"/>
    <col min="5" max="5" width="1.42578125" style="85" customWidth="1"/>
    <col min="6" max="6" width="11.140625" style="85" customWidth="1"/>
    <col min="7" max="7" width="1.7109375" style="85" customWidth="1"/>
    <col min="8" max="8" width="0.85546875" style="85" customWidth="1"/>
    <col min="9" max="9" width="13.7109375" style="85" customWidth="1"/>
    <col min="10" max="10" width="1.7109375" style="85" customWidth="1"/>
    <col min="11" max="11" width="4.85546875" style="85" customWidth="1"/>
    <col min="12" max="12" width="4.42578125" style="85" customWidth="1"/>
    <col min="13" max="13" width="4.28515625" style="85" customWidth="1"/>
    <col min="14" max="14" width="5.7109375" style="85" customWidth="1"/>
    <col min="15" max="15" width="1" style="85" customWidth="1"/>
    <col min="16" max="16" width="2.28515625" style="85" customWidth="1"/>
    <col min="17" max="17" width="9" style="85"/>
    <col min="18" max="18" width="5.42578125" style="85" customWidth="1"/>
    <col min="19" max="19" width="3.5703125" style="85" customWidth="1"/>
    <col min="20" max="20" width="12.7109375" style="85" customWidth="1"/>
    <col min="21" max="21" width="1.28515625" style="85" customWidth="1"/>
    <col min="22" max="22" width="1.140625" style="85" customWidth="1"/>
    <col min="23" max="23" width="1" style="85" customWidth="1"/>
    <col min="24" max="24" width="4" style="85" customWidth="1"/>
  </cols>
  <sheetData>
    <row r="1" spans="3:24" ht="11.1" customHeight="1"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3:24" ht="35.1" customHeight="1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25" t="s">
        <v>131</v>
      </c>
      <c r="R2" s="125"/>
      <c r="S2" s="125"/>
      <c r="T2" s="125"/>
      <c r="U2" s="125"/>
      <c r="V2" s="125"/>
      <c r="W2" s="125"/>
      <c r="X2" s="125"/>
    </row>
    <row r="3" spans="3:24" ht="35.1" customHeigh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25" t="s">
        <v>132</v>
      </c>
      <c r="R3" s="125"/>
      <c r="S3" s="125"/>
      <c r="T3" s="125"/>
      <c r="U3" s="125"/>
      <c r="V3" s="125"/>
      <c r="W3" s="125"/>
      <c r="X3" s="125"/>
    </row>
    <row r="4" spans="3:24" s="85" customFormat="1" ht="15" customHeight="1"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26" t="s">
        <v>127</v>
      </c>
      <c r="S4" s="126"/>
      <c r="T4" s="126"/>
      <c r="U4" s="105"/>
      <c r="V4" s="105"/>
      <c r="W4" s="105"/>
      <c r="X4" s="105"/>
    </row>
    <row r="5" spans="3:24" s="85" customFormat="1" ht="15" customHeight="1">
      <c r="C5" s="127" t="s">
        <v>56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05"/>
      <c r="U5" s="105"/>
      <c r="V5" s="105"/>
      <c r="W5" s="105"/>
      <c r="X5" s="105"/>
    </row>
    <row r="6" spans="3:24" s="85" customFormat="1" ht="3.95" customHeight="1"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3:24" s="85" customFormat="1" ht="15" customHeight="1">
      <c r="C7" s="127" t="s">
        <v>156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05"/>
      <c r="U7" s="105"/>
      <c r="V7" s="105"/>
      <c r="W7" s="105"/>
      <c r="X7" s="105"/>
    </row>
    <row r="8" spans="3:24" s="85" customFormat="1" ht="9.9499999999999993" customHeight="1"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3:24" s="85" customFormat="1" ht="3.95" customHeight="1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spans="3:24" ht="11.1" customHeight="1">
      <c r="C10" s="121" t="s">
        <v>133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spans="3:24" s="85" customFormat="1" ht="3.95" customHeight="1"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spans="3:24" ht="12" customHeight="1">
      <c r="C12" s="87" t="s">
        <v>128</v>
      </c>
      <c r="D12" s="87"/>
      <c r="E12" s="87"/>
      <c r="F12" s="105" t="s">
        <v>134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spans="3:24" s="85" customFormat="1" ht="3.95" customHeight="1"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spans="3:24" ht="11.1" customHeight="1">
      <c r="C14" s="121" t="s">
        <v>135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05"/>
      <c r="V14" s="105"/>
      <c r="W14" s="105"/>
      <c r="X14" s="105"/>
    </row>
    <row r="15" spans="3:24" s="85" customFormat="1" ht="3.95" customHeight="1"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spans="3:24" ht="11.1" customHeight="1">
      <c r="C16" s="121" t="s">
        <v>136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</row>
    <row r="17" spans="2:21" s="85" customFormat="1" ht="3.95" customHeight="1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</row>
    <row r="18" spans="2:21" ht="11.1" customHeight="1">
      <c r="B18" s="105"/>
      <c r="C18" s="87" t="s">
        <v>137</v>
      </c>
      <c r="D18" s="87"/>
      <c r="E18" s="87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</row>
    <row r="19" spans="2:21" ht="11.1" customHeight="1">
      <c r="B19" s="105"/>
      <c r="C19" s="87" t="s">
        <v>138</v>
      </c>
      <c r="D19" s="87"/>
      <c r="E19" s="8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</row>
    <row r="21" spans="2:21" ht="12" customHeight="1">
      <c r="B21" s="105"/>
      <c r="C21" s="122" t="s">
        <v>139</v>
      </c>
      <c r="D21" s="122"/>
      <c r="E21" s="122"/>
      <c r="F21" s="122"/>
      <c r="G21" s="122"/>
      <c r="H21" s="122"/>
      <c r="I21" s="123" t="s">
        <v>76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05"/>
    </row>
    <row r="22" spans="2:21" s="85" customFormat="1" ht="6" customHeight="1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</row>
    <row r="23" spans="2:21" ht="12" customHeight="1">
      <c r="B23" s="105"/>
      <c r="C23" s="105"/>
      <c r="D23" s="105"/>
      <c r="E23" s="105"/>
      <c r="F23" s="105"/>
      <c r="G23" s="105"/>
      <c r="H23" s="105"/>
      <c r="I23" s="124" t="s">
        <v>157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05"/>
    </row>
    <row r="24" spans="2:21" s="85" customFormat="1" ht="3" customHeight="1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</row>
    <row r="25" spans="2:21" s="85" customFormat="1" ht="11.1" customHeight="1" thickBot="1"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 t="s">
        <v>6</v>
      </c>
      <c r="T25" s="105"/>
      <c r="U25" s="105"/>
    </row>
    <row r="26" spans="2:21" s="85" customFormat="1" ht="39" customHeight="1">
      <c r="B26" s="128" t="s">
        <v>71</v>
      </c>
      <c r="C26" s="227"/>
      <c r="D26" s="227"/>
      <c r="E26" s="227"/>
      <c r="F26" s="227"/>
      <c r="G26" s="227"/>
      <c r="H26" s="227"/>
      <c r="I26" s="227"/>
      <c r="J26" s="227"/>
      <c r="K26" s="227"/>
      <c r="L26" s="228"/>
      <c r="M26" s="207" t="s">
        <v>129</v>
      </c>
      <c r="N26" s="210"/>
      <c r="O26" s="207" t="s">
        <v>157</v>
      </c>
      <c r="P26" s="208"/>
      <c r="Q26" s="208"/>
      <c r="R26" s="210"/>
      <c r="S26" s="207" t="s">
        <v>157</v>
      </c>
      <c r="T26" s="208"/>
      <c r="U26" s="209"/>
    </row>
    <row r="27" spans="2:21" s="85" customFormat="1" ht="11.1" customHeight="1">
      <c r="B27" s="120">
        <v>1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6"/>
      <c r="M27" s="203">
        <v>2</v>
      </c>
      <c r="N27" s="206"/>
      <c r="O27" s="203">
        <v>3</v>
      </c>
      <c r="P27" s="204"/>
      <c r="Q27" s="204"/>
      <c r="R27" s="206"/>
      <c r="S27" s="203">
        <v>4</v>
      </c>
      <c r="T27" s="204"/>
      <c r="U27" s="205"/>
    </row>
    <row r="28" spans="2:21" s="85" customFormat="1" ht="14.1" customHeight="1">
      <c r="B28" s="194" t="s">
        <v>58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2:21" s="85" customFormat="1" ht="12" customHeight="1">
      <c r="B29" s="191" t="s">
        <v>59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3"/>
      <c r="M29" s="186">
        <v>10</v>
      </c>
      <c r="N29" s="187"/>
      <c r="O29" s="129">
        <v>130930.22</v>
      </c>
      <c r="P29" s="130"/>
      <c r="Q29" s="130"/>
      <c r="R29" s="131"/>
      <c r="S29" s="129">
        <v>142826336.71000001</v>
      </c>
      <c r="T29" s="130"/>
      <c r="U29" s="155"/>
    </row>
    <row r="30" spans="2:21" s="85" customFormat="1" ht="12" customHeight="1">
      <c r="B30" s="172" t="s">
        <v>60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4"/>
      <c r="M30" s="88"/>
      <c r="N30" s="89"/>
      <c r="O30" s="90"/>
      <c r="P30" s="91"/>
      <c r="Q30" s="91"/>
      <c r="R30" s="92"/>
      <c r="S30" s="90"/>
      <c r="T30" s="91"/>
      <c r="U30" s="93"/>
    </row>
    <row r="31" spans="2:21" s="85" customFormat="1" ht="12" customHeight="1">
      <c r="B31" s="115" t="s">
        <v>77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3"/>
      <c r="M31" s="179">
        <v>11</v>
      </c>
      <c r="N31" s="180"/>
      <c r="O31" s="156">
        <v>0</v>
      </c>
      <c r="P31" s="157"/>
      <c r="Q31" s="157"/>
      <c r="R31" s="159"/>
      <c r="S31" s="164">
        <v>3500000</v>
      </c>
      <c r="T31" s="165"/>
      <c r="U31" s="166"/>
    </row>
    <row r="32" spans="2:21" s="85" customFormat="1" ht="12" customHeight="1">
      <c r="B32" s="115" t="s">
        <v>78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3"/>
      <c r="M32" s="179">
        <v>12</v>
      </c>
      <c r="N32" s="180"/>
      <c r="O32" s="156">
        <v>0</v>
      </c>
      <c r="P32" s="157"/>
      <c r="Q32" s="157"/>
      <c r="R32" s="159"/>
      <c r="S32" s="156">
        <v>0</v>
      </c>
      <c r="T32" s="157"/>
      <c r="U32" s="158"/>
    </row>
    <row r="33" spans="2:21" s="85" customFormat="1" ht="12" customHeight="1">
      <c r="B33" s="115" t="s">
        <v>79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3"/>
      <c r="M33" s="179">
        <v>13</v>
      </c>
      <c r="N33" s="180"/>
      <c r="O33" s="156">
        <v>0</v>
      </c>
      <c r="P33" s="157"/>
      <c r="Q33" s="157"/>
      <c r="R33" s="159"/>
      <c r="S33" s="156">
        <v>0</v>
      </c>
      <c r="T33" s="157"/>
      <c r="U33" s="158"/>
    </row>
    <row r="34" spans="2:21" s="85" customFormat="1" ht="12" customHeight="1">
      <c r="B34" s="115" t="s">
        <v>80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3"/>
      <c r="M34" s="179">
        <v>14</v>
      </c>
      <c r="N34" s="180"/>
      <c r="O34" s="156">
        <v>0</v>
      </c>
      <c r="P34" s="157"/>
      <c r="Q34" s="157"/>
      <c r="R34" s="159"/>
      <c r="S34" s="156">
        <v>0</v>
      </c>
      <c r="T34" s="157"/>
      <c r="U34" s="158"/>
    </row>
    <row r="35" spans="2:21" s="85" customFormat="1" ht="12" customHeight="1">
      <c r="B35" s="115" t="s">
        <v>81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3"/>
      <c r="M35" s="179">
        <v>15</v>
      </c>
      <c r="N35" s="180"/>
      <c r="O35" s="156">
        <v>0</v>
      </c>
      <c r="P35" s="157"/>
      <c r="Q35" s="157"/>
      <c r="R35" s="159"/>
      <c r="S35" s="156">
        <v>0</v>
      </c>
      <c r="T35" s="157"/>
      <c r="U35" s="158"/>
    </row>
    <row r="36" spans="2:21" s="85" customFormat="1" ht="12" customHeight="1">
      <c r="B36" s="115" t="s">
        <v>82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3"/>
      <c r="M36" s="179">
        <v>16</v>
      </c>
      <c r="N36" s="180"/>
      <c r="O36" s="164">
        <v>130930.22</v>
      </c>
      <c r="P36" s="165"/>
      <c r="Q36" s="165"/>
      <c r="R36" s="167"/>
      <c r="S36" s="164">
        <v>139326336.71000001</v>
      </c>
      <c r="T36" s="165"/>
      <c r="U36" s="166"/>
    </row>
    <row r="37" spans="2:21" s="85" customFormat="1" ht="12" customHeight="1">
      <c r="B37" s="115" t="s">
        <v>61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3"/>
      <c r="M37" s="186">
        <v>20</v>
      </c>
      <c r="N37" s="187"/>
      <c r="O37" s="129">
        <v>343552468.39999998</v>
      </c>
      <c r="P37" s="130"/>
      <c r="Q37" s="130"/>
      <c r="R37" s="131"/>
      <c r="S37" s="129">
        <v>153260553.44</v>
      </c>
      <c r="T37" s="130"/>
      <c r="U37" s="155"/>
    </row>
    <row r="38" spans="2:21" s="85" customFormat="1" ht="12.95" customHeight="1">
      <c r="B38" s="172" t="s">
        <v>60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4"/>
      <c r="M38" s="94"/>
      <c r="N38" s="95"/>
      <c r="O38" s="96"/>
      <c r="P38" s="97"/>
      <c r="Q38" s="97"/>
      <c r="R38" s="98"/>
      <c r="S38" s="96"/>
      <c r="T38" s="97"/>
      <c r="U38" s="99"/>
    </row>
    <row r="39" spans="2:21" s="85" customFormat="1" ht="12" customHeight="1">
      <c r="B39" s="115" t="s">
        <v>83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3"/>
      <c r="M39" s="179">
        <v>21</v>
      </c>
      <c r="N39" s="180"/>
      <c r="O39" s="164">
        <v>122684285.84999999</v>
      </c>
      <c r="P39" s="165"/>
      <c r="Q39" s="165"/>
      <c r="R39" s="167"/>
      <c r="S39" s="164">
        <v>77386907.260000005</v>
      </c>
      <c r="T39" s="165"/>
      <c r="U39" s="166"/>
    </row>
    <row r="40" spans="2:21" s="85" customFormat="1" ht="12" customHeight="1">
      <c r="B40" s="115" t="s">
        <v>84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3"/>
      <c r="M40" s="179">
        <v>22</v>
      </c>
      <c r="N40" s="180"/>
      <c r="O40" s="156">
        <v>0</v>
      </c>
      <c r="P40" s="157"/>
      <c r="Q40" s="157"/>
      <c r="R40" s="159"/>
      <c r="S40" s="164">
        <v>62764</v>
      </c>
      <c r="T40" s="165"/>
      <c r="U40" s="166"/>
    </row>
    <row r="41" spans="2:21" s="85" customFormat="1" ht="12" customHeight="1">
      <c r="B41" s="115" t="s">
        <v>85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3"/>
      <c r="M41" s="179">
        <v>23</v>
      </c>
      <c r="N41" s="180"/>
      <c r="O41" s="164">
        <v>67589349.769999996</v>
      </c>
      <c r="P41" s="165"/>
      <c r="Q41" s="165"/>
      <c r="R41" s="167"/>
      <c r="S41" s="164">
        <v>18243761.170000002</v>
      </c>
      <c r="T41" s="165"/>
      <c r="U41" s="166"/>
    </row>
    <row r="42" spans="2:21" s="85" customFormat="1" ht="12" customHeight="1">
      <c r="B42" s="115" t="s">
        <v>86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3"/>
      <c r="M42" s="181">
        <v>24</v>
      </c>
      <c r="N42" s="182"/>
      <c r="O42" s="156">
        <v>0</v>
      </c>
      <c r="P42" s="157"/>
      <c r="Q42" s="157"/>
      <c r="R42" s="159"/>
      <c r="S42" s="156">
        <v>0</v>
      </c>
      <c r="T42" s="157"/>
      <c r="U42" s="158"/>
    </row>
    <row r="43" spans="2:21" s="85" customFormat="1" ht="12" customHeight="1">
      <c r="B43" s="115" t="s">
        <v>87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3"/>
      <c r="M43" s="179">
        <v>25</v>
      </c>
      <c r="N43" s="180"/>
      <c r="O43" s="156">
        <v>0</v>
      </c>
      <c r="P43" s="157"/>
      <c r="Q43" s="157"/>
      <c r="R43" s="159"/>
      <c r="S43" s="156">
        <v>0</v>
      </c>
      <c r="T43" s="157"/>
      <c r="U43" s="158"/>
    </row>
    <row r="44" spans="2:21" s="85" customFormat="1" ht="12" customHeight="1">
      <c r="B44" s="115" t="s">
        <v>88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3"/>
      <c r="M44" s="179">
        <v>26</v>
      </c>
      <c r="N44" s="180"/>
      <c r="O44" s="164">
        <v>140489046.30000001</v>
      </c>
      <c r="P44" s="165"/>
      <c r="Q44" s="165"/>
      <c r="R44" s="167"/>
      <c r="S44" s="164">
        <v>39245712.159999996</v>
      </c>
      <c r="T44" s="165"/>
      <c r="U44" s="166"/>
    </row>
    <row r="45" spans="2:21" s="85" customFormat="1" ht="12" customHeight="1">
      <c r="B45" s="115" t="s">
        <v>89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3"/>
      <c r="M45" s="179">
        <v>27</v>
      </c>
      <c r="N45" s="180"/>
      <c r="O45" s="164">
        <v>12789786.48</v>
      </c>
      <c r="P45" s="165"/>
      <c r="Q45" s="165"/>
      <c r="R45" s="167"/>
      <c r="S45" s="164">
        <v>18321408.850000001</v>
      </c>
      <c r="T45" s="165"/>
      <c r="U45" s="166"/>
    </row>
    <row r="46" spans="2:21" s="85" customFormat="1" ht="24" customHeight="1">
      <c r="B46" s="188" t="s">
        <v>62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90"/>
      <c r="M46" s="186">
        <v>30</v>
      </c>
      <c r="N46" s="187"/>
      <c r="O46" s="223" t="s">
        <v>158</v>
      </c>
      <c r="P46" s="224"/>
      <c r="Q46" s="224"/>
      <c r="R46" s="226"/>
      <c r="S46" s="223" t="s">
        <v>159</v>
      </c>
      <c r="T46" s="224"/>
      <c r="U46" s="225"/>
    </row>
    <row r="47" spans="2:21" s="85" customFormat="1" ht="15.95" customHeight="1">
      <c r="B47" s="194" t="s">
        <v>63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6"/>
    </row>
    <row r="48" spans="2:21" s="85" customFormat="1" ht="11.1" customHeight="1">
      <c r="B48" s="191" t="s">
        <v>90</v>
      </c>
      <c r="C48" s="192"/>
      <c r="D48" s="192"/>
      <c r="E48" s="192"/>
      <c r="F48" s="192"/>
      <c r="G48" s="192"/>
      <c r="H48" s="192"/>
      <c r="I48" s="192"/>
      <c r="J48" s="192"/>
      <c r="K48" s="192"/>
      <c r="L48" s="193"/>
      <c r="M48" s="186">
        <v>40</v>
      </c>
      <c r="N48" s="187"/>
      <c r="O48" s="129">
        <v>875654.62</v>
      </c>
      <c r="P48" s="130"/>
      <c r="Q48" s="130"/>
      <c r="R48" s="131"/>
      <c r="S48" s="129">
        <v>2535764.58</v>
      </c>
      <c r="T48" s="130"/>
      <c r="U48" s="130"/>
    </row>
    <row r="49" spans="2:21" s="85" customFormat="1" ht="12" customHeight="1">
      <c r="B49" s="172" t="s">
        <v>60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4"/>
      <c r="M49" s="94"/>
      <c r="N49" s="95"/>
      <c r="O49" s="96"/>
      <c r="P49" s="97"/>
      <c r="Q49" s="97"/>
      <c r="R49" s="98"/>
      <c r="S49" s="96"/>
      <c r="T49" s="97"/>
      <c r="U49" s="99"/>
    </row>
    <row r="50" spans="2:21" s="85" customFormat="1" ht="12" customHeight="1">
      <c r="B50" s="115" t="s">
        <v>91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3"/>
      <c r="M50" s="181">
        <v>41</v>
      </c>
      <c r="N50" s="182"/>
      <c r="O50" s="156">
        <v>0</v>
      </c>
      <c r="P50" s="157"/>
      <c r="Q50" s="157"/>
      <c r="R50" s="159"/>
      <c r="S50" s="156">
        <v>0</v>
      </c>
      <c r="T50" s="157"/>
      <c r="U50" s="158"/>
    </row>
    <row r="51" spans="2:21" s="85" customFormat="1" ht="12" customHeight="1">
      <c r="B51" s="115" t="s">
        <v>92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3"/>
      <c r="M51" s="181">
        <v>42</v>
      </c>
      <c r="N51" s="182"/>
      <c r="O51" s="156">
        <v>0</v>
      </c>
      <c r="P51" s="157"/>
      <c r="Q51" s="157"/>
      <c r="R51" s="159"/>
      <c r="S51" s="156">
        <v>0</v>
      </c>
      <c r="T51" s="157"/>
      <c r="U51" s="158"/>
    </row>
    <row r="52" spans="2:21" s="85" customFormat="1" ht="12" customHeight="1">
      <c r="B52" s="115" t="s">
        <v>93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3"/>
      <c r="M52" s="179">
        <v>43</v>
      </c>
      <c r="N52" s="180"/>
      <c r="O52" s="156">
        <v>0</v>
      </c>
      <c r="P52" s="157"/>
      <c r="Q52" s="157"/>
      <c r="R52" s="159"/>
      <c r="S52" s="156">
        <v>0</v>
      </c>
      <c r="T52" s="157"/>
      <c r="U52" s="158"/>
    </row>
    <row r="53" spans="2:21" s="85" customFormat="1" ht="24" customHeight="1">
      <c r="B53" s="114" t="s">
        <v>94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5"/>
      <c r="M53" s="179">
        <v>44</v>
      </c>
      <c r="N53" s="180"/>
      <c r="O53" s="156">
        <v>0</v>
      </c>
      <c r="P53" s="157"/>
      <c r="Q53" s="157"/>
      <c r="R53" s="159"/>
      <c r="S53" s="156">
        <v>0</v>
      </c>
      <c r="T53" s="157"/>
      <c r="U53" s="158"/>
    </row>
    <row r="54" spans="2:21" s="85" customFormat="1" ht="12" customHeight="1">
      <c r="B54" s="114" t="s">
        <v>95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5"/>
      <c r="M54" s="179">
        <v>45</v>
      </c>
      <c r="N54" s="180"/>
      <c r="O54" s="156">
        <v>0</v>
      </c>
      <c r="P54" s="157"/>
      <c r="Q54" s="157"/>
      <c r="R54" s="159"/>
      <c r="S54" s="156">
        <v>0</v>
      </c>
      <c r="T54" s="157"/>
      <c r="U54" s="158"/>
    </row>
    <row r="55" spans="2:21" s="85" customFormat="1" ht="24" customHeight="1">
      <c r="B55" s="114" t="s">
        <v>96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5"/>
      <c r="M55" s="179">
        <v>46</v>
      </c>
      <c r="N55" s="180"/>
      <c r="O55" s="175" t="s">
        <v>55</v>
      </c>
      <c r="P55" s="176"/>
      <c r="Q55" s="176"/>
      <c r="R55" s="178"/>
      <c r="S55" s="175" t="s">
        <v>55</v>
      </c>
      <c r="T55" s="176"/>
      <c r="U55" s="177"/>
    </row>
    <row r="56" spans="2:21" s="85" customFormat="1" ht="12" customHeight="1">
      <c r="B56" s="114" t="s">
        <v>97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5"/>
      <c r="M56" s="179">
        <v>47</v>
      </c>
      <c r="N56" s="180"/>
      <c r="O56" s="175" t="s">
        <v>55</v>
      </c>
      <c r="P56" s="176"/>
      <c r="Q56" s="176"/>
      <c r="R56" s="178"/>
      <c r="S56" s="175" t="s">
        <v>55</v>
      </c>
      <c r="T56" s="176"/>
      <c r="U56" s="177"/>
    </row>
    <row r="57" spans="2:21" s="85" customFormat="1" ht="12" customHeight="1">
      <c r="B57" s="114" t="s">
        <v>98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5"/>
      <c r="M57" s="179">
        <v>48</v>
      </c>
      <c r="N57" s="180"/>
      <c r="O57" s="175" t="s">
        <v>55</v>
      </c>
      <c r="P57" s="176"/>
      <c r="Q57" s="176"/>
      <c r="R57" s="178"/>
      <c r="S57" s="175" t="s">
        <v>55</v>
      </c>
      <c r="T57" s="176"/>
      <c r="U57" s="177"/>
    </row>
    <row r="58" spans="2:21" s="85" customFormat="1" ht="12" customHeight="1">
      <c r="B58" s="114" t="s">
        <v>99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5"/>
      <c r="M58" s="179">
        <v>49</v>
      </c>
      <c r="N58" s="180"/>
      <c r="O58" s="175" t="s">
        <v>55</v>
      </c>
      <c r="P58" s="176"/>
      <c r="Q58" s="176"/>
      <c r="R58" s="178"/>
      <c r="S58" s="175" t="s">
        <v>55</v>
      </c>
      <c r="T58" s="176"/>
      <c r="U58" s="177"/>
    </row>
    <row r="59" spans="2:21" s="85" customFormat="1" ht="12" customHeight="1">
      <c r="B59" s="114" t="s">
        <v>100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5"/>
      <c r="M59" s="179">
        <v>50</v>
      </c>
      <c r="N59" s="180"/>
      <c r="O59" s="156">
        <v>0</v>
      </c>
      <c r="P59" s="157"/>
      <c r="Q59" s="157"/>
      <c r="R59" s="159"/>
      <c r="S59" s="156">
        <v>0</v>
      </c>
      <c r="T59" s="157"/>
      <c r="U59" s="158"/>
    </row>
    <row r="60" spans="2:21" s="85" customFormat="1" ht="12" customHeight="1">
      <c r="B60" s="114" t="s">
        <v>81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5"/>
      <c r="M60" s="179">
        <v>51</v>
      </c>
      <c r="N60" s="180"/>
      <c r="O60" s="164">
        <v>875654.62</v>
      </c>
      <c r="P60" s="165"/>
      <c r="Q60" s="165"/>
      <c r="R60" s="167"/>
      <c r="S60" s="164">
        <v>2535764.58</v>
      </c>
      <c r="T60" s="165"/>
      <c r="U60" s="165"/>
    </row>
    <row r="61" spans="2:21" s="85" customFormat="1" ht="12" customHeight="1" thickBot="1">
      <c r="B61" s="220" t="s">
        <v>82</v>
      </c>
      <c r="C61" s="221"/>
      <c r="D61" s="221"/>
      <c r="E61" s="221"/>
      <c r="F61" s="221"/>
      <c r="G61" s="221"/>
      <c r="H61" s="221"/>
      <c r="I61" s="221"/>
      <c r="J61" s="221"/>
      <c r="K61" s="221"/>
      <c r="L61" s="222"/>
      <c r="M61" s="218">
        <v>52</v>
      </c>
      <c r="N61" s="219"/>
      <c r="O61" s="214">
        <v>0</v>
      </c>
      <c r="P61" s="215"/>
      <c r="Q61" s="215"/>
      <c r="R61" s="217"/>
      <c r="S61" s="214">
        <v>0</v>
      </c>
      <c r="T61" s="215"/>
      <c r="U61" s="216"/>
    </row>
    <row r="63" spans="2:21" ht="11.1" customHeight="1" thickBot="1"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 t="s">
        <v>6</v>
      </c>
      <c r="T63" s="105"/>
      <c r="U63" s="105"/>
    </row>
    <row r="64" spans="2:21" s="85" customFormat="1" ht="24" customHeight="1">
      <c r="B64" s="119" t="s">
        <v>71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2"/>
      <c r="M64" s="207" t="s">
        <v>129</v>
      </c>
      <c r="N64" s="210"/>
      <c r="O64" s="207" t="s">
        <v>57</v>
      </c>
      <c r="P64" s="208"/>
      <c r="Q64" s="208"/>
      <c r="R64" s="210"/>
      <c r="S64" s="207" t="s">
        <v>75</v>
      </c>
      <c r="T64" s="208"/>
      <c r="U64" s="209"/>
    </row>
    <row r="65" spans="2:21" s="85" customFormat="1" ht="11.1" customHeight="1">
      <c r="B65" s="120">
        <v>1</v>
      </c>
      <c r="C65" s="204"/>
      <c r="D65" s="204"/>
      <c r="E65" s="204"/>
      <c r="F65" s="204"/>
      <c r="G65" s="204"/>
      <c r="H65" s="204"/>
      <c r="I65" s="204"/>
      <c r="J65" s="204"/>
      <c r="K65" s="204"/>
      <c r="L65" s="206"/>
      <c r="M65" s="203">
        <v>2</v>
      </c>
      <c r="N65" s="206"/>
      <c r="O65" s="203">
        <v>3</v>
      </c>
      <c r="P65" s="204"/>
      <c r="Q65" s="204"/>
      <c r="R65" s="206"/>
      <c r="S65" s="203">
        <v>4</v>
      </c>
      <c r="T65" s="204"/>
      <c r="U65" s="205"/>
    </row>
    <row r="66" spans="2:21" s="85" customFormat="1" ht="15" customHeight="1">
      <c r="B66" s="191" t="s">
        <v>101</v>
      </c>
      <c r="C66" s="192"/>
      <c r="D66" s="192"/>
      <c r="E66" s="192"/>
      <c r="F66" s="192"/>
      <c r="G66" s="192"/>
      <c r="H66" s="192"/>
      <c r="I66" s="192"/>
      <c r="J66" s="192"/>
      <c r="K66" s="192"/>
      <c r="L66" s="193"/>
      <c r="M66" s="186">
        <v>60</v>
      </c>
      <c r="N66" s="187"/>
      <c r="O66" s="183">
        <v>0</v>
      </c>
      <c r="P66" s="184"/>
      <c r="Q66" s="184"/>
      <c r="R66" s="213"/>
      <c r="S66" s="183">
        <v>0</v>
      </c>
      <c r="T66" s="184"/>
      <c r="U66" s="185"/>
    </row>
    <row r="67" spans="2:21" s="85" customFormat="1" ht="14.1" customHeight="1">
      <c r="B67" s="172" t="s">
        <v>60</v>
      </c>
      <c r="C67" s="173"/>
      <c r="D67" s="173"/>
      <c r="E67" s="173"/>
      <c r="F67" s="173"/>
      <c r="G67" s="173"/>
      <c r="H67" s="173"/>
      <c r="I67" s="173"/>
      <c r="J67" s="173"/>
      <c r="K67" s="173"/>
      <c r="L67" s="174"/>
      <c r="M67" s="94"/>
      <c r="N67" s="95"/>
      <c r="O67" s="168">
        <v>0</v>
      </c>
      <c r="P67" s="169"/>
      <c r="Q67" s="169"/>
      <c r="R67" s="171"/>
      <c r="S67" s="168">
        <v>0</v>
      </c>
      <c r="T67" s="169"/>
      <c r="U67" s="170"/>
    </row>
    <row r="68" spans="2:21" s="85" customFormat="1" ht="12" customHeight="1">
      <c r="B68" s="115" t="s">
        <v>102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3"/>
      <c r="M68" s="179">
        <v>61</v>
      </c>
      <c r="N68" s="180"/>
      <c r="O68" s="156">
        <v>0</v>
      </c>
      <c r="P68" s="157"/>
      <c r="Q68" s="157"/>
      <c r="R68" s="159"/>
      <c r="S68" s="156">
        <v>0</v>
      </c>
      <c r="T68" s="157"/>
      <c r="U68" s="158"/>
    </row>
    <row r="69" spans="2:21" s="85" customFormat="1" ht="12" customHeight="1">
      <c r="B69" s="115" t="s">
        <v>103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3"/>
      <c r="M69" s="179">
        <v>62</v>
      </c>
      <c r="N69" s="180"/>
      <c r="O69" s="156">
        <v>0</v>
      </c>
      <c r="P69" s="157"/>
      <c r="Q69" s="157"/>
      <c r="R69" s="159"/>
      <c r="S69" s="156">
        <v>0</v>
      </c>
      <c r="T69" s="157"/>
      <c r="U69" s="158"/>
    </row>
    <row r="70" spans="2:21" s="85" customFormat="1" ht="12" customHeight="1">
      <c r="B70" s="116" t="s">
        <v>104</v>
      </c>
      <c r="C70" s="197"/>
      <c r="D70" s="197"/>
      <c r="E70" s="197"/>
      <c r="F70" s="197"/>
      <c r="G70" s="197"/>
      <c r="H70" s="197"/>
      <c r="I70" s="197"/>
      <c r="J70" s="197"/>
      <c r="K70" s="197"/>
      <c r="L70" s="198"/>
      <c r="M70" s="179">
        <v>63</v>
      </c>
      <c r="N70" s="180"/>
      <c r="O70" s="175" t="s">
        <v>55</v>
      </c>
      <c r="P70" s="176"/>
      <c r="Q70" s="176"/>
      <c r="R70" s="178"/>
      <c r="S70" s="175" t="s">
        <v>55</v>
      </c>
      <c r="T70" s="176"/>
      <c r="U70" s="177"/>
    </row>
    <row r="71" spans="2:21" s="85" customFormat="1" ht="36" customHeight="1">
      <c r="B71" s="118" t="s">
        <v>105</v>
      </c>
      <c r="C71" s="201"/>
      <c r="D71" s="201"/>
      <c r="E71" s="201"/>
      <c r="F71" s="201"/>
      <c r="G71" s="201"/>
      <c r="H71" s="201"/>
      <c r="I71" s="201"/>
      <c r="J71" s="201"/>
      <c r="K71" s="201"/>
      <c r="L71" s="202"/>
      <c r="M71" s="179">
        <v>64</v>
      </c>
      <c r="N71" s="180"/>
      <c r="O71" s="175" t="s">
        <v>55</v>
      </c>
      <c r="P71" s="176"/>
      <c r="Q71" s="176"/>
      <c r="R71" s="178"/>
      <c r="S71" s="175" t="s">
        <v>55</v>
      </c>
      <c r="T71" s="176"/>
      <c r="U71" s="177"/>
    </row>
    <row r="72" spans="2:21" s="85" customFormat="1" ht="12" customHeight="1">
      <c r="B72" s="116" t="s">
        <v>106</v>
      </c>
      <c r="C72" s="197"/>
      <c r="D72" s="197"/>
      <c r="E72" s="197"/>
      <c r="F72" s="197"/>
      <c r="G72" s="197"/>
      <c r="H72" s="197"/>
      <c r="I72" s="197"/>
      <c r="J72" s="197"/>
      <c r="K72" s="197"/>
      <c r="L72" s="198"/>
      <c r="M72" s="179">
        <v>65</v>
      </c>
      <c r="N72" s="180"/>
      <c r="O72" s="175" t="s">
        <v>55</v>
      </c>
      <c r="P72" s="176"/>
      <c r="Q72" s="176"/>
      <c r="R72" s="178"/>
      <c r="S72" s="175" t="s">
        <v>55</v>
      </c>
      <c r="T72" s="176"/>
      <c r="U72" s="177"/>
    </row>
    <row r="73" spans="2:21" s="85" customFormat="1" ht="12" customHeight="1">
      <c r="B73" s="116" t="s">
        <v>107</v>
      </c>
      <c r="C73" s="197"/>
      <c r="D73" s="197"/>
      <c r="E73" s="197"/>
      <c r="F73" s="197"/>
      <c r="G73" s="197"/>
      <c r="H73" s="197"/>
      <c r="I73" s="197"/>
      <c r="J73" s="197"/>
      <c r="K73" s="197"/>
      <c r="L73" s="198"/>
      <c r="M73" s="179">
        <v>66</v>
      </c>
      <c r="N73" s="180"/>
      <c r="O73" s="175" t="s">
        <v>55</v>
      </c>
      <c r="P73" s="176"/>
      <c r="Q73" s="176"/>
      <c r="R73" s="178"/>
      <c r="S73" s="175" t="s">
        <v>55</v>
      </c>
      <c r="T73" s="176"/>
      <c r="U73" s="177"/>
    </row>
    <row r="74" spans="2:21" s="85" customFormat="1" ht="12" customHeight="1">
      <c r="B74" s="117" t="s">
        <v>108</v>
      </c>
      <c r="C74" s="199"/>
      <c r="D74" s="199"/>
      <c r="E74" s="199"/>
      <c r="F74" s="199"/>
      <c r="G74" s="199"/>
      <c r="H74" s="199"/>
      <c r="I74" s="199"/>
      <c r="J74" s="199"/>
      <c r="K74" s="199"/>
      <c r="L74" s="200"/>
      <c r="M74" s="179">
        <v>67</v>
      </c>
      <c r="N74" s="180"/>
      <c r="O74" s="175" t="s">
        <v>55</v>
      </c>
      <c r="P74" s="176"/>
      <c r="Q74" s="176"/>
      <c r="R74" s="178"/>
      <c r="S74" s="175" t="s">
        <v>55</v>
      </c>
      <c r="T74" s="176"/>
      <c r="U74" s="177"/>
    </row>
    <row r="75" spans="2:21" s="85" customFormat="1" ht="12" customHeight="1">
      <c r="B75" s="117" t="s">
        <v>140</v>
      </c>
      <c r="C75" s="199"/>
      <c r="D75" s="199"/>
      <c r="E75" s="199"/>
      <c r="F75" s="199"/>
      <c r="G75" s="199"/>
      <c r="H75" s="199"/>
      <c r="I75" s="199"/>
      <c r="J75" s="199"/>
      <c r="K75" s="199"/>
      <c r="L75" s="200"/>
      <c r="M75" s="179">
        <v>68</v>
      </c>
      <c r="N75" s="180"/>
      <c r="O75" s="156">
        <v>0</v>
      </c>
      <c r="P75" s="157"/>
      <c r="Q75" s="157"/>
      <c r="R75" s="159"/>
      <c r="S75" s="156">
        <v>0</v>
      </c>
      <c r="T75" s="157"/>
      <c r="U75" s="158"/>
    </row>
    <row r="76" spans="2:21" s="85" customFormat="1" ht="12" customHeight="1">
      <c r="B76" s="116" t="s">
        <v>109</v>
      </c>
      <c r="C76" s="197"/>
      <c r="D76" s="197"/>
      <c r="E76" s="197"/>
      <c r="F76" s="197"/>
      <c r="G76" s="197"/>
      <c r="H76" s="197"/>
      <c r="I76" s="197"/>
      <c r="J76" s="197"/>
      <c r="K76" s="197"/>
      <c r="L76" s="198"/>
      <c r="M76" s="179">
        <v>69</v>
      </c>
      <c r="N76" s="180"/>
      <c r="O76" s="156">
        <v>0</v>
      </c>
      <c r="P76" s="157"/>
      <c r="Q76" s="157"/>
      <c r="R76" s="159"/>
      <c r="S76" s="156">
        <v>0</v>
      </c>
      <c r="T76" s="157"/>
      <c r="U76" s="158"/>
    </row>
    <row r="77" spans="2:21" s="85" customFormat="1" ht="12" customHeight="1">
      <c r="B77" s="116" t="s">
        <v>110</v>
      </c>
      <c r="C77" s="197"/>
      <c r="D77" s="197"/>
      <c r="E77" s="197"/>
      <c r="F77" s="197"/>
      <c r="G77" s="197"/>
      <c r="H77" s="197"/>
      <c r="I77" s="197"/>
      <c r="J77" s="197"/>
      <c r="K77" s="197"/>
      <c r="L77" s="198"/>
      <c r="M77" s="179">
        <v>70</v>
      </c>
      <c r="N77" s="180"/>
      <c r="O77" s="156">
        <v>0</v>
      </c>
      <c r="P77" s="157"/>
      <c r="Q77" s="157"/>
      <c r="R77" s="159"/>
      <c r="S77" s="156">
        <v>0</v>
      </c>
      <c r="T77" s="157"/>
      <c r="U77" s="158"/>
    </row>
    <row r="78" spans="2:21" s="85" customFormat="1" ht="12" customHeight="1">
      <c r="B78" s="115" t="s">
        <v>99</v>
      </c>
      <c r="C78" s="162"/>
      <c r="D78" s="162"/>
      <c r="E78" s="162"/>
      <c r="F78" s="162"/>
      <c r="G78" s="162"/>
      <c r="H78" s="162"/>
      <c r="I78" s="162"/>
      <c r="J78" s="162"/>
      <c r="K78" s="162"/>
      <c r="L78" s="163"/>
      <c r="M78" s="179">
        <v>71</v>
      </c>
      <c r="N78" s="180"/>
      <c r="O78" s="156">
        <v>0</v>
      </c>
      <c r="P78" s="157"/>
      <c r="Q78" s="157"/>
      <c r="R78" s="159"/>
      <c r="S78" s="156">
        <v>0</v>
      </c>
      <c r="T78" s="157"/>
      <c r="U78" s="158"/>
    </row>
    <row r="79" spans="2:21" s="85" customFormat="1" ht="12" customHeight="1">
      <c r="B79" s="115" t="s">
        <v>111</v>
      </c>
      <c r="C79" s="162"/>
      <c r="D79" s="162"/>
      <c r="E79" s="162"/>
      <c r="F79" s="162"/>
      <c r="G79" s="162"/>
      <c r="H79" s="162"/>
      <c r="I79" s="162"/>
      <c r="J79" s="162"/>
      <c r="K79" s="162"/>
      <c r="L79" s="163"/>
      <c r="M79" s="179">
        <v>72</v>
      </c>
      <c r="N79" s="180"/>
      <c r="O79" s="156">
        <v>0</v>
      </c>
      <c r="P79" s="157"/>
      <c r="Q79" s="157"/>
      <c r="R79" s="159"/>
      <c r="S79" s="156">
        <v>0</v>
      </c>
      <c r="T79" s="157"/>
      <c r="U79" s="158"/>
    </row>
    <row r="80" spans="2:21" s="85" customFormat="1" ht="12" customHeight="1">
      <c r="B80" s="114" t="s">
        <v>89</v>
      </c>
      <c r="C80" s="134"/>
      <c r="D80" s="134"/>
      <c r="E80" s="134"/>
      <c r="F80" s="134"/>
      <c r="G80" s="134"/>
      <c r="H80" s="134"/>
      <c r="I80" s="134"/>
      <c r="J80" s="134"/>
      <c r="K80" s="134"/>
      <c r="L80" s="135"/>
      <c r="M80" s="179">
        <v>73</v>
      </c>
      <c r="N80" s="180"/>
      <c r="O80" s="156">
        <v>0</v>
      </c>
      <c r="P80" s="157"/>
      <c r="Q80" s="157"/>
      <c r="R80" s="159"/>
      <c r="S80" s="156">
        <v>0</v>
      </c>
      <c r="T80" s="157"/>
      <c r="U80" s="158"/>
    </row>
    <row r="81" spans="2:21" s="85" customFormat="1" ht="24" customHeight="1">
      <c r="B81" s="188" t="s">
        <v>64</v>
      </c>
      <c r="C81" s="189"/>
      <c r="D81" s="189"/>
      <c r="E81" s="189"/>
      <c r="F81" s="189"/>
      <c r="G81" s="189"/>
      <c r="H81" s="189"/>
      <c r="I81" s="189"/>
      <c r="J81" s="189"/>
      <c r="K81" s="189"/>
      <c r="L81" s="190"/>
      <c r="M81" s="186">
        <v>80</v>
      </c>
      <c r="N81" s="187"/>
      <c r="O81" s="129">
        <v>875654.62</v>
      </c>
      <c r="P81" s="130"/>
      <c r="Q81" s="130"/>
      <c r="R81" s="131"/>
      <c r="S81" s="129">
        <v>2535764.58</v>
      </c>
      <c r="T81" s="130"/>
      <c r="U81" s="130"/>
    </row>
    <row r="82" spans="2:21" s="85" customFormat="1" ht="23.1" customHeight="1">
      <c r="B82" s="194" t="s">
        <v>65</v>
      </c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6"/>
    </row>
    <row r="83" spans="2:21" s="85" customFormat="1" ht="12" customHeight="1">
      <c r="B83" s="191" t="s">
        <v>66</v>
      </c>
      <c r="C83" s="192"/>
      <c r="D83" s="192"/>
      <c r="E83" s="192"/>
      <c r="F83" s="192"/>
      <c r="G83" s="192"/>
      <c r="H83" s="192"/>
      <c r="I83" s="192"/>
      <c r="J83" s="192"/>
      <c r="K83" s="192"/>
      <c r="L83" s="193"/>
      <c r="M83" s="186">
        <v>90</v>
      </c>
      <c r="N83" s="187"/>
      <c r="O83" s="129">
        <v>339580621.14999998</v>
      </c>
      <c r="P83" s="130"/>
      <c r="Q83" s="130"/>
      <c r="R83" s="131"/>
      <c r="S83" s="129">
        <v>200000000</v>
      </c>
      <c r="T83" s="130"/>
      <c r="U83" s="155"/>
    </row>
    <row r="84" spans="2:21" s="85" customFormat="1" ht="12" customHeight="1">
      <c r="B84" s="172" t="s">
        <v>60</v>
      </c>
      <c r="C84" s="173"/>
      <c r="D84" s="173"/>
      <c r="E84" s="173"/>
      <c r="F84" s="173"/>
      <c r="G84" s="173"/>
      <c r="H84" s="173"/>
      <c r="I84" s="173"/>
      <c r="J84" s="173"/>
      <c r="K84" s="173"/>
      <c r="L84" s="174"/>
      <c r="M84" s="94"/>
      <c r="N84" s="95"/>
      <c r="O84" s="168">
        <v>0</v>
      </c>
      <c r="P84" s="169"/>
      <c r="Q84" s="169"/>
      <c r="R84" s="171"/>
      <c r="S84" s="168">
        <v>0</v>
      </c>
      <c r="T84" s="169"/>
      <c r="U84" s="170"/>
    </row>
    <row r="85" spans="2:21" s="85" customFormat="1" ht="12" customHeight="1">
      <c r="B85" s="115" t="s">
        <v>112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3"/>
      <c r="M85" s="179">
        <v>91</v>
      </c>
      <c r="N85" s="180"/>
      <c r="O85" s="156">
        <v>0</v>
      </c>
      <c r="P85" s="157"/>
      <c r="Q85" s="157"/>
      <c r="R85" s="159"/>
      <c r="S85" s="156">
        <v>0</v>
      </c>
      <c r="T85" s="157"/>
      <c r="U85" s="158"/>
    </row>
    <row r="86" spans="2:21" s="85" customFormat="1" ht="12" customHeight="1">
      <c r="B86" s="115" t="s">
        <v>113</v>
      </c>
      <c r="C86" s="162"/>
      <c r="D86" s="162"/>
      <c r="E86" s="162"/>
      <c r="F86" s="162"/>
      <c r="G86" s="162"/>
      <c r="H86" s="162"/>
      <c r="I86" s="162"/>
      <c r="J86" s="162"/>
      <c r="K86" s="162"/>
      <c r="L86" s="163"/>
      <c r="M86" s="179">
        <v>92</v>
      </c>
      <c r="N86" s="180"/>
      <c r="O86" s="164">
        <v>339580621.14999998</v>
      </c>
      <c r="P86" s="165"/>
      <c r="Q86" s="165"/>
      <c r="R86" s="167"/>
      <c r="S86" s="164">
        <v>200000000</v>
      </c>
      <c r="T86" s="165"/>
      <c r="U86" s="166"/>
    </row>
    <row r="87" spans="2:21" s="85" customFormat="1" ht="12" customHeight="1">
      <c r="B87" s="115" t="s">
        <v>114</v>
      </c>
      <c r="C87" s="162"/>
      <c r="D87" s="162"/>
      <c r="E87" s="162"/>
      <c r="F87" s="162"/>
      <c r="G87" s="162"/>
      <c r="H87" s="162"/>
      <c r="I87" s="162"/>
      <c r="J87" s="162"/>
      <c r="K87" s="162"/>
      <c r="L87" s="163"/>
      <c r="M87" s="179">
        <v>93</v>
      </c>
      <c r="N87" s="180"/>
      <c r="O87" s="156">
        <v>0</v>
      </c>
      <c r="P87" s="157"/>
      <c r="Q87" s="157"/>
      <c r="R87" s="159"/>
      <c r="S87" s="156">
        <v>0</v>
      </c>
      <c r="T87" s="157"/>
      <c r="U87" s="158"/>
    </row>
    <row r="88" spans="2:21" s="85" customFormat="1" ht="12" customHeight="1">
      <c r="B88" s="115" t="s">
        <v>82</v>
      </c>
      <c r="C88" s="162"/>
      <c r="D88" s="162"/>
      <c r="E88" s="162"/>
      <c r="F88" s="162"/>
      <c r="G88" s="162"/>
      <c r="H88" s="162"/>
      <c r="I88" s="162"/>
      <c r="J88" s="162"/>
      <c r="K88" s="162"/>
      <c r="L88" s="163"/>
      <c r="M88" s="181">
        <v>94</v>
      </c>
      <c r="N88" s="182"/>
      <c r="O88" s="156">
        <v>0</v>
      </c>
      <c r="P88" s="157"/>
      <c r="Q88" s="157"/>
      <c r="R88" s="159"/>
      <c r="S88" s="156">
        <v>0</v>
      </c>
      <c r="T88" s="157"/>
      <c r="U88" s="158"/>
    </row>
    <row r="89" spans="2:21" s="85" customFormat="1" ht="12" customHeight="1">
      <c r="B89" s="115" t="s">
        <v>67</v>
      </c>
      <c r="C89" s="162"/>
      <c r="D89" s="162"/>
      <c r="E89" s="162"/>
      <c r="F89" s="162"/>
      <c r="G89" s="162"/>
      <c r="H89" s="162"/>
      <c r="I89" s="162"/>
      <c r="J89" s="162"/>
      <c r="K89" s="162"/>
      <c r="L89" s="163"/>
      <c r="M89" s="132">
        <v>100</v>
      </c>
      <c r="N89" s="133"/>
      <c r="O89" s="183">
        <v>0</v>
      </c>
      <c r="P89" s="184"/>
      <c r="Q89" s="184"/>
      <c r="R89" s="213"/>
      <c r="S89" s="129">
        <v>8000000</v>
      </c>
      <c r="T89" s="130"/>
      <c r="U89" s="155"/>
    </row>
    <row r="90" spans="2:21" s="85" customFormat="1" ht="12" customHeight="1">
      <c r="B90" s="172" t="s">
        <v>60</v>
      </c>
      <c r="C90" s="173"/>
      <c r="D90" s="173"/>
      <c r="E90" s="173"/>
      <c r="F90" s="173"/>
      <c r="G90" s="173"/>
      <c r="H90" s="173"/>
      <c r="I90" s="173"/>
      <c r="J90" s="173"/>
      <c r="K90" s="173"/>
      <c r="L90" s="174"/>
      <c r="M90" s="94"/>
      <c r="N90" s="95"/>
      <c r="O90" s="168">
        <v>0</v>
      </c>
      <c r="P90" s="169"/>
      <c r="Q90" s="169"/>
      <c r="R90" s="171"/>
      <c r="S90" s="168">
        <v>0</v>
      </c>
      <c r="T90" s="169"/>
      <c r="U90" s="170"/>
    </row>
    <row r="91" spans="2:21" s="85" customFormat="1" ht="12.95" customHeight="1">
      <c r="B91" s="115" t="s">
        <v>115</v>
      </c>
      <c r="C91" s="162"/>
      <c r="D91" s="162"/>
      <c r="E91" s="162"/>
      <c r="F91" s="162"/>
      <c r="G91" s="162"/>
      <c r="H91" s="162"/>
      <c r="I91" s="162"/>
      <c r="J91" s="162"/>
      <c r="K91" s="162"/>
      <c r="L91" s="163"/>
      <c r="M91" s="160">
        <v>101</v>
      </c>
      <c r="N91" s="161"/>
      <c r="O91" s="156">
        <v>0</v>
      </c>
      <c r="P91" s="157"/>
      <c r="Q91" s="157"/>
      <c r="R91" s="159"/>
      <c r="S91" s="156">
        <v>0</v>
      </c>
      <c r="T91" s="157"/>
      <c r="U91" s="158"/>
    </row>
    <row r="92" spans="2:21" s="85" customFormat="1" ht="11.1" customHeight="1">
      <c r="B92" s="115" t="s">
        <v>116</v>
      </c>
      <c r="C92" s="162"/>
      <c r="D92" s="162"/>
      <c r="E92" s="162"/>
      <c r="F92" s="162"/>
      <c r="G92" s="162"/>
      <c r="H92" s="162"/>
      <c r="I92" s="162"/>
      <c r="J92" s="162"/>
      <c r="K92" s="162"/>
      <c r="L92" s="163"/>
      <c r="M92" s="160">
        <v>102</v>
      </c>
      <c r="N92" s="161"/>
      <c r="O92" s="175" t="s">
        <v>55</v>
      </c>
      <c r="P92" s="176"/>
      <c r="Q92" s="176"/>
      <c r="R92" s="178"/>
      <c r="S92" s="175" t="s">
        <v>55</v>
      </c>
      <c r="T92" s="176"/>
      <c r="U92" s="177"/>
    </row>
    <row r="93" spans="2:21" s="85" customFormat="1" ht="11.1" customHeight="1">
      <c r="B93" s="115" t="s">
        <v>117</v>
      </c>
      <c r="C93" s="162"/>
      <c r="D93" s="162"/>
      <c r="E93" s="162"/>
      <c r="F93" s="162"/>
      <c r="G93" s="162"/>
      <c r="H93" s="162"/>
      <c r="I93" s="162"/>
      <c r="J93" s="162"/>
      <c r="K93" s="162"/>
      <c r="L93" s="163"/>
      <c r="M93" s="160">
        <v>103</v>
      </c>
      <c r="N93" s="161"/>
      <c r="O93" s="156">
        <v>0</v>
      </c>
      <c r="P93" s="157"/>
      <c r="Q93" s="157"/>
      <c r="R93" s="159"/>
      <c r="S93" s="156">
        <v>0</v>
      </c>
      <c r="T93" s="157"/>
      <c r="U93" s="158"/>
    </row>
    <row r="94" spans="2:21" s="85" customFormat="1" ht="12" customHeight="1">
      <c r="B94" s="115" t="s">
        <v>118</v>
      </c>
      <c r="C94" s="162"/>
      <c r="D94" s="162"/>
      <c r="E94" s="162"/>
      <c r="F94" s="162"/>
      <c r="G94" s="162"/>
      <c r="H94" s="162"/>
      <c r="I94" s="162"/>
      <c r="J94" s="162"/>
      <c r="K94" s="162"/>
      <c r="L94" s="163"/>
      <c r="M94" s="160">
        <v>104</v>
      </c>
      <c r="N94" s="161"/>
      <c r="O94" s="156">
        <v>0</v>
      </c>
      <c r="P94" s="157"/>
      <c r="Q94" s="157"/>
      <c r="R94" s="159"/>
      <c r="S94" s="156">
        <v>0</v>
      </c>
      <c r="T94" s="157"/>
      <c r="U94" s="158"/>
    </row>
    <row r="95" spans="2:21" s="85" customFormat="1" ht="12" customHeight="1">
      <c r="B95" s="115" t="s">
        <v>119</v>
      </c>
      <c r="C95" s="162"/>
      <c r="D95" s="162"/>
      <c r="E95" s="162"/>
      <c r="F95" s="162"/>
      <c r="G95" s="162"/>
      <c r="H95" s="162"/>
      <c r="I95" s="162"/>
      <c r="J95" s="162"/>
      <c r="K95" s="162"/>
      <c r="L95" s="163"/>
      <c r="M95" s="160">
        <v>105</v>
      </c>
      <c r="N95" s="161"/>
      <c r="O95" s="156">
        <v>0</v>
      </c>
      <c r="P95" s="157"/>
      <c r="Q95" s="157"/>
      <c r="R95" s="159"/>
      <c r="S95" s="164">
        <v>8000000</v>
      </c>
      <c r="T95" s="165"/>
      <c r="U95" s="166"/>
    </row>
    <row r="96" spans="2:21" s="85" customFormat="1" ht="24" customHeight="1">
      <c r="B96" s="114" t="s">
        <v>68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5"/>
      <c r="M96" s="132">
        <v>110</v>
      </c>
      <c r="N96" s="133"/>
      <c r="O96" s="129">
        <v>339580621.14999998</v>
      </c>
      <c r="P96" s="130"/>
      <c r="Q96" s="130"/>
      <c r="R96" s="131"/>
      <c r="S96" s="129">
        <v>192000000</v>
      </c>
      <c r="T96" s="130"/>
      <c r="U96" s="155"/>
    </row>
    <row r="97" spans="2:21" s="85" customFormat="1" ht="12" customHeight="1">
      <c r="B97" s="114" t="s">
        <v>69</v>
      </c>
      <c r="C97" s="134"/>
      <c r="D97" s="134"/>
      <c r="E97" s="134"/>
      <c r="F97" s="134"/>
      <c r="G97" s="134"/>
      <c r="H97" s="134"/>
      <c r="I97" s="134"/>
      <c r="J97" s="134"/>
      <c r="K97" s="134"/>
      <c r="L97" s="135"/>
      <c r="M97" s="132">
        <v>120</v>
      </c>
      <c r="N97" s="133"/>
      <c r="O97" s="145" t="s">
        <v>55</v>
      </c>
      <c r="P97" s="146"/>
      <c r="Q97" s="146"/>
      <c r="R97" s="148"/>
      <c r="S97" s="145" t="s">
        <v>55</v>
      </c>
      <c r="T97" s="146"/>
      <c r="U97" s="147"/>
    </row>
    <row r="98" spans="2:21" s="85" customFormat="1" ht="24" customHeight="1">
      <c r="B98" s="114" t="s">
        <v>120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5"/>
      <c r="M98" s="132">
        <v>130</v>
      </c>
      <c r="N98" s="133"/>
      <c r="O98" s="145" t="s">
        <v>55</v>
      </c>
      <c r="P98" s="146"/>
      <c r="Q98" s="146"/>
      <c r="R98" s="148"/>
      <c r="S98" s="145" t="s">
        <v>55</v>
      </c>
      <c r="T98" s="146"/>
      <c r="U98" s="147"/>
    </row>
    <row r="99" spans="2:21" s="85" customFormat="1" ht="24" customHeight="1">
      <c r="B99" s="114" t="s">
        <v>121</v>
      </c>
      <c r="C99" s="134"/>
      <c r="D99" s="134"/>
      <c r="E99" s="134"/>
      <c r="F99" s="134"/>
      <c r="G99" s="134"/>
      <c r="H99" s="134"/>
      <c r="I99" s="134"/>
      <c r="J99" s="134"/>
      <c r="K99" s="134"/>
      <c r="L99" s="135"/>
      <c r="M99" s="132">
        <v>140</v>
      </c>
      <c r="N99" s="133"/>
      <c r="O99" s="223" t="s">
        <v>160</v>
      </c>
      <c r="P99" s="224"/>
      <c r="Q99" s="224"/>
      <c r="R99" s="226"/>
      <c r="S99" s="152">
        <v>184101547.84999999</v>
      </c>
      <c r="T99" s="153"/>
      <c r="U99" s="154"/>
    </row>
    <row r="100" spans="2:21" s="85" customFormat="1" ht="24.95" customHeight="1">
      <c r="B100" s="114" t="s">
        <v>122</v>
      </c>
      <c r="C100" s="134"/>
      <c r="D100" s="134"/>
      <c r="E100" s="134"/>
      <c r="F100" s="134"/>
      <c r="G100" s="134"/>
      <c r="H100" s="134"/>
      <c r="I100" s="134"/>
      <c r="J100" s="134"/>
      <c r="K100" s="134"/>
      <c r="L100" s="135"/>
      <c r="M100" s="132">
        <v>150</v>
      </c>
      <c r="N100" s="133"/>
      <c r="O100" s="129">
        <v>127504205.90000001</v>
      </c>
      <c r="P100" s="130"/>
      <c r="Q100" s="130"/>
      <c r="R100" s="131"/>
      <c r="S100" s="129">
        <v>95493647.969999999</v>
      </c>
      <c r="T100" s="130"/>
      <c r="U100" s="155"/>
    </row>
    <row r="101" spans="2:21" s="85" customFormat="1" ht="23.1" customHeight="1" thickBot="1">
      <c r="B101" s="142" t="s">
        <v>123</v>
      </c>
      <c r="C101" s="143"/>
      <c r="D101" s="143"/>
      <c r="E101" s="143"/>
      <c r="F101" s="143"/>
      <c r="G101" s="143"/>
      <c r="H101" s="143"/>
      <c r="I101" s="143"/>
      <c r="J101" s="143"/>
      <c r="K101" s="143"/>
      <c r="L101" s="144"/>
      <c r="M101" s="140">
        <v>160</v>
      </c>
      <c r="N101" s="141"/>
      <c r="O101" s="137">
        <v>124538943.48999999</v>
      </c>
      <c r="P101" s="138"/>
      <c r="Q101" s="138"/>
      <c r="R101" s="139"/>
      <c r="S101" s="149">
        <v>124538943.48999999</v>
      </c>
      <c r="T101" s="150"/>
      <c r="U101" s="151"/>
    </row>
    <row r="102" spans="2:21" s="85" customFormat="1" ht="12.95" customHeight="1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</row>
    <row r="105" spans="2:21" s="85" customFormat="1" ht="12" customHeight="1">
      <c r="B105" s="106" t="s">
        <v>124</v>
      </c>
      <c r="C105" s="106"/>
      <c r="D105" s="106"/>
      <c r="E105" s="105"/>
      <c r="F105" s="113" t="s">
        <v>154</v>
      </c>
      <c r="G105" s="113"/>
      <c r="H105" s="113"/>
      <c r="I105" s="113"/>
      <c r="J105" s="113"/>
      <c r="K105" s="105"/>
      <c r="L105" s="100"/>
      <c r="M105" s="100"/>
      <c r="N105" s="100"/>
      <c r="O105" s="100"/>
      <c r="P105" s="105"/>
      <c r="Q105" s="105"/>
      <c r="R105" s="105"/>
      <c r="S105" s="105"/>
      <c r="T105" s="105"/>
      <c r="U105" s="105"/>
    </row>
    <row r="106" spans="2:21" s="85" customFormat="1" ht="11.1" customHeight="1">
      <c r="B106" s="105"/>
      <c r="C106" s="105"/>
      <c r="D106" s="105"/>
      <c r="E106" s="105"/>
      <c r="F106" s="136" t="s">
        <v>125</v>
      </c>
      <c r="G106" s="136"/>
      <c r="H106" s="136"/>
      <c r="I106" s="136"/>
      <c r="J106" s="136"/>
      <c r="K106" s="105"/>
      <c r="L106" s="107" t="s">
        <v>70</v>
      </c>
      <c r="M106" s="107"/>
      <c r="N106" s="107"/>
      <c r="O106" s="107"/>
      <c r="P106" s="105"/>
      <c r="Q106" s="105"/>
      <c r="R106" s="105"/>
      <c r="S106" s="105"/>
      <c r="T106" s="105"/>
      <c r="U106" s="105"/>
    </row>
    <row r="107" spans="2:21" s="85" customFormat="1" ht="11.1" customHeight="1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</row>
    <row r="108" spans="2:21" s="85" customFormat="1" ht="11.1" customHeight="1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</row>
    <row r="109" spans="2:21" s="85" customFormat="1" ht="24" customHeight="1">
      <c r="B109" s="101"/>
      <c r="C109" s="101"/>
      <c r="D109" s="101" t="s">
        <v>18</v>
      </c>
      <c r="E109" s="105"/>
      <c r="F109" s="113" t="s">
        <v>155</v>
      </c>
      <c r="G109" s="113"/>
      <c r="H109" s="113"/>
      <c r="I109" s="113"/>
      <c r="J109" s="113"/>
      <c r="K109" s="105"/>
      <c r="L109" s="100"/>
      <c r="M109" s="100"/>
      <c r="N109" s="100"/>
      <c r="O109" s="100"/>
      <c r="P109" s="105"/>
      <c r="Q109" s="105"/>
      <c r="R109" s="105"/>
      <c r="S109" s="105"/>
      <c r="T109" s="105"/>
      <c r="U109" s="105"/>
    </row>
    <row r="110" spans="2:21" s="85" customFormat="1" ht="11.1" customHeight="1">
      <c r="B110" s="105"/>
      <c r="C110" s="105"/>
      <c r="D110" s="105"/>
      <c r="E110" s="105"/>
      <c r="F110" s="136" t="s">
        <v>125</v>
      </c>
      <c r="G110" s="136"/>
      <c r="H110" s="136"/>
      <c r="I110" s="136"/>
      <c r="J110" s="136"/>
      <c r="K110" s="105"/>
      <c r="L110" s="107" t="s">
        <v>70</v>
      </c>
      <c r="M110" s="107"/>
      <c r="N110" s="107"/>
      <c r="O110" s="107"/>
      <c r="P110" s="105"/>
      <c r="Q110" s="105"/>
      <c r="R110" s="105"/>
      <c r="S110" s="105"/>
      <c r="T110" s="105"/>
      <c r="U110" s="105"/>
    </row>
    <row r="111" spans="2:21" ht="11.1" customHeight="1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</row>
    <row r="112" spans="2:21" ht="11.1" customHeight="1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</row>
    <row r="113" spans="3:3" ht="11.1" customHeight="1">
      <c r="C113" s="105"/>
    </row>
    <row r="114" spans="3:3" ht="11.1" customHeight="1">
      <c r="C114" s="105" t="s">
        <v>141</v>
      </c>
    </row>
    <row r="115" spans="3:3" ht="11.1" customHeight="1">
      <c r="C115" s="105" t="s">
        <v>126</v>
      </c>
    </row>
    <row r="116" spans="3:3" ht="11.1" customHeight="1">
      <c r="C116" s="105"/>
    </row>
    <row r="117" spans="3:3" ht="11.1" customHeight="1">
      <c r="C117" s="105"/>
    </row>
    <row r="118" spans="3:3" s="85" customFormat="1" ht="11.1" customHeight="1">
      <c r="C118" s="105"/>
    </row>
  </sheetData>
  <mergeCells count="290">
    <mergeCell ref="B33:L33"/>
    <mergeCell ref="B34:L34"/>
    <mergeCell ref="M34:N34"/>
    <mergeCell ref="O34:R34"/>
    <mergeCell ref="S34:U34"/>
    <mergeCell ref="B29:L29"/>
    <mergeCell ref="M29:N29"/>
    <mergeCell ref="O29:R29"/>
    <mergeCell ref="S29:U29"/>
    <mergeCell ref="B30:L30"/>
    <mergeCell ref="B42:L42"/>
    <mergeCell ref="M42:N42"/>
    <mergeCell ref="O42:R42"/>
    <mergeCell ref="S42:U42"/>
    <mergeCell ref="B43:L43"/>
    <mergeCell ref="M43:N43"/>
    <mergeCell ref="O43:R43"/>
    <mergeCell ref="S43:U43"/>
    <mergeCell ref="B38:L38"/>
    <mergeCell ref="B39:L39"/>
    <mergeCell ref="M39:N39"/>
    <mergeCell ref="O39:R39"/>
    <mergeCell ref="S39:U39"/>
    <mergeCell ref="B40:L40"/>
    <mergeCell ref="M40:N40"/>
    <mergeCell ref="O40:R40"/>
    <mergeCell ref="S40:U40"/>
    <mergeCell ref="B56:L56"/>
    <mergeCell ref="M56:N56"/>
    <mergeCell ref="O56:R56"/>
    <mergeCell ref="S56:U56"/>
    <mergeCell ref="B51:L51"/>
    <mergeCell ref="M51:N51"/>
    <mergeCell ref="O51:R51"/>
    <mergeCell ref="S51:U51"/>
    <mergeCell ref="B52:L52"/>
    <mergeCell ref="B53:L53"/>
    <mergeCell ref="M53:N53"/>
    <mergeCell ref="O53:R53"/>
    <mergeCell ref="S53:U53"/>
    <mergeCell ref="B57:L57"/>
    <mergeCell ref="M57:N57"/>
    <mergeCell ref="O57:R57"/>
    <mergeCell ref="S57:U57"/>
    <mergeCell ref="B58:L58"/>
    <mergeCell ref="M58:N58"/>
    <mergeCell ref="O58:R58"/>
    <mergeCell ref="S58:U58"/>
    <mergeCell ref="B59:L59"/>
    <mergeCell ref="M59:N59"/>
    <mergeCell ref="O59:R59"/>
    <mergeCell ref="S59:U59"/>
    <mergeCell ref="B69:L69"/>
    <mergeCell ref="M69:N69"/>
    <mergeCell ref="O69:R69"/>
    <mergeCell ref="S69:U69"/>
    <mergeCell ref="B70:L70"/>
    <mergeCell ref="O70:R70"/>
    <mergeCell ref="S70:U70"/>
    <mergeCell ref="B64:L64"/>
    <mergeCell ref="M64:N64"/>
    <mergeCell ref="O64:R64"/>
    <mergeCell ref="S64:U64"/>
    <mergeCell ref="B67:L67"/>
    <mergeCell ref="O67:R67"/>
    <mergeCell ref="S67:U67"/>
    <mergeCell ref="B79:L79"/>
    <mergeCell ref="M79:N79"/>
    <mergeCell ref="O79:R79"/>
    <mergeCell ref="S79:U79"/>
    <mergeCell ref="B74:L74"/>
    <mergeCell ref="M74:N74"/>
    <mergeCell ref="O74:R74"/>
    <mergeCell ref="S74:U74"/>
    <mergeCell ref="B75:L75"/>
    <mergeCell ref="M75:N75"/>
    <mergeCell ref="O75:R75"/>
    <mergeCell ref="S75:U75"/>
    <mergeCell ref="B76:L76"/>
    <mergeCell ref="M76:N76"/>
    <mergeCell ref="O76:R76"/>
    <mergeCell ref="S76:U76"/>
    <mergeCell ref="B80:L80"/>
    <mergeCell ref="M80:N80"/>
    <mergeCell ref="O80:R80"/>
    <mergeCell ref="S80:U80"/>
    <mergeCell ref="B81:L81"/>
    <mergeCell ref="M81:N81"/>
    <mergeCell ref="O81:R81"/>
    <mergeCell ref="S81:U81"/>
    <mergeCell ref="M91:N91"/>
    <mergeCell ref="O91:R91"/>
    <mergeCell ref="S91:U91"/>
    <mergeCell ref="B86:L86"/>
    <mergeCell ref="M86:N86"/>
    <mergeCell ref="O86:R86"/>
    <mergeCell ref="S86:U86"/>
    <mergeCell ref="B87:L87"/>
    <mergeCell ref="O87:R87"/>
    <mergeCell ref="S87:U87"/>
    <mergeCell ref="B88:L88"/>
    <mergeCell ref="M88:N88"/>
    <mergeCell ref="O88:R88"/>
    <mergeCell ref="S88:U88"/>
    <mergeCell ref="M97:N97"/>
    <mergeCell ref="O97:R97"/>
    <mergeCell ref="S97:U97"/>
    <mergeCell ref="B92:L92"/>
    <mergeCell ref="M92:N92"/>
    <mergeCell ref="O92:R92"/>
    <mergeCell ref="S92:U92"/>
    <mergeCell ref="B93:L93"/>
    <mergeCell ref="O93:R93"/>
    <mergeCell ref="S93:U93"/>
    <mergeCell ref="B94:L94"/>
    <mergeCell ref="M94:N94"/>
    <mergeCell ref="O94:R94"/>
    <mergeCell ref="S94:U94"/>
    <mergeCell ref="F109:J109"/>
    <mergeCell ref="B101:L101"/>
    <mergeCell ref="M101:N101"/>
    <mergeCell ref="O101:R101"/>
    <mergeCell ref="S101:U101"/>
    <mergeCell ref="Q2:X2"/>
    <mergeCell ref="Q3:X3"/>
    <mergeCell ref="R4:T4"/>
    <mergeCell ref="C5:S5"/>
    <mergeCell ref="C7:S7"/>
    <mergeCell ref="B26:L26"/>
    <mergeCell ref="M26:N26"/>
    <mergeCell ref="O26:R26"/>
    <mergeCell ref="S26:U26"/>
    <mergeCell ref="B27:L27"/>
    <mergeCell ref="M27:N27"/>
    <mergeCell ref="O27:R27"/>
    <mergeCell ref="S27:U27"/>
    <mergeCell ref="C10:X10"/>
    <mergeCell ref="C14:T14"/>
    <mergeCell ref="C16:X16"/>
    <mergeCell ref="C21:H21"/>
    <mergeCell ref="I21:T21"/>
    <mergeCell ref="I23:T23"/>
    <mergeCell ref="B31:L31"/>
    <mergeCell ref="M31:N31"/>
    <mergeCell ref="O31:R31"/>
    <mergeCell ref="S31:U31"/>
    <mergeCell ref="B32:L32"/>
    <mergeCell ref="M32:N32"/>
    <mergeCell ref="O32:R32"/>
    <mergeCell ref="S32:U32"/>
    <mergeCell ref="B28:U28"/>
    <mergeCell ref="B35:L35"/>
    <mergeCell ref="M35:N35"/>
    <mergeCell ref="O35:R35"/>
    <mergeCell ref="S35:U35"/>
    <mergeCell ref="B36:L36"/>
    <mergeCell ref="M36:N36"/>
    <mergeCell ref="O36:R36"/>
    <mergeCell ref="S36:U36"/>
    <mergeCell ref="M33:N33"/>
    <mergeCell ref="O33:R33"/>
    <mergeCell ref="S33:U33"/>
    <mergeCell ref="B41:L41"/>
    <mergeCell ref="M41:N41"/>
    <mergeCell ref="O41:R41"/>
    <mergeCell ref="S41:U41"/>
    <mergeCell ref="B37:L37"/>
    <mergeCell ref="M37:N37"/>
    <mergeCell ref="O37:R37"/>
    <mergeCell ref="S37:U37"/>
    <mergeCell ref="B44:L44"/>
    <mergeCell ref="M44:N44"/>
    <mergeCell ref="O44:R44"/>
    <mergeCell ref="S44:U44"/>
    <mergeCell ref="B45:L45"/>
    <mergeCell ref="M45:N45"/>
    <mergeCell ref="O45:R45"/>
    <mergeCell ref="S45:U45"/>
    <mergeCell ref="B46:L46"/>
    <mergeCell ref="M46:N46"/>
    <mergeCell ref="O46:R46"/>
    <mergeCell ref="S46:U46"/>
    <mergeCell ref="B47:U47"/>
    <mergeCell ref="B48:L48"/>
    <mergeCell ref="M48:N48"/>
    <mergeCell ref="O48:R48"/>
    <mergeCell ref="S48:U48"/>
    <mergeCell ref="M52:N52"/>
    <mergeCell ref="O52:R52"/>
    <mergeCell ref="S52:U52"/>
    <mergeCell ref="B49:L49"/>
    <mergeCell ref="B50:L50"/>
    <mergeCell ref="M50:N50"/>
    <mergeCell ref="O50:R50"/>
    <mergeCell ref="S50:U50"/>
    <mergeCell ref="B54:L54"/>
    <mergeCell ref="M54:N54"/>
    <mergeCell ref="O54:R54"/>
    <mergeCell ref="S54:U54"/>
    <mergeCell ref="B55:L55"/>
    <mergeCell ref="M55:N55"/>
    <mergeCell ref="O55:R55"/>
    <mergeCell ref="S55:U55"/>
    <mergeCell ref="B60:L60"/>
    <mergeCell ref="M60:N60"/>
    <mergeCell ref="O60:R60"/>
    <mergeCell ref="S60:U60"/>
    <mergeCell ref="B61:L61"/>
    <mergeCell ref="M61:N61"/>
    <mergeCell ref="O61:R61"/>
    <mergeCell ref="S61:U61"/>
    <mergeCell ref="B66:L66"/>
    <mergeCell ref="M66:N66"/>
    <mergeCell ref="O66:R66"/>
    <mergeCell ref="S66:U66"/>
    <mergeCell ref="B65:L65"/>
    <mergeCell ref="M65:N65"/>
    <mergeCell ref="O65:R65"/>
    <mergeCell ref="S65:U65"/>
    <mergeCell ref="M70:N70"/>
    <mergeCell ref="B71:L71"/>
    <mergeCell ref="M71:N71"/>
    <mergeCell ref="O71:R71"/>
    <mergeCell ref="S71:U71"/>
    <mergeCell ref="B68:L68"/>
    <mergeCell ref="M68:N68"/>
    <mergeCell ref="O68:R68"/>
    <mergeCell ref="S68:U68"/>
    <mergeCell ref="B72:L72"/>
    <mergeCell ref="M72:N72"/>
    <mergeCell ref="O72:R72"/>
    <mergeCell ref="S72:U72"/>
    <mergeCell ref="B73:L73"/>
    <mergeCell ref="M73:N73"/>
    <mergeCell ref="O73:R73"/>
    <mergeCell ref="S73:U73"/>
    <mergeCell ref="B78:L78"/>
    <mergeCell ref="M78:N78"/>
    <mergeCell ref="O78:R78"/>
    <mergeCell ref="S78:U78"/>
    <mergeCell ref="B77:L77"/>
    <mergeCell ref="M77:N77"/>
    <mergeCell ref="O77:R77"/>
    <mergeCell ref="S77:U77"/>
    <mergeCell ref="B82:U82"/>
    <mergeCell ref="B83:L83"/>
    <mergeCell ref="M83:N83"/>
    <mergeCell ref="O83:R83"/>
    <mergeCell ref="S83:U83"/>
    <mergeCell ref="B84:L84"/>
    <mergeCell ref="O84:R84"/>
    <mergeCell ref="S84:U84"/>
    <mergeCell ref="M87:N87"/>
    <mergeCell ref="B85:L85"/>
    <mergeCell ref="M85:N85"/>
    <mergeCell ref="O85:R85"/>
    <mergeCell ref="S85:U85"/>
    <mergeCell ref="B91:L91"/>
    <mergeCell ref="B89:L89"/>
    <mergeCell ref="M89:N89"/>
    <mergeCell ref="O89:R89"/>
    <mergeCell ref="S89:U89"/>
    <mergeCell ref="B90:L90"/>
    <mergeCell ref="O90:R90"/>
    <mergeCell ref="S90:U90"/>
    <mergeCell ref="B95:L95"/>
    <mergeCell ref="M95:N95"/>
    <mergeCell ref="O95:R95"/>
    <mergeCell ref="S95:U95"/>
    <mergeCell ref="B96:L96"/>
    <mergeCell ref="M96:N96"/>
    <mergeCell ref="O96:R96"/>
    <mergeCell ref="S96:U96"/>
    <mergeCell ref="M93:N93"/>
    <mergeCell ref="S100:U100"/>
    <mergeCell ref="S99:U99"/>
    <mergeCell ref="B97:L97"/>
    <mergeCell ref="B98:L98"/>
    <mergeCell ref="M98:N98"/>
    <mergeCell ref="O98:R98"/>
    <mergeCell ref="S98:U98"/>
    <mergeCell ref="B99:L99"/>
    <mergeCell ref="M99:N99"/>
    <mergeCell ref="O99:R99"/>
    <mergeCell ref="B100:L100"/>
    <mergeCell ref="M100:N100"/>
    <mergeCell ref="O100:R100"/>
    <mergeCell ref="F110:J110"/>
    <mergeCell ref="F105:J105"/>
    <mergeCell ref="F106:J106"/>
  </mergeCells>
  <pageMargins left="0.11811023622047245" right="0.11811023622047245" top="0.35433070866141736" bottom="0.35433070866141736" header="0.31496062992125984" footer="0.31496062992125984"/>
  <pageSetup paperSize="9" scale="9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D6D9BF11AEE34E8B70639D5EBC2B5B" ma:contentTypeVersion="10" ma:contentTypeDescription="Create a new document." ma:contentTypeScope="" ma:versionID="eb8e462c20287fa3b3976c7c438a72ee">
  <xsd:schema xmlns:xsd="http://www.w3.org/2001/XMLSchema" xmlns:xs="http://www.w3.org/2001/XMLSchema" xmlns:p="http://schemas.microsoft.com/office/2006/metadata/properties" xmlns:ns3="cc4868b5-b0bb-416e-9ea7-f0887158c856" targetNamespace="http://schemas.microsoft.com/office/2006/metadata/properties" ma:root="true" ma:fieldsID="314ed6c088f0fe93b0f97a335520d706" ns3:_="">
    <xsd:import namespace="cc4868b5-b0bb-416e-9ea7-f0887158c85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868b5-b0bb-416e-9ea7-f0887158c85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5F8400-78A7-412E-9829-95502CCB6A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DD42B3-F059-450A-BD1B-5DEA8173F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B16125-3362-4A4F-B8D5-27AC67FFA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4868b5-b0bb-416e-9ea7-f0887158c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ОСД </vt:lpstr>
      <vt:lpstr>ОИК</vt:lpstr>
      <vt:lpstr>ОДДС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Айнур Баймухаметова</cp:lastModifiedBy>
  <cp:lastPrinted>2025-05-15T07:36:36Z</cp:lastPrinted>
  <dcterms:created xsi:type="dcterms:W3CDTF">2016-05-13T18:34:15Z</dcterms:created>
  <dcterms:modified xsi:type="dcterms:W3CDTF">2025-05-15T07:41:16Z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0x010100ACD6D9BF11AEE34E8B70639D5EBC2B5B</vt:lpwstr>
  </property>
</Properties>
</file>