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e_li\Documents\TL Financials\"/>
    </mc:Choice>
  </mc:AlternateContent>
  <bookViews>
    <workbookView xWindow="0" yWindow="0" windowWidth="24000" windowHeight="9735"/>
  </bookViews>
  <sheets>
    <sheet name="Ф1" sheetId="2" r:id="rId1"/>
    <sheet name="Ф2" sheetId="1" r:id="rId2"/>
    <sheet name="Ф3" sheetId="4" r:id="rId3"/>
    <sheet name="Ф4" sheetId="5" r:id="rId4"/>
  </sheets>
  <externalReferences>
    <externalReference r:id="rId5"/>
  </externalReferences>
  <definedNames>
    <definedName name="_Hlk222891459" localSheetId="0">Ф1!$A$6</definedName>
    <definedName name="BalanceSheet" localSheetId="0">Ф1!$A$5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 s="1"/>
  <c r="D5" i="5"/>
  <c r="C11" i="5"/>
  <c r="D7" i="5"/>
  <c r="E20" i="4"/>
  <c r="E51" i="4"/>
  <c r="D11" i="5" l="1"/>
  <c r="E40" i="4"/>
  <c r="F40" i="4" l="1"/>
  <c r="D6" i="5" l="1"/>
  <c r="C8" i="5"/>
  <c r="D8" i="5" s="1"/>
  <c r="E8" i="5" l="1"/>
  <c r="E6" i="5"/>
  <c r="E11" i="5"/>
  <c r="F48" i="4" l="1"/>
  <c r="F49" i="4" s="1"/>
  <c r="D48" i="4"/>
  <c r="C48" i="4"/>
  <c r="B48" i="4"/>
  <c r="B49" i="4" s="1"/>
  <c r="E48" i="4"/>
  <c r="D40" i="4"/>
  <c r="C40" i="4"/>
  <c r="B40" i="4"/>
  <c r="D31" i="4"/>
  <c r="D35" i="4" s="1"/>
  <c r="D50" i="4" s="1"/>
  <c r="D53" i="4" s="1"/>
  <c r="E26" i="4"/>
  <c r="E25" i="4"/>
  <c r="F16" i="4"/>
  <c r="F31" i="4" s="1"/>
  <c r="F35" i="4" s="1"/>
  <c r="D16" i="4"/>
  <c r="C16" i="4"/>
  <c r="C31" i="4" s="1"/>
  <c r="C35" i="4" s="1"/>
  <c r="C50" i="4" s="1"/>
  <c r="C53" i="4" s="1"/>
  <c r="E7" i="4"/>
  <c r="B6" i="4"/>
  <c r="F17" i="4" l="1"/>
  <c r="F32" i="4" s="1"/>
  <c r="B16" i="4"/>
  <c r="B31" i="4" s="1"/>
  <c r="B35" i="4" l="1"/>
  <c r="B32" i="4"/>
  <c r="F36" i="4"/>
  <c r="F50" i="4"/>
  <c r="F53" i="4" s="1"/>
  <c r="B36" i="4" l="1"/>
  <c r="B50" i="4"/>
  <c r="B54" i="4" l="1"/>
  <c r="B53" i="4"/>
  <c r="B55" i="4" s="1"/>
  <c r="C15" i="2" l="1"/>
  <c r="C24" i="2"/>
  <c r="C29" i="2"/>
  <c r="D19" i="1"/>
  <c r="E19" i="1"/>
  <c r="D17" i="1"/>
  <c r="E17" i="1"/>
  <c r="D14" i="1"/>
  <c r="E14" i="1"/>
  <c r="D13" i="1"/>
  <c r="E13" i="1"/>
  <c r="D8" i="1"/>
  <c r="E8" i="1"/>
  <c r="F9" i="1"/>
  <c r="F13" i="1" l="1"/>
  <c r="F14" i="1" s="1"/>
  <c r="F17" i="1" l="1"/>
  <c r="F19" i="1" s="1"/>
  <c r="C12" i="5" l="1"/>
  <c r="E6" i="4"/>
  <c r="E16" i="4" s="1"/>
  <c r="E31" i="4" s="1"/>
  <c r="E35" i="4" s="1"/>
  <c r="F20" i="1"/>
  <c r="E36" i="4" l="1"/>
  <c r="E50" i="4"/>
  <c r="E53" i="4" s="1"/>
  <c r="E54" i="4" s="1"/>
  <c r="D12" i="5"/>
  <c r="C14" i="5"/>
  <c r="C15" i="5" s="1"/>
  <c r="F28" i="2"/>
  <c r="F21" i="1" s="1"/>
  <c r="D14" i="5" l="1"/>
  <c r="D16" i="5" s="1"/>
  <c r="E12" i="5"/>
  <c r="C16" i="5"/>
  <c r="C32" i="2"/>
  <c r="C21" i="1"/>
  <c r="E15" i="2"/>
  <c r="E14" i="5" l="1"/>
  <c r="D15" i="5"/>
  <c r="D24" i="2"/>
  <c r="D15" i="2"/>
  <c r="D29" i="2"/>
  <c r="D30" i="2" l="1"/>
  <c r="C16" i="2"/>
  <c r="E29" i="2"/>
  <c r="E31" i="2" s="1"/>
  <c r="E24" i="2"/>
  <c r="E25" i="2" l="1"/>
  <c r="E30" i="2"/>
  <c r="C25" i="2"/>
  <c r="E16" i="2"/>
  <c r="E32" i="2"/>
  <c r="C30" i="2" l="1"/>
  <c r="C31" i="2" s="1"/>
  <c r="C8" i="1" l="1"/>
  <c r="C9" i="1" l="1"/>
  <c r="C13" i="1" s="1"/>
  <c r="C14" i="1" l="1"/>
  <c r="C17" i="1" s="1"/>
  <c r="C19" i="1" l="1"/>
  <c r="C20" i="1"/>
  <c r="G8" i="1" l="1"/>
  <c r="G9" i="1" l="1"/>
  <c r="G13" i="1" l="1"/>
  <c r="G14" i="1" l="1"/>
  <c r="G17" i="1" s="1"/>
  <c r="G19" i="1" l="1"/>
  <c r="G20" i="1"/>
</calcChain>
</file>

<file path=xl/sharedStrings.xml><?xml version="1.0" encoding="utf-8"?>
<sst xmlns="http://schemas.openxmlformats.org/spreadsheetml/2006/main" count="172" uniqueCount="106">
  <si>
    <t>тыс. тенге</t>
  </si>
  <si>
    <t xml:space="preserve">Процентные доходы от дебиторской задолженности по финансовой аренде 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</si>
  <si>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</si>
  <si>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</si>
  <si>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</si>
  <si>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</si>
  <si>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</si>
  <si>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</si>
  <si>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</si>
  <si>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>Экономия по подоходному налогу</t>
  </si>
  <si>
    <t xml:space="preserve">Прибыль и общий совокупный доход за год </t>
  </si>
  <si>
    <t>Процентные расходы по займам полученным от банков и кредитных компаний</t>
  </si>
  <si>
    <t>Чистая прибыль/(убыток)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</si>
  <si>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</si>
  <si>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</si>
  <si>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</si>
  <si>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</si>
  <si>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</si>
  <si>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</si>
  <si>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</si>
  <si>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</si>
  <si>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</si>
  <si>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</si>
  <si>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</si>
  <si>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</si>
  <si>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</si>
  <si>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</si>
  <si>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</si>
  <si>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</si>
  <si>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</si>
  <si>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</si>
  <si>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30 июня </t>
  </si>
  <si>
    <t>2019 года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</si>
  <si>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</si>
  <si>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</si>
  <si>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Арендные платежи полученные авансом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</si>
  <si>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</si>
  <si>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</si>
  <si>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</si>
  <si>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</si>
  <si>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</si>
  <si>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</si>
  <si>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</si>
  <si>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30 сентября</t>
  </si>
  <si>
    <t>Отложенные налоговые активы</t>
  </si>
  <si>
    <t>21(б)</t>
  </si>
  <si>
    <t>Выпущенные долговые ценные бумаги</t>
  </si>
  <si>
    <t>И.о. директора</t>
  </si>
  <si>
    <t>С.К. Усенова</t>
  </si>
  <si>
    <t>30 июня 2019</t>
  </si>
  <si>
    <t>ДВИЖЕНИЕ ДЕНЕЖНЫХ СРЕДСТВ ОТ ОПЕРАЦИОННОЙ ДЕЯТЕЛЬНОСТИ</t>
  </si>
  <si>
    <t>Прибыль за год</t>
  </si>
  <si>
    <t>Корректировки:</t>
  </si>
  <si>
    <t>Чистая (прибыль)/убыток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</si>
  <si>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</si>
  <si>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</si>
  <si>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от операций с иностранной валютой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</si>
  <si>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</si>
  <si>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</si>
  <si>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</si>
  <si>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</si>
  <si>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Прочие активы</t>
  </si>
  <si>
    <t>Увеличение/(уменьшение) операционных обязательств</t>
  </si>
  <si>
    <t xml:space="preserve">Использование денежных средств в операционной деятельности до налогообложения </t>
  </si>
  <si>
    <t>Вознаграждение полученное</t>
  </si>
  <si>
    <t>Вознаграждение уплаченное</t>
  </si>
  <si>
    <t xml:space="preserve">Использование денежных средств в операционной деятельности 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</si>
  <si>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</si>
  <si>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</si>
  <si>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</si>
  <si>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</si>
  <si>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</si>
  <si>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</si>
  <si>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</si>
  <si>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Выплата дивидендов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</si>
  <si>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</si>
  <si>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</si>
  <si>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</si>
  <si>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</si>
  <si>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на конец года </t>
  </si>
  <si>
    <t>Нераспреде-ленная</t>
  </si>
  <si>
    <t>Итого</t>
  </si>
  <si>
    <t>прибыль</t>
  </si>
  <si>
    <t>собственного капитала</t>
  </si>
  <si>
    <t>ПРОВЕРКА</t>
  </si>
  <si>
    <t>-</t>
  </si>
  <si>
    <t>Прибыль и общий совокупный доход за период</t>
  </si>
  <si>
    <r>
      <rPr>
        <sz val="11"/>
        <color rgb="FFFF0000"/>
        <rFont val="Calibri"/>
        <family val="2"/>
        <charset val="204"/>
        <scheme val="minor"/>
      </rPr>
      <t>Катя должна спросит</t>
    </r>
    <r>
      <rPr>
        <sz val="11"/>
        <color theme="1"/>
        <rFont val="Calibri"/>
        <family val="2"/>
        <charset val="204"/>
        <scheme val="minor"/>
      </rPr>
      <t>ь</t>
    </r>
  </si>
  <si>
    <t>Операции с собственниками, отраженные непосредственно в составе собственного капитала</t>
  </si>
  <si>
    <t>Дивиденды собственникам</t>
  </si>
  <si>
    <t>Остаток на 31 декабря 2018 года</t>
  </si>
  <si>
    <t>Остаток на 31 декабря 2019 года</t>
  </si>
  <si>
    <t>Отчет о финансовом положении по состоянию на 31 марта 2020 г. (неаудированная)</t>
  </si>
  <si>
    <t>31 марта</t>
  </si>
  <si>
    <t>2020 года</t>
  </si>
  <si>
    <t>Отчет о прибыли или убытке и прочем совокупном доходе по состоянию на 31 марта 2020 года (неаудированная)</t>
  </si>
  <si>
    <t xml:space="preserve">31 марта </t>
  </si>
  <si>
    <t>Процентные доходы, рассчитанные с использованием метода эффективной процентной ставки</t>
  </si>
  <si>
    <t>Отчет о движении денежных средств по состоянию на 31 марта 2020 года (неаудированная)</t>
  </si>
  <si>
    <t>Прочие процентные доходы</t>
  </si>
  <si>
    <t>Процентные расходы</t>
  </si>
  <si>
    <t xml:space="preserve">Торговая и прочая задолженность </t>
  </si>
  <si>
    <t>Поступления от выпуска долговых ценных бумаг</t>
  </si>
  <si>
    <t>Платежи по обячзательствам по аренде</t>
  </si>
  <si>
    <t>Отчет об изменении в собственном капитале по состоянию на 31 марта 2020 года (неаудированная)</t>
  </si>
  <si>
    <t xml:space="preserve">Торговая и прочая кредиторская задолженность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</si>
</sst>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3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7" fillId="0" borderId="0" xfId="0" applyFont="1"/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vertical="center" wrapText="1"/>
    </xf>
    <xf numFmtId="0" fontId="0" fillId="3" borderId="0" xfId="0" applyFill="1"/>
    <xf numFmtId="3" fontId="2" fillId="3" borderId="1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3" fontId="1" fillId="3" borderId="0" xfId="0" applyNumberFormat="1" applyFont="1" applyFill="1" applyAlignment="1">
      <alignment vertical="center" wrapText="1"/>
    </xf>
    <xf numFmtId="3" fontId="1" fillId="3" borderId="2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8" fillId="3" borderId="0" xfId="0" applyNumberFormat="1" applyFont="1" applyFill="1" applyAlignment="1">
      <alignment vertical="center" wrapText="1"/>
    </xf>
    <xf numFmtId="0" fontId="4" fillId="3" borderId="0" xfId="0" applyFont="1" applyFill="1"/>
    <xf numFmtId="166" fontId="6" fillId="3" borderId="0" xfId="0" applyNumberFormat="1" applyFont="1" applyFill="1" applyAlignment="1">
      <alignment vertical="center" wrapText="1"/>
    </xf>
    <xf numFmtId="0" fontId="9" fillId="3" borderId="0" xfId="0" applyFont="1" applyFill="1"/>
    <xf numFmtId="164" fontId="4" fillId="3" borderId="0" xfId="0" applyNumberFormat="1" applyFont="1" applyFill="1"/>
    <xf numFmtId="3" fontId="4" fillId="3" borderId="0" xfId="0" applyNumberFormat="1" applyFont="1" applyFill="1"/>
    <xf numFmtId="0" fontId="2" fillId="3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0" fillId="0" borderId="0" xfId="0" applyNumberFormat="1"/>
    <xf numFmtId="167" fontId="12" fillId="0" borderId="0" xfId="0" applyNumberFormat="1" applyFont="1" applyFill="1" applyAlignment="1"/>
    <xf numFmtId="0" fontId="7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14" fillId="3" borderId="0" xfId="0" applyFont="1" applyFill="1" applyAlignment="1">
      <alignment horizontal="right"/>
    </xf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3" fontId="15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_kappasova\Desktop\Documents\&#1060;&#1080;&#1085;&#1072;&#1085;&#1089;&#1086;&#1074;&#1072;&#1103;%20&#1086;&#1090;&#1095;&#1077;&#1090;&#1085;&#1086;&#1089;&#1090;&#1100;\2019\3%20&#1082;&#1074;&#1072;&#1088;&#1090;&#1072;&#1083;\&#1060;1,%20&#1060;2,%20&#1060;3,%20&#1060;4%20&#1052;&#1057;&#1060;&#1054;%20v3%20&#1089;&#1074;&#1077;&#1088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  <cell r="E6">
            <v>1169496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K18" sqref="K18"/>
    </sheetView>
  </sheetViews>
  <sheetFormatPr defaultRowHeight="15" x14ac:dyDescent="0.25"/>
  <cols>
    <col min="1" max="1" width="48.42578125" customWidth="1"/>
    <col min="2" max="2" width="12.7109375" hidden="1" customWidth="1"/>
    <col min="3" max="3" width="15.85546875" customWidth="1"/>
    <col min="4" max="4" width="15.85546875" hidden="1" customWidth="1"/>
    <col min="5" max="5" width="17.5703125" customWidth="1"/>
    <col min="6" max="6" width="9.140625" style="30"/>
  </cols>
  <sheetData>
    <row r="1" spans="1:6" s="9" customFormat="1" ht="15.75" x14ac:dyDescent="0.25">
      <c r="A1" s="9" t="s">
        <v>92</v>
      </c>
      <c r="F1" s="36"/>
    </row>
    <row r="2" spans="1:6" s="9" customFormat="1" ht="15.75" x14ac:dyDescent="0.25">
      <c r="F2" s="36"/>
    </row>
    <row r="3" spans="1:6" x14ac:dyDescent="0.25">
      <c r="A3" s="81" t="s">
        <v>0</v>
      </c>
      <c r="B3" s="13" t="s">
        <v>40</v>
      </c>
      <c r="C3" s="11" t="s">
        <v>93</v>
      </c>
      <c r="D3" s="17" t="s">
        <v>31</v>
      </c>
      <c r="E3" s="76" t="s">
        <v>39</v>
      </c>
    </row>
    <row r="4" spans="1:6" ht="15.75" thickBot="1" x14ac:dyDescent="0.3">
      <c r="A4" s="81"/>
      <c r="B4" s="13"/>
      <c r="C4" s="12" t="s">
        <v>94</v>
      </c>
      <c r="D4" s="18" t="s">
        <v>32</v>
      </c>
      <c r="E4" s="77" t="s">
        <v>32</v>
      </c>
    </row>
    <row r="5" spans="1:6" x14ac:dyDescent="0.25">
      <c r="A5" s="10" t="s">
        <v>13</v>
      </c>
      <c r="B5" s="13"/>
      <c r="C5" s="10"/>
      <c r="D5" s="15"/>
      <c r="E5" s="10"/>
    </row>
    <row r="6" spans="1:6" x14ac:dyDescent="0.25">
      <c r="A6" s="2" t="s">
        <v>14</v>
      </c>
      <c r="B6" s="2">
        <v>7</v>
      </c>
      <c r="C6" s="3">
        <v>1288223</v>
      </c>
      <c r="D6" s="14">
        <v>1003340</v>
      </c>
      <c r="E6" s="3">
        <v>244135</v>
      </c>
    </row>
    <row r="7" spans="1:6" x14ac:dyDescent="0.25">
      <c r="A7" s="2" t="s">
        <v>15</v>
      </c>
      <c r="B7" s="2">
        <v>8</v>
      </c>
      <c r="C7" s="3">
        <v>1574528</v>
      </c>
      <c r="D7" s="14">
        <v>740330</v>
      </c>
      <c r="E7" s="3">
        <v>2991290</v>
      </c>
    </row>
    <row r="8" spans="1:6" x14ac:dyDescent="0.25">
      <c r="A8" s="2" t="s">
        <v>16</v>
      </c>
      <c r="B8" s="2">
        <v>9</v>
      </c>
      <c r="C8" s="3">
        <v>12854848</v>
      </c>
      <c r="D8" s="14">
        <v>14785486</v>
      </c>
      <c r="E8" s="3">
        <v>11740756</v>
      </c>
    </row>
    <row r="9" spans="1:6" ht="25.5" x14ac:dyDescent="0.25">
      <c r="A9" s="2" t="s">
        <v>33</v>
      </c>
      <c r="B9" s="2">
        <v>10</v>
      </c>
      <c r="C9" s="3">
        <v>344348</v>
      </c>
      <c r="D9" s="14">
        <v>73444</v>
      </c>
      <c r="E9" s="3">
        <v>83944</v>
      </c>
    </row>
    <row r="10" spans="1:6" x14ac:dyDescent="0.25">
      <c r="A10" s="2" t="s">
        <v>17</v>
      </c>
      <c r="B10" s="2"/>
      <c r="C10" s="3">
        <v>83437</v>
      </c>
      <c r="D10" s="14">
        <v>174816</v>
      </c>
      <c r="E10" s="3"/>
    </row>
    <row r="11" spans="1:6" x14ac:dyDescent="0.25">
      <c r="A11" s="2" t="s">
        <v>18</v>
      </c>
      <c r="B11" s="2"/>
      <c r="C11" s="3">
        <v>30105</v>
      </c>
      <c r="D11" s="14">
        <v>21117</v>
      </c>
      <c r="E11" s="3">
        <v>31624</v>
      </c>
    </row>
    <row r="12" spans="1:6" x14ac:dyDescent="0.25">
      <c r="A12" s="2" t="s">
        <v>19</v>
      </c>
      <c r="B12" s="2"/>
      <c r="C12" s="3">
        <v>17398</v>
      </c>
      <c r="D12" s="14">
        <v>7649</v>
      </c>
      <c r="E12" s="3">
        <v>11485</v>
      </c>
    </row>
    <row r="13" spans="1:6" x14ac:dyDescent="0.25">
      <c r="A13" s="2" t="s">
        <v>44</v>
      </c>
      <c r="B13" s="2">
        <v>6</v>
      </c>
      <c r="C13" s="3">
        <v>41079</v>
      </c>
      <c r="D13" s="14"/>
      <c r="E13" s="3">
        <v>32792</v>
      </c>
    </row>
    <row r="14" spans="1:6" ht="15.75" thickBot="1" x14ac:dyDescent="0.3">
      <c r="A14" s="2" t="s">
        <v>20</v>
      </c>
      <c r="B14" s="2"/>
      <c r="C14" s="3">
        <v>97015</v>
      </c>
      <c r="D14" s="14">
        <v>26731</v>
      </c>
      <c r="E14" s="3">
        <v>109989</v>
      </c>
    </row>
    <row r="15" spans="1:6" ht="15.75" thickBot="1" x14ac:dyDescent="0.3">
      <c r="A15" s="10" t="s">
        <v>21</v>
      </c>
      <c r="B15" s="13"/>
      <c r="C15" s="7">
        <f>SUM(C6:C14)</f>
        <v>16330981</v>
      </c>
      <c r="D15" s="19">
        <f>SUM(D6:D14)</f>
        <v>16832913</v>
      </c>
      <c r="E15" s="7">
        <f>SUM(E6:E14)</f>
        <v>15246015</v>
      </c>
    </row>
    <row r="16" spans="1:6" s="30" customFormat="1" ht="15.75" thickTop="1" x14ac:dyDescent="0.25">
      <c r="A16" s="26" t="s">
        <v>41</v>
      </c>
      <c r="B16" s="27"/>
      <c r="C16" s="28">
        <f>SUM(C6:C14)-C15</f>
        <v>0</v>
      </c>
      <c r="D16" s="29"/>
      <c r="E16" s="28">
        <f>SUM(E6:E14)-E15</f>
        <v>0</v>
      </c>
    </row>
    <row r="17" spans="1:6" x14ac:dyDescent="0.25">
      <c r="A17" s="10" t="s">
        <v>22</v>
      </c>
      <c r="B17" s="13"/>
      <c r="C17" s="3"/>
      <c r="D17" s="14"/>
      <c r="E17" s="3"/>
    </row>
    <row r="18" spans="1:6" x14ac:dyDescent="0.25">
      <c r="A18" s="2" t="s">
        <v>34</v>
      </c>
      <c r="B18" s="2">
        <v>12</v>
      </c>
      <c r="C18" s="73">
        <v>9095849</v>
      </c>
      <c r="D18" s="73">
        <v>12010133</v>
      </c>
      <c r="E18" s="73">
        <v>9320495</v>
      </c>
    </row>
    <row r="19" spans="1:6" x14ac:dyDescent="0.25">
      <c r="A19" s="2" t="s">
        <v>46</v>
      </c>
      <c r="B19" s="2"/>
      <c r="C19" s="73">
        <v>1037752</v>
      </c>
      <c r="D19" s="73"/>
      <c r="E19" s="73">
        <v>594256</v>
      </c>
    </row>
    <row r="20" spans="1:6" x14ac:dyDescent="0.25">
      <c r="A20" s="2" t="s">
        <v>35</v>
      </c>
      <c r="B20" s="2">
        <v>13</v>
      </c>
      <c r="C20" s="73">
        <v>1081392</v>
      </c>
      <c r="D20" s="73">
        <v>1030483</v>
      </c>
      <c r="E20" s="73">
        <v>860326</v>
      </c>
    </row>
    <row r="21" spans="1:6" x14ac:dyDescent="0.25">
      <c r="A21" s="2" t="s">
        <v>105</v>
      </c>
      <c r="B21" s="2">
        <v>14</v>
      </c>
      <c r="C21" s="73">
        <v>1229241</v>
      </c>
      <c r="D21" s="14">
        <v>326375</v>
      </c>
      <c r="E21" s="3">
        <v>660191</v>
      </c>
    </row>
    <row r="22" spans="1:6" ht="25.5" x14ac:dyDescent="0.25">
      <c r="A22" s="2" t="s">
        <v>23</v>
      </c>
      <c r="B22" s="2">
        <v>15</v>
      </c>
      <c r="C22" s="73">
        <v>263965</v>
      </c>
      <c r="D22" s="14">
        <v>245027</v>
      </c>
      <c r="E22" s="3">
        <v>255530</v>
      </c>
    </row>
    <row r="23" spans="1:6" x14ac:dyDescent="0.25">
      <c r="A23" s="2" t="s">
        <v>24</v>
      </c>
      <c r="B23" s="2"/>
      <c r="C23" s="3">
        <v>63921</v>
      </c>
      <c r="D23" s="14">
        <v>8362</v>
      </c>
      <c r="E23" s="3">
        <v>61223</v>
      </c>
    </row>
    <row r="24" spans="1:6" ht="15.75" thickBot="1" x14ac:dyDescent="0.3">
      <c r="A24" s="10" t="s">
        <v>25</v>
      </c>
      <c r="B24" s="13"/>
      <c r="C24" s="8">
        <f>SUM(C18:C23)</f>
        <v>12772120</v>
      </c>
      <c r="D24" s="20">
        <f>SUM(D18:D23)</f>
        <v>13620380</v>
      </c>
      <c r="E24" s="8">
        <f>SUM(E18:E23)</f>
        <v>11752021</v>
      </c>
    </row>
    <row r="25" spans="1:6" s="30" customFormat="1" x14ac:dyDescent="0.25">
      <c r="A25" s="26" t="s">
        <v>41</v>
      </c>
      <c r="B25" s="27"/>
      <c r="C25" s="31">
        <f>SUM(C18:C23)-C24</f>
        <v>0</v>
      </c>
      <c r="D25" s="32"/>
      <c r="E25" s="31">
        <f>SUM(E18:E23)-E24</f>
        <v>0</v>
      </c>
    </row>
    <row r="26" spans="1:6" x14ac:dyDescent="0.25">
      <c r="A26" s="10" t="s">
        <v>26</v>
      </c>
      <c r="B26" s="13"/>
      <c r="C26" s="3"/>
      <c r="D26" s="14"/>
      <c r="E26" s="3"/>
    </row>
    <row r="27" spans="1:6" x14ac:dyDescent="0.25">
      <c r="A27" s="2" t="s">
        <v>27</v>
      </c>
      <c r="B27" s="2">
        <v>16</v>
      </c>
      <c r="C27" s="3">
        <v>150</v>
      </c>
      <c r="D27" s="14">
        <v>150</v>
      </c>
      <c r="E27" s="3">
        <v>150</v>
      </c>
    </row>
    <row r="28" spans="1:6" ht="15.75" thickBot="1" x14ac:dyDescent="0.3">
      <c r="A28" s="2" t="s">
        <v>28</v>
      </c>
      <c r="B28" s="2"/>
      <c r="C28" s="4">
        <v>3558711</v>
      </c>
      <c r="D28" s="16">
        <v>3200198</v>
      </c>
      <c r="E28" s="4">
        <v>3493844</v>
      </c>
      <c r="F28" s="33">
        <f>C28-E28</f>
        <v>64867</v>
      </c>
    </row>
    <row r="29" spans="1:6" ht="15.75" thickBot="1" x14ac:dyDescent="0.3">
      <c r="A29" s="10" t="s">
        <v>29</v>
      </c>
      <c r="B29" s="13"/>
      <c r="C29" s="8">
        <f>SUM(C27:C28)</f>
        <v>3558861</v>
      </c>
      <c r="D29" s="20">
        <f>SUM(D27:D28)</f>
        <v>3200348</v>
      </c>
      <c r="E29" s="8">
        <f>SUM(E27:E28)</f>
        <v>3493994</v>
      </c>
      <c r="F29" s="80"/>
    </row>
    <row r="30" spans="1:6" ht="15.75" thickBot="1" x14ac:dyDescent="0.3">
      <c r="A30" s="10" t="s">
        <v>30</v>
      </c>
      <c r="B30" s="13"/>
      <c r="C30" s="5">
        <f>C24+C29</f>
        <v>16330981</v>
      </c>
      <c r="D30" s="21">
        <f>D24+D29</f>
        <v>16820728</v>
      </c>
      <c r="E30" s="5">
        <f>E24+E29</f>
        <v>15246015</v>
      </c>
    </row>
    <row r="31" spans="1:6" s="30" customFormat="1" ht="15.75" thickTop="1" x14ac:dyDescent="0.25">
      <c r="A31" s="26" t="s">
        <v>41</v>
      </c>
      <c r="C31" s="33" t="b">
        <f>C15=C30</f>
        <v>1</v>
      </c>
      <c r="E31" s="33">
        <f>SUM(E27:E28)-E29</f>
        <v>0</v>
      </c>
    </row>
    <row r="32" spans="1:6" s="30" customFormat="1" x14ac:dyDescent="0.25">
      <c r="A32" s="26" t="s">
        <v>42</v>
      </c>
      <c r="C32" s="34">
        <f>C15-SUM(C29,C24)</f>
        <v>0</v>
      </c>
      <c r="E32" s="35">
        <f>E15-SUM(E29,E24)</f>
        <v>0</v>
      </c>
    </row>
    <row r="33" spans="1:6" s="9" customFormat="1" ht="15.75" x14ac:dyDescent="0.25">
      <c r="A33" s="9" t="s">
        <v>36</v>
      </c>
      <c r="C33" s="9" t="s">
        <v>36</v>
      </c>
      <c r="F33" s="36"/>
    </row>
    <row r="34" spans="1:6" s="9" customFormat="1" ht="15.75" x14ac:dyDescent="0.25">
      <c r="A34" s="9" t="s">
        <v>47</v>
      </c>
      <c r="C34" s="9" t="s">
        <v>38</v>
      </c>
      <c r="F34" s="36"/>
    </row>
    <row r="35" spans="1:6" s="9" customFormat="1" ht="15.75" x14ac:dyDescent="0.25">
      <c r="A35" s="9" t="s">
        <v>48</v>
      </c>
      <c r="C35" s="9" t="s">
        <v>37</v>
      </c>
      <c r="F35" s="36"/>
    </row>
  </sheetData>
  <mergeCells count="1">
    <mergeCell ref="A3:A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2" zoomScaleNormal="82" workbookViewId="0">
      <selection activeCell="A23" sqref="A23:A24"/>
    </sheetView>
  </sheetViews>
  <sheetFormatPr defaultRowHeight="15" x14ac:dyDescent="0.25"/>
  <cols>
    <col min="1" max="1" width="60.85546875" customWidth="1"/>
    <col min="2" max="2" width="12.85546875" hidden="1" customWidth="1"/>
    <col min="3" max="5" width="12.5703125" hidden="1" customWidth="1"/>
    <col min="6" max="6" width="12.5703125" customWidth="1"/>
    <col min="7" max="7" width="11.85546875" customWidth="1"/>
  </cols>
  <sheetData>
    <row r="1" spans="1:7" s="9" customFormat="1" ht="15.75" x14ac:dyDescent="0.25">
      <c r="A1" s="9" t="s">
        <v>95</v>
      </c>
    </row>
    <row r="2" spans="1:7" s="9" customFormat="1" ht="15.75" x14ac:dyDescent="0.25"/>
    <row r="3" spans="1:7" x14ac:dyDescent="0.25">
      <c r="C3" s="24" t="s">
        <v>43</v>
      </c>
      <c r="F3" s="76" t="s">
        <v>96</v>
      </c>
      <c r="G3" s="55" t="s">
        <v>96</v>
      </c>
    </row>
    <row r="4" spans="1:7" ht="15.75" thickBot="1" x14ac:dyDescent="0.3">
      <c r="A4" s="1" t="s">
        <v>0</v>
      </c>
      <c r="B4" s="23" t="s">
        <v>40</v>
      </c>
      <c r="C4" s="25" t="s">
        <v>32</v>
      </c>
      <c r="D4" s="22">
        <v>43646</v>
      </c>
      <c r="E4" s="22"/>
      <c r="F4" s="25" t="s">
        <v>94</v>
      </c>
      <c r="G4" s="6" t="s">
        <v>32</v>
      </c>
    </row>
    <row r="5" spans="1:7" ht="25.5" x14ac:dyDescent="0.25">
      <c r="A5" s="37" t="s">
        <v>97</v>
      </c>
      <c r="B5" s="75"/>
      <c r="C5" s="74"/>
      <c r="D5" s="78"/>
      <c r="E5" s="78"/>
      <c r="F5" s="38">
        <v>69072</v>
      </c>
      <c r="G5" s="79"/>
    </row>
    <row r="6" spans="1:7" s="39" customFormat="1" ht="25.5" x14ac:dyDescent="0.25">
      <c r="A6" s="37" t="s">
        <v>1</v>
      </c>
      <c r="B6" s="37"/>
      <c r="C6" s="38">
        <v>1804651</v>
      </c>
      <c r="D6" s="38">
        <v>1149453</v>
      </c>
      <c r="E6" s="38"/>
      <c r="F6" s="38">
        <f>468477-1</f>
        <v>468476</v>
      </c>
      <c r="G6" s="38">
        <v>477325</v>
      </c>
    </row>
    <row r="7" spans="1:7" s="39" customFormat="1" ht="26.25" thickBot="1" x14ac:dyDescent="0.3">
      <c r="A7" s="37" t="s">
        <v>11</v>
      </c>
      <c r="B7" s="37"/>
      <c r="C7" s="40">
        <v>-1190935</v>
      </c>
      <c r="D7" s="40">
        <v>-802713</v>
      </c>
      <c r="E7" s="40"/>
      <c r="F7" s="40">
        <v>-315208</v>
      </c>
      <c r="G7" s="40">
        <v>-388604</v>
      </c>
    </row>
    <row r="8" spans="1:7" s="39" customFormat="1" x14ac:dyDescent="0.25">
      <c r="A8" s="41" t="s">
        <v>2</v>
      </c>
      <c r="B8" s="41"/>
      <c r="C8" s="42">
        <f>C6+C7</f>
        <v>613716</v>
      </c>
      <c r="D8" s="42">
        <f t="shared" ref="D8:E8" si="0">D6+D7</f>
        <v>346740</v>
      </c>
      <c r="E8" s="42">
        <f t="shared" si="0"/>
        <v>0</v>
      </c>
      <c r="F8" s="42">
        <f>F5+F6+F7</f>
        <v>222340</v>
      </c>
      <c r="G8" s="42">
        <f>G6+G7</f>
        <v>88721</v>
      </c>
    </row>
    <row r="9" spans="1:7" s="49" customFormat="1" x14ac:dyDescent="0.25">
      <c r="A9" s="45" t="s">
        <v>41</v>
      </c>
      <c r="B9" s="46"/>
      <c r="C9" s="47">
        <f>SUM(C6:C7)-C8</f>
        <v>0</v>
      </c>
      <c r="D9" s="47"/>
      <c r="E9" s="47"/>
      <c r="F9" s="48">
        <f t="shared" ref="F9" si="1">C9+E9</f>
        <v>0</v>
      </c>
      <c r="G9" s="47">
        <f>SUM(G6:G7)-G8</f>
        <v>0</v>
      </c>
    </row>
    <row r="10" spans="1:7" s="39" customFormat="1" ht="38.25" x14ac:dyDescent="0.25">
      <c r="A10" s="37" t="s">
        <v>12</v>
      </c>
      <c r="B10" s="54" t="s">
        <v>45</v>
      </c>
      <c r="C10" s="38">
        <v>5810</v>
      </c>
      <c r="D10" s="38">
        <v>-7127</v>
      </c>
      <c r="E10" s="38"/>
      <c r="F10" s="38">
        <v>22796</v>
      </c>
      <c r="G10" s="38">
        <v>-19364</v>
      </c>
    </row>
    <row r="11" spans="1:7" s="39" customFormat="1" x14ac:dyDescent="0.25">
      <c r="A11" s="37" t="s">
        <v>3</v>
      </c>
      <c r="B11" s="37"/>
      <c r="C11" s="38">
        <v>2467</v>
      </c>
      <c r="D11" s="38">
        <v>5911</v>
      </c>
      <c r="E11" s="38"/>
      <c r="F11" s="38">
        <v>-104408</v>
      </c>
      <c r="G11" s="38">
        <v>12377</v>
      </c>
    </row>
    <row r="12" spans="1:7" s="39" customFormat="1" ht="15.75" thickBot="1" x14ac:dyDescent="0.3">
      <c r="A12" s="37" t="s">
        <v>4</v>
      </c>
      <c r="B12" s="37">
        <v>4</v>
      </c>
      <c r="C12" s="40">
        <v>238074</v>
      </c>
      <c r="D12" s="40">
        <v>163108</v>
      </c>
      <c r="E12" s="40">
        <v>-3</v>
      </c>
      <c r="F12" s="40">
        <v>63004</v>
      </c>
      <c r="G12" s="40">
        <v>139109</v>
      </c>
    </row>
    <row r="13" spans="1:7" s="39" customFormat="1" x14ac:dyDescent="0.25">
      <c r="A13" s="41" t="s">
        <v>5</v>
      </c>
      <c r="B13" s="41"/>
      <c r="C13" s="42">
        <f>SUM(C8:C12)</f>
        <v>860067</v>
      </c>
      <c r="D13" s="42">
        <f t="shared" ref="D13:F13" si="2">SUM(D8:D12)</f>
        <v>508632</v>
      </c>
      <c r="E13" s="42">
        <f t="shared" si="2"/>
        <v>-3</v>
      </c>
      <c r="F13" s="42">
        <f t="shared" si="2"/>
        <v>203732</v>
      </c>
      <c r="G13" s="42">
        <f>SUM(G8:G12)</f>
        <v>220843</v>
      </c>
    </row>
    <row r="14" spans="1:7" s="49" customFormat="1" x14ac:dyDescent="0.25">
      <c r="A14" s="45" t="s">
        <v>41</v>
      </c>
      <c r="B14" s="46"/>
      <c r="C14" s="50">
        <f>SUM(C8:C12)-C13</f>
        <v>0</v>
      </c>
      <c r="D14" s="50">
        <f t="shared" ref="D14:F14" si="3">SUM(D8:D12)-D13</f>
        <v>0</v>
      </c>
      <c r="E14" s="50">
        <f t="shared" si="3"/>
        <v>0</v>
      </c>
      <c r="F14" s="50">
        <f t="shared" si="3"/>
        <v>0</v>
      </c>
      <c r="G14" s="50">
        <f>SUM(G8:G12)-G13</f>
        <v>0</v>
      </c>
    </row>
    <row r="15" spans="1:7" s="39" customFormat="1" ht="42.75" customHeight="1" x14ac:dyDescent="0.25">
      <c r="A15" s="37" t="s">
        <v>6</v>
      </c>
      <c r="B15" s="37">
        <v>9</v>
      </c>
      <c r="C15" s="38">
        <v>17717</v>
      </c>
      <c r="D15" s="38">
        <v>9585</v>
      </c>
      <c r="E15" s="38"/>
      <c r="F15" s="38">
        <v>-821</v>
      </c>
      <c r="G15" s="38">
        <v>-7359</v>
      </c>
    </row>
    <row r="16" spans="1:7" s="39" customFormat="1" ht="15.75" thickBot="1" x14ac:dyDescent="0.3">
      <c r="A16" s="37" t="s">
        <v>7</v>
      </c>
      <c r="B16" s="37">
        <v>5</v>
      </c>
      <c r="C16" s="40">
        <v>-507937</v>
      </c>
      <c r="D16" s="40">
        <v>-336667</v>
      </c>
      <c r="E16" s="40"/>
      <c r="F16" s="40">
        <v>-146330</v>
      </c>
      <c r="G16" s="40">
        <v>-165145</v>
      </c>
    </row>
    <row r="17" spans="1:7" s="39" customFormat="1" x14ac:dyDescent="0.25">
      <c r="A17" s="41" t="s">
        <v>8</v>
      </c>
      <c r="B17" s="41"/>
      <c r="C17" s="42">
        <f>SUM(C13:C16)</f>
        <v>369847</v>
      </c>
      <c r="D17" s="42">
        <f t="shared" ref="D17:F17" si="4">SUM(D13:D16)</f>
        <v>181550</v>
      </c>
      <c r="E17" s="42">
        <f t="shared" si="4"/>
        <v>-3</v>
      </c>
      <c r="F17" s="42">
        <f t="shared" si="4"/>
        <v>56581</v>
      </c>
      <c r="G17" s="42">
        <f>SUM(G13:G16)</f>
        <v>48339</v>
      </c>
    </row>
    <row r="18" spans="1:7" s="39" customFormat="1" ht="15.75" thickBot="1" x14ac:dyDescent="0.3">
      <c r="A18" s="37" t="s">
        <v>9</v>
      </c>
      <c r="B18" s="37">
        <v>6</v>
      </c>
      <c r="C18" s="40">
        <v>53256</v>
      </c>
      <c r="D18" s="40">
        <v>3094</v>
      </c>
      <c r="E18" s="40"/>
      <c r="F18" s="40">
        <v>8287</v>
      </c>
      <c r="G18" s="40">
        <v>50605</v>
      </c>
    </row>
    <row r="19" spans="1:7" s="39" customFormat="1" ht="15.75" thickBot="1" x14ac:dyDescent="0.3">
      <c r="A19" s="41" t="s">
        <v>10</v>
      </c>
      <c r="B19" s="41"/>
      <c r="C19" s="43">
        <f>SUM(C17:C18)</f>
        <v>423103</v>
      </c>
      <c r="D19" s="43">
        <f t="shared" ref="D19:F19" si="5">SUM(D17:D18)</f>
        <v>184644</v>
      </c>
      <c r="E19" s="43">
        <f t="shared" si="5"/>
        <v>-3</v>
      </c>
      <c r="F19" s="43">
        <f t="shared" si="5"/>
        <v>64868</v>
      </c>
      <c r="G19" s="43">
        <f>SUM(G17:G18)</f>
        <v>98944</v>
      </c>
    </row>
    <row r="20" spans="1:7" s="49" customFormat="1" ht="15.75" thickTop="1" x14ac:dyDescent="0.25">
      <c r="A20" s="45" t="s">
        <v>41</v>
      </c>
      <c r="B20" s="51"/>
      <c r="C20" s="52">
        <f>SUM(C13:C16)-C17</f>
        <v>0</v>
      </c>
      <c r="D20" s="52"/>
      <c r="E20" s="52"/>
      <c r="F20" s="52">
        <f>SUM(F13:F16)-F17</f>
        <v>0</v>
      </c>
      <c r="G20" s="52">
        <f>SUM(G13:G16)-G17</f>
        <v>0</v>
      </c>
    </row>
    <row r="21" spans="1:7" s="49" customFormat="1" x14ac:dyDescent="0.25">
      <c r="C21" s="53">
        <f>Ф1!C28-Ф1!E28-C19</f>
        <v>-358236</v>
      </c>
      <c r="F21" s="53">
        <f>Ф1!F28-Ф1!H28-F19</f>
        <v>-1</v>
      </c>
    </row>
    <row r="22" spans="1:7" s="44" customFormat="1" ht="15.75" x14ac:dyDescent="0.25">
      <c r="A22" s="44" t="s">
        <v>36</v>
      </c>
      <c r="D22" s="44" t="s">
        <v>36</v>
      </c>
      <c r="F22" s="44" t="s">
        <v>36</v>
      </c>
    </row>
    <row r="23" spans="1:7" s="9" customFormat="1" ht="15.75" x14ac:dyDescent="0.25">
      <c r="A23" s="9" t="s">
        <v>47</v>
      </c>
      <c r="D23" s="9" t="s">
        <v>37</v>
      </c>
      <c r="F23" s="9" t="s">
        <v>38</v>
      </c>
    </row>
    <row r="24" spans="1:7" s="9" customFormat="1" ht="15.75" x14ac:dyDescent="0.25">
      <c r="A24" s="9" t="s">
        <v>48</v>
      </c>
      <c r="D24" s="9" t="s">
        <v>38</v>
      </c>
      <c r="F24" s="9" t="s">
        <v>37</v>
      </c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opLeftCell="A34" workbookViewId="0">
      <selection activeCell="E21" sqref="E21"/>
    </sheetView>
  </sheetViews>
  <sheetFormatPr defaultRowHeight="15" x14ac:dyDescent="0.25"/>
  <cols>
    <col min="1" max="1" width="65.28515625" customWidth="1"/>
    <col min="2" max="4" width="14.42578125" hidden="1" customWidth="1"/>
    <col min="5" max="5" width="14.42578125" customWidth="1"/>
    <col min="6" max="6" width="17.28515625" customWidth="1"/>
  </cols>
  <sheetData>
    <row r="1" spans="1:6" s="9" customFormat="1" ht="15.75" x14ac:dyDescent="0.25">
      <c r="A1" s="9" t="s">
        <v>98</v>
      </c>
    </row>
    <row r="2" spans="1:6" s="9" customFormat="1" ht="15.75" x14ac:dyDescent="0.25"/>
    <row r="3" spans="1:6" x14ac:dyDescent="0.25">
      <c r="B3" s="55" t="s">
        <v>43</v>
      </c>
      <c r="E3" s="55" t="s">
        <v>96</v>
      </c>
      <c r="F3" s="76" t="s">
        <v>39</v>
      </c>
    </row>
    <row r="4" spans="1:6" ht="15.75" thickBot="1" x14ac:dyDescent="0.3">
      <c r="A4" s="56" t="s">
        <v>0</v>
      </c>
      <c r="B4" s="25" t="s">
        <v>32</v>
      </c>
      <c r="C4" s="25" t="s">
        <v>49</v>
      </c>
      <c r="D4" s="25"/>
      <c r="E4" s="25" t="s">
        <v>94</v>
      </c>
      <c r="F4" s="77" t="s">
        <v>32</v>
      </c>
    </row>
    <row r="5" spans="1:6" ht="25.5" x14ac:dyDescent="0.25">
      <c r="A5" s="56" t="s">
        <v>50</v>
      </c>
      <c r="B5" s="56"/>
      <c r="C5" s="56"/>
      <c r="D5" s="56"/>
      <c r="E5" s="56"/>
      <c r="F5" s="57"/>
    </row>
    <row r="6" spans="1:6" x14ac:dyDescent="0.25">
      <c r="A6" s="56" t="s">
        <v>51</v>
      </c>
      <c r="B6" s="58">
        <f>[1]Ф2!F18</f>
        <v>423100</v>
      </c>
      <c r="C6" s="58">
        <v>184644</v>
      </c>
      <c r="D6" s="58"/>
      <c r="E6" s="58">
        <f>Ф2!F19</f>
        <v>64868</v>
      </c>
      <c r="F6" s="58">
        <v>525430</v>
      </c>
    </row>
    <row r="7" spans="1:6" x14ac:dyDescent="0.25">
      <c r="A7" s="59" t="s">
        <v>52</v>
      </c>
      <c r="B7" s="2"/>
      <c r="C7" s="3"/>
      <c r="D7" s="3"/>
      <c r="E7" s="58">
        <f t="shared" ref="E7" si="0">B7+D7</f>
        <v>0</v>
      </c>
      <c r="F7" s="3"/>
    </row>
    <row r="8" spans="1:6" ht="25.5" x14ac:dyDescent="0.25">
      <c r="A8" s="2" t="s">
        <v>97</v>
      </c>
      <c r="B8" s="2"/>
      <c r="C8" s="3"/>
      <c r="D8" s="3"/>
      <c r="E8" s="58">
        <v>-69072</v>
      </c>
      <c r="F8" s="3">
        <v>-35052</v>
      </c>
    </row>
    <row r="9" spans="1:6" x14ac:dyDescent="0.25">
      <c r="A9" s="2" t="s">
        <v>99</v>
      </c>
      <c r="B9" s="3">
        <v>-1804651</v>
      </c>
      <c r="C9" s="3">
        <v>-1149454</v>
      </c>
      <c r="D9" s="3"/>
      <c r="E9" s="3">
        <v>-468478</v>
      </c>
      <c r="F9" s="3">
        <v>-2318199</v>
      </c>
    </row>
    <row r="10" spans="1:6" x14ac:dyDescent="0.25">
      <c r="A10" s="2" t="s">
        <v>100</v>
      </c>
      <c r="B10" s="3">
        <v>1190935</v>
      </c>
      <c r="C10" s="3">
        <v>802713</v>
      </c>
      <c r="D10" s="3"/>
      <c r="E10" s="3">
        <v>315209</v>
      </c>
      <c r="F10" s="3">
        <v>1546154</v>
      </c>
    </row>
    <row r="11" spans="1:6" ht="38.25" x14ac:dyDescent="0.25">
      <c r="A11" s="2" t="s">
        <v>53</v>
      </c>
      <c r="B11" s="3">
        <v>-5810</v>
      </c>
      <c r="C11" s="3">
        <v>7127</v>
      </c>
      <c r="D11" s="3"/>
      <c r="E11" s="3">
        <v>-22796</v>
      </c>
      <c r="F11" s="3">
        <v>25603</v>
      </c>
    </row>
    <row r="12" spans="1:6" x14ac:dyDescent="0.25">
      <c r="A12" s="2" t="s">
        <v>54</v>
      </c>
      <c r="B12" s="3">
        <v>-17717</v>
      </c>
      <c r="C12" s="3">
        <v>-9585</v>
      </c>
      <c r="D12" s="3"/>
      <c r="E12" s="3">
        <v>821</v>
      </c>
      <c r="F12" s="3">
        <v>-41540</v>
      </c>
    </row>
    <row r="13" spans="1:6" x14ac:dyDescent="0.25">
      <c r="A13" s="2" t="s">
        <v>55</v>
      </c>
      <c r="B13" s="3">
        <v>5728</v>
      </c>
      <c r="C13" s="3">
        <v>3833.2618499999999</v>
      </c>
      <c r="D13" s="3"/>
      <c r="E13" s="3">
        <v>5763</v>
      </c>
      <c r="F13" s="3">
        <v>17385</v>
      </c>
    </row>
    <row r="14" spans="1:6" x14ac:dyDescent="0.25">
      <c r="A14" s="2" t="s">
        <v>56</v>
      </c>
      <c r="B14" s="3">
        <v>-25305</v>
      </c>
      <c r="C14" s="3">
        <v>-25033.610110000001</v>
      </c>
      <c r="D14" s="3"/>
      <c r="E14" s="3">
        <v>71252</v>
      </c>
      <c r="F14" s="3">
        <v>-26900</v>
      </c>
    </row>
    <row r="15" spans="1:6" ht="15.75" thickBot="1" x14ac:dyDescent="0.3">
      <c r="A15" s="2" t="s">
        <v>9</v>
      </c>
      <c r="B15" s="3">
        <v>-53256</v>
      </c>
      <c r="C15" s="3"/>
      <c r="D15" s="3"/>
      <c r="E15" s="3">
        <v>-8287</v>
      </c>
      <c r="F15" s="3">
        <v>-48071</v>
      </c>
    </row>
    <row r="16" spans="1:6" ht="25.5" x14ac:dyDescent="0.25">
      <c r="A16" s="56" t="s">
        <v>57</v>
      </c>
      <c r="B16" s="60">
        <f>SUM(B6:B15)</f>
        <v>-286976</v>
      </c>
      <c r="C16" s="60">
        <f t="shared" ref="C16:E16" si="1">SUM(C6:C15)</f>
        <v>-185755.34826</v>
      </c>
      <c r="D16" s="60">
        <f t="shared" si="1"/>
        <v>0</v>
      </c>
      <c r="E16" s="60">
        <f t="shared" si="1"/>
        <v>-110720</v>
      </c>
      <c r="F16" s="60">
        <f>SUM(F6:F15)</f>
        <v>-355190</v>
      </c>
    </row>
    <row r="17" spans="1:7" s="30" customFormat="1" x14ac:dyDescent="0.25">
      <c r="A17" s="26" t="s">
        <v>41</v>
      </c>
      <c r="B17" s="61"/>
      <c r="C17" s="61"/>
      <c r="D17" s="61"/>
      <c r="E17" s="61"/>
      <c r="F17" s="61">
        <f>SUM(F6:F14)-F16</f>
        <v>48071</v>
      </c>
    </row>
    <row r="18" spans="1:7" x14ac:dyDescent="0.25">
      <c r="A18" s="56" t="s">
        <v>58</v>
      </c>
      <c r="B18" s="56"/>
      <c r="C18" s="58"/>
      <c r="D18" s="58"/>
      <c r="E18" s="58"/>
      <c r="F18" s="58"/>
    </row>
    <row r="19" spans="1:7" x14ac:dyDescent="0.25">
      <c r="A19" s="56"/>
      <c r="B19" s="56"/>
      <c r="F19" s="58"/>
      <c r="G19" s="3"/>
    </row>
    <row r="20" spans="1:7" x14ac:dyDescent="0.25">
      <c r="A20" s="2" t="s">
        <v>59</v>
      </c>
      <c r="B20" s="3">
        <v>856296</v>
      </c>
      <c r="C20" s="3">
        <v>249329</v>
      </c>
      <c r="D20" s="3"/>
      <c r="E20" s="3">
        <f>1454859+1</f>
        <v>1454860</v>
      </c>
      <c r="F20" s="3">
        <v>-1976697</v>
      </c>
    </row>
    <row r="21" spans="1:7" x14ac:dyDescent="0.25">
      <c r="A21" s="2" t="s">
        <v>17</v>
      </c>
      <c r="B21" s="3">
        <v>0</v>
      </c>
      <c r="C21" s="3">
        <v>-174816</v>
      </c>
      <c r="D21" s="3"/>
      <c r="E21" s="3">
        <v>-83437</v>
      </c>
      <c r="F21" s="3"/>
    </row>
    <row r="22" spans="1:7" x14ac:dyDescent="0.25">
      <c r="A22" s="2" t="s">
        <v>16</v>
      </c>
      <c r="B22" s="3">
        <v>-319581.98284000007</v>
      </c>
      <c r="C22" s="3">
        <v>-72610.023309997632</v>
      </c>
      <c r="D22" s="3"/>
      <c r="E22" s="3">
        <v>-781792</v>
      </c>
      <c r="F22" s="3">
        <v>2198381</v>
      </c>
    </row>
    <row r="23" spans="1:7" ht="25.5" x14ac:dyDescent="0.25">
      <c r="A23" s="2" t="s">
        <v>60</v>
      </c>
      <c r="B23" s="3">
        <v>177621</v>
      </c>
      <c r="C23" s="3">
        <v>167185</v>
      </c>
      <c r="D23" s="3"/>
      <c r="E23" s="3">
        <v>-344348</v>
      </c>
      <c r="F23" s="3">
        <v>-83944</v>
      </c>
    </row>
    <row r="24" spans="1:7" x14ac:dyDescent="0.25">
      <c r="A24" s="2" t="s">
        <v>61</v>
      </c>
      <c r="B24" s="3">
        <v>166193</v>
      </c>
      <c r="C24" s="3">
        <v>316688.56884000002</v>
      </c>
      <c r="D24" s="3"/>
      <c r="E24" s="3">
        <v>62679</v>
      </c>
      <c r="F24" s="3">
        <v>250849</v>
      </c>
    </row>
    <row r="25" spans="1:7" x14ac:dyDescent="0.25">
      <c r="A25" s="2"/>
      <c r="B25" s="62"/>
      <c r="C25" s="3"/>
      <c r="D25" s="3"/>
      <c r="E25" s="3">
        <f t="shared" ref="E25:E26" si="2">B25+D25</f>
        <v>0</v>
      </c>
      <c r="F25" s="3"/>
    </row>
    <row r="26" spans="1:7" x14ac:dyDescent="0.25">
      <c r="A26" s="56" t="s">
        <v>62</v>
      </c>
      <c r="B26" s="63"/>
      <c r="E26" s="3">
        <f t="shared" si="2"/>
        <v>0</v>
      </c>
      <c r="F26" s="58"/>
    </row>
    <row r="27" spans="1:7" x14ac:dyDescent="0.25">
      <c r="A27" s="2" t="s">
        <v>35</v>
      </c>
      <c r="B27" s="3">
        <v>-238103</v>
      </c>
      <c r="C27" s="58">
        <v>42749</v>
      </c>
      <c r="D27" s="58"/>
      <c r="E27" s="3">
        <v>221123</v>
      </c>
      <c r="F27" s="3">
        <v>-127059</v>
      </c>
    </row>
    <row r="28" spans="1:7" x14ac:dyDescent="0.25">
      <c r="A28" s="2" t="s">
        <v>101</v>
      </c>
      <c r="B28" s="3">
        <v>-652808</v>
      </c>
      <c r="C28" s="3">
        <v>-587534.49031000002</v>
      </c>
      <c r="D28" s="3"/>
      <c r="E28" s="3">
        <v>510913</v>
      </c>
      <c r="F28" s="3">
        <v>-9395</v>
      </c>
    </row>
    <row r="29" spans="1:7" x14ac:dyDescent="0.25">
      <c r="A29" s="2" t="s">
        <v>23</v>
      </c>
      <c r="B29" s="3">
        <v>26672</v>
      </c>
      <c r="C29" s="3">
        <v>20258</v>
      </c>
      <c r="D29" s="3"/>
      <c r="E29" s="3">
        <v>8435</v>
      </c>
      <c r="F29" s="3">
        <v>30760</v>
      </c>
    </row>
    <row r="30" spans="1:7" ht="15.75" thickBot="1" x14ac:dyDescent="0.3">
      <c r="A30" s="2" t="s">
        <v>24</v>
      </c>
      <c r="B30" s="4">
        <v>4182</v>
      </c>
      <c r="C30" s="3">
        <v>3870</v>
      </c>
      <c r="D30" s="3"/>
      <c r="E30" s="4">
        <v>-50431</v>
      </c>
      <c r="F30" s="4">
        <v>1141</v>
      </c>
    </row>
    <row r="31" spans="1:7" ht="25.5" x14ac:dyDescent="0.25">
      <c r="A31" s="56" t="s">
        <v>63</v>
      </c>
      <c r="B31" s="58">
        <f>SUM(B20:B30)+B16</f>
        <v>-266504.98284000007</v>
      </c>
      <c r="C31" s="58">
        <f t="shared" ref="C31:E31" si="3">SUM(C20:C30)+C16</f>
        <v>-220636.29303999769</v>
      </c>
      <c r="D31" s="58">
        <f t="shared" si="3"/>
        <v>0</v>
      </c>
      <c r="E31" s="58">
        <f t="shared" si="3"/>
        <v>887282</v>
      </c>
      <c r="F31" s="58">
        <f>SUM(F20:F30)+F16</f>
        <v>-71154</v>
      </c>
    </row>
    <row r="32" spans="1:7" s="30" customFormat="1" x14ac:dyDescent="0.25">
      <c r="A32" s="26" t="s">
        <v>41</v>
      </c>
      <c r="B32" s="61">
        <f>SUM(B16:B30)-B31</f>
        <v>0</v>
      </c>
      <c r="C32" s="61"/>
      <c r="D32" s="61"/>
      <c r="E32" s="61"/>
      <c r="F32" s="61">
        <f>SUM(F16:F30)-F31</f>
        <v>48071</v>
      </c>
    </row>
    <row r="33" spans="1:6" x14ac:dyDescent="0.25">
      <c r="A33" s="2" t="s">
        <v>64</v>
      </c>
      <c r="B33" s="3">
        <v>921308.71626000002</v>
      </c>
      <c r="C33" s="3">
        <v>630273</v>
      </c>
      <c r="D33" s="3"/>
      <c r="E33" s="3">
        <v>182645</v>
      </c>
      <c r="F33" s="3">
        <v>2471727</v>
      </c>
    </row>
    <row r="34" spans="1:6" ht="15.75" thickBot="1" x14ac:dyDescent="0.3">
      <c r="A34" s="2" t="s">
        <v>65</v>
      </c>
      <c r="B34" s="3">
        <v>-996578</v>
      </c>
      <c r="C34" s="3">
        <v>-531535</v>
      </c>
      <c r="D34" s="3"/>
      <c r="E34" s="3">
        <v>-175803</v>
      </c>
      <c r="F34" s="3">
        <v>-1567570</v>
      </c>
    </row>
    <row r="35" spans="1:6" ht="15.75" thickBot="1" x14ac:dyDescent="0.3">
      <c r="A35" s="56" t="s">
        <v>66</v>
      </c>
      <c r="B35" s="64">
        <f>B31+SUM(B33:B34)</f>
        <v>-341774.26658000005</v>
      </c>
      <c r="C35" s="64">
        <f t="shared" ref="C35:D35" si="4">C31+SUM(C33:C34)</f>
        <v>-121898.29303999769</v>
      </c>
      <c r="D35" s="64">
        <f t="shared" si="4"/>
        <v>0</v>
      </c>
      <c r="E35" s="64">
        <f>E31+SUM(E33:E34)</f>
        <v>894124</v>
      </c>
      <c r="F35" s="64">
        <f>F31+SUM(F33:F34)</f>
        <v>833003</v>
      </c>
    </row>
    <row r="36" spans="1:6" s="30" customFormat="1" x14ac:dyDescent="0.25">
      <c r="A36" s="26" t="s">
        <v>41</v>
      </c>
      <c r="B36" s="33">
        <f>SUM(B31:B34)-B35</f>
        <v>0</v>
      </c>
      <c r="C36" s="33"/>
      <c r="D36" s="33"/>
      <c r="E36" s="33">
        <f>SUM(E31:E34)-E35</f>
        <v>0</v>
      </c>
      <c r="F36" s="33">
        <f>SUM(F31:F34)-F35</f>
        <v>48071</v>
      </c>
    </row>
    <row r="37" spans="1:6" ht="25.5" x14ac:dyDescent="0.25">
      <c r="A37" s="56" t="s">
        <v>67</v>
      </c>
      <c r="B37" s="56"/>
      <c r="C37" s="58"/>
      <c r="D37" s="58"/>
      <c r="E37" s="58"/>
      <c r="F37" s="58"/>
    </row>
    <row r="38" spans="1:6" x14ac:dyDescent="0.25">
      <c r="A38" s="2" t="s">
        <v>68</v>
      </c>
      <c r="B38" s="2"/>
      <c r="C38" s="3"/>
      <c r="D38" s="3"/>
      <c r="E38" s="66"/>
      <c r="F38" s="3">
        <v>110</v>
      </c>
    </row>
    <row r="39" spans="1:6" ht="15.75" thickBot="1" x14ac:dyDescent="0.3">
      <c r="A39" s="2" t="s">
        <v>69</v>
      </c>
      <c r="B39" s="4">
        <v>-971</v>
      </c>
      <c r="C39" s="4">
        <v>970</v>
      </c>
      <c r="D39" s="4"/>
      <c r="E39" s="4">
        <v>-1070</v>
      </c>
      <c r="F39" s="4">
        <v>-15616</v>
      </c>
    </row>
    <row r="40" spans="1:6" ht="15.75" thickBot="1" x14ac:dyDescent="0.3">
      <c r="A40" s="56" t="s">
        <v>70</v>
      </c>
      <c r="B40" s="8">
        <f>SUM(B39)</f>
        <v>-971</v>
      </c>
      <c r="C40" s="8">
        <f t="shared" ref="C40:D40" si="5">SUM(C39)</f>
        <v>970</v>
      </c>
      <c r="D40" s="8">
        <f t="shared" si="5"/>
        <v>0</v>
      </c>
      <c r="E40" s="8">
        <f>SUM(E38:E39)</f>
        <v>-1070</v>
      </c>
      <c r="F40" s="8">
        <f>SUM(F38:F39)</f>
        <v>-15506</v>
      </c>
    </row>
    <row r="41" spans="1:6" x14ac:dyDescent="0.25">
      <c r="A41" s="2"/>
      <c r="B41" s="2"/>
      <c r="C41" s="3"/>
      <c r="D41" s="3"/>
      <c r="E41" s="3"/>
      <c r="F41" s="3"/>
    </row>
    <row r="42" spans="1:6" x14ac:dyDescent="0.25">
      <c r="A42" s="56" t="s">
        <v>71</v>
      </c>
      <c r="B42" s="56"/>
      <c r="C42" s="58"/>
      <c r="D42" s="58"/>
      <c r="E42" s="58"/>
      <c r="F42" s="58"/>
    </row>
    <row r="43" spans="1:6" x14ac:dyDescent="0.25">
      <c r="A43" s="2" t="s">
        <v>72</v>
      </c>
      <c r="B43" s="3">
        <v>-2755714</v>
      </c>
      <c r="C43" s="3">
        <v>-1717736</v>
      </c>
      <c r="D43" s="3">
        <v>3</v>
      </c>
      <c r="E43" s="3">
        <v>-468882</v>
      </c>
      <c r="F43" s="3">
        <v>-6767877</v>
      </c>
    </row>
    <row r="44" spans="1:6" x14ac:dyDescent="0.25">
      <c r="A44" s="2" t="s">
        <v>73</v>
      </c>
      <c r="B44" s="3">
        <v>2702839</v>
      </c>
      <c r="C44" s="3">
        <v>1839867</v>
      </c>
      <c r="D44" s="3"/>
      <c r="E44" s="3">
        <v>152132</v>
      </c>
      <c r="F44" s="3">
        <v>4504455</v>
      </c>
    </row>
    <row r="45" spans="1:6" x14ac:dyDescent="0.25">
      <c r="A45" s="2" t="s">
        <v>102</v>
      </c>
      <c r="B45" s="3"/>
      <c r="C45" s="3"/>
      <c r="D45" s="3"/>
      <c r="E45" s="3">
        <v>400921</v>
      </c>
      <c r="F45" s="3">
        <v>584945</v>
      </c>
    </row>
    <row r="46" spans="1:6" x14ac:dyDescent="0.25">
      <c r="A46" s="2" t="s">
        <v>103</v>
      </c>
      <c r="B46" s="3"/>
      <c r="C46" s="3"/>
      <c r="D46" s="3"/>
      <c r="E46" s="3">
        <v>-4500</v>
      </c>
      <c r="F46" s="3">
        <v>-13500</v>
      </c>
    </row>
    <row r="47" spans="1:6" ht="15.75" thickBot="1" x14ac:dyDescent="0.3">
      <c r="A47" s="2" t="s">
        <v>74</v>
      </c>
      <c r="B47" s="3">
        <v>-47140</v>
      </c>
      <c r="E47" s="3"/>
      <c r="F47" s="3">
        <v>-47140</v>
      </c>
    </row>
    <row r="48" spans="1:6" ht="26.25" thickBot="1" x14ac:dyDescent="0.3">
      <c r="A48" s="56" t="s">
        <v>75</v>
      </c>
      <c r="B48" s="64">
        <f>SUM(B41:B47)</f>
        <v>-100015</v>
      </c>
      <c r="C48" s="64">
        <f t="shared" ref="C48:E48" si="6">SUM(C41:C47)</f>
        <v>122131</v>
      </c>
      <c r="D48" s="64">
        <f t="shared" si="6"/>
        <v>3</v>
      </c>
      <c r="E48" s="64">
        <f t="shared" si="6"/>
        <v>79671</v>
      </c>
      <c r="F48" s="64">
        <f>SUM(F41:F47)</f>
        <v>-1739117</v>
      </c>
    </row>
    <row r="49" spans="1:6" s="30" customFormat="1" x14ac:dyDescent="0.25">
      <c r="A49" s="27"/>
      <c r="B49" s="61">
        <f>SUM(B43:B47)-B48</f>
        <v>0</v>
      </c>
      <c r="C49" s="61"/>
      <c r="D49" s="61"/>
      <c r="E49" s="61"/>
      <c r="F49" s="61">
        <f>SUM(F43:F47)-F48</f>
        <v>0</v>
      </c>
    </row>
    <row r="50" spans="1:6" x14ac:dyDescent="0.25">
      <c r="A50" s="56" t="s">
        <v>76</v>
      </c>
      <c r="B50" s="58">
        <f>B35+B40+B48</f>
        <v>-442760.26658000005</v>
      </c>
      <c r="C50" s="58">
        <f t="shared" ref="C50:D50" si="7">C35+C40+C48</f>
        <v>1202.7069600023096</v>
      </c>
      <c r="D50" s="58">
        <f t="shared" si="7"/>
        <v>3</v>
      </c>
      <c r="E50" s="58">
        <f>E35+E40+E48</f>
        <v>972725</v>
      </c>
      <c r="F50" s="58">
        <f>F35+F40+F48</f>
        <v>-921620</v>
      </c>
    </row>
    <row r="51" spans="1:6" x14ac:dyDescent="0.25">
      <c r="A51" s="2" t="s">
        <v>77</v>
      </c>
      <c r="B51" s="3">
        <v>1169496</v>
      </c>
      <c r="C51" s="3">
        <v>1169496</v>
      </c>
      <c r="D51" s="3"/>
      <c r="E51" s="3">
        <f>F53</f>
        <v>244135</v>
      </c>
      <c r="F51" s="3">
        <v>1169496</v>
      </c>
    </row>
    <row r="52" spans="1:6" ht="26.25" thickBot="1" x14ac:dyDescent="0.3">
      <c r="A52" s="2" t="s">
        <v>78</v>
      </c>
      <c r="B52" s="4">
        <v>-3176</v>
      </c>
      <c r="C52" s="4">
        <v>-2944</v>
      </c>
      <c r="D52" s="4"/>
      <c r="E52" s="4">
        <v>70793</v>
      </c>
      <c r="F52" s="4">
        <v>-3741</v>
      </c>
    </row>
    <row r="53" spans="1:6" ht="15.75" thickBot="1" x14ac:dyDescent="0.3">
      <c r="A53" s="56" t="s">
        <v>79</v>
      </c>
      <c r="B53" s="5">
        <f>SUM(B50:B52)</f>
        <v>723559.73341999995</v>
      </c>
      <c r="C53" s="5">
        <f t="shared" ref="C53:D53" si="8">SUM(C50:C52)</f>
        <v>1167754.7069600024</v>
      </c>
      <c r="D53" s="5">
        <f t="shared" si="8"/>
        <v>3</v>
      </c>
      <c r="E53" s="5">
        <f>SUM(E50:E52)</f>
        <v>1287653</v>
      </c>
      <c r="F53" s="5">
        <f>SUM(F50:F52)</f>
        <v>244135</v>
      </c>
    </row>
    <row r="54" spans="1:6" s="30" customFormat="1" ht="15.75" thickTop="1" x14ac:dyDescent="0.25">
      <c r="B54" s="33">
        <f>SUM(B35,B40,B48)-B50</f>
        <v>0</v>
      </c>
      <c r="C54" s="33"/>
      <c r="D54" s="33"/>
      <c r="E54" s="33">
        <f>E53-[1]Ф1!C6</f>
        <v>564090</v>
      </c>
    </row>
    <row r="55" spans="1:6" x14ac:dyDescent="0.25">
      <c r="B55" s="65">
        <f>B50+[1]Ф1!E6+B52-B53</f>
        <v>0</v>
      </c>
      <c r="C55" s="65"/>
      <c r="D55" s="65"/>
      <c r="E55" s="65"/>
    </row>
    <row r="56" spans="1:6" x14ac:dyDescent="0.25">
      <c r="B56" s="65"/>
      <c r="C56" s="65"/>
      <c r="D56" s="65"/>
      <c r="E56" s="65"/>
    </row>
    <row r="57" spans="1:6" s="9" customFormat="1" ht="15.75" x14ac:dyDescent="0.25">
      <c r="A57" s="9" t="s">
        <v>36</v>
      </c>
      <c r="B57" s="9" t="s">
        <v>36</v>
      </c>
      <c r="C57" s="9" t="s">
        <v>36</v>
      </c>
      <c r="E57" s="44" t="s">
        <v>36</v>
      </c>
    </row>
    <row r="58" spans="1:6" s="9" customFormat="1" ht="15.75" x14ac:dyDescent="0.25">
      <c r="A58" s="9" t="s">
        <v>47</v>
      </c>
      <c r="B58" s="9" t="s">
        <v>37</v>
      </c>
      <c r="C58" s="9" t="s">
        <v>37</v>
      </c>
      <c r="E58" s="9" t="s">
        <v>38</v>
      </c>
    </row>
    <row r="59" spans="1:6" s="9" customFormat="1" ht="15.75" x14ac:dyDescent="0.25">
      <c r="A59" s="9" t="s">
        <v>48</v>
      </c>
      <c r="B59" s="9" t="s">
        <v>38</v>
      </c>
      <c r="C59" s="9" t="s">
        <v>38</v>
      </c>
      <c r="E59" s="9" t="s">
        <v>37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B13" sqref="B13"/>
    </sheetView>
  </sheetViews>
  <sheetFormatPr defaultRowHeight="15" x14ac:dyDescent="0.25"/>
  <cols>
    <col min="1" max="1" width="45.85546875" customWidth="1"/>
    <col min="2" max="2" width="12.85546875" customWidth="1"/>
    <col min="3" max="3" width="19.42578125" customWidth="1"/>
    <col min="4" max="4" width="27.28515625" customWidth="1"/>
    <col min="5" max="5" width="10.5703125" style="68" bestFit="1" customWidth="1"/>
  </cols>
  <sheetData>
    <row r="1" spans="1:6" s="9" customFormat="1" ht="15.75" x14ac:dyDescent="0.25">
      <c r="A1" s="9" t="s">
        <v>104</v>
      </c>
      <c r="E1" s="67"/>
    </row>
    <row r="3" spans="1:6" x14ac:dyDescent="0.25">
      <c r="A3" s="81" t="s">
        <v>0</v>
      </c>
      <c r="B3" s="82" t="s">
        <v>27</v>
      </c>
      <c r="C3" s="55" t="s">
        <v>80</v>
      </c>
      <c r="D3" s="55" t="s">
        <v>81</v>
      </c>
    </row>
    <row r="4" spans="1:6" ht="15.75" thickBot="1" x14ac:dyDescent="0.3">
      <c r="A4" s="81"/>
      <c r="B4" s="83"/>
      <c r="C4" s="25" t="s">
        <v>82</v>
      </c>
      <c r="D4" s="25" t="s">
        <v>83</v>
      </c>
      <c r="E4" s="68" t="s">
        <v>84</v>
      </c>
    </row>
    <row r="5" spans="1:6" x14ac:dyDescent="0.25">
      <c r="A5" s="41" t="s">
        <v>90</v>
      </c>
      <c r="B5" s="74">
        <v>150</v>
      </c>
      <c r="C5" s="60">
        <v>3015553</v>
      </c>
      <c r="D5" s="60">
        <f>B5+C5</f>
        <v>3015703</v>
      </c>
    </row>
    <row r="6" spans="1:6" x14ac:dyDescent="0.25">
      <c r="A6" s="2" t="s">
        <v>86</v>
      </c>
      <c r="B6" s="3"/>
      <c r="C6" s="3">
        <v>525430</v>
      </c>
      <c r="D6" s="3">
        <f>C6</f>
        <v>525430</v>
      </c>
      <c r="E6" s="69">
        <f>D6-[1]Ф3!F6</f>
        <v>-15262</v>
      </c>
    </row>
    <row r="7" spans="1:6" x14ac:dyDescent="0.25">
      <c r="A7" s="2" t="s">
        <v>89</v>
      </c>
      <c r="B7" s="3"/>
      <c r="C7" s="3">
        <v>-47140</v>
      </c>
      <c r="D7" s="3">
        <f>C7</f>
        <v>-47140</v>
      </c>
      <c r="E7" s="69"/>
    </row>
    <row r="8" spans="1:6" s="71" customFormat="1" ht="15.75" hidden="1" thickTop="1" x14ac:dyDescent="0.25">
      <c r="A8" s="70" t="s">
        <v>86</v>
      </c>
      <c r="B8" s="14" t="s">
        <v>85</v>
      </c>
      <c r="C8" s="14">
        <f>900867-279256+3</f>
        <v>621614</v>
      </c>
      <c r="D8" s="14">
        <f>C8</f>
        <v>621614</v>
      </c>
      <c r="E8" s="69">
        <f>D6+D8</f>
        <v>1147044</v>
      </c>
      <c r="F8" s="71" t="s">
        <v>87</v>
      </c>
    </row>
    <row r="9" spans="1:6" s="71" customFormat="1" ht="26.25" hidden="1" thickTop="1" x14ac:dyDescent="0.25">
      <c r="A9" s="15" t="s">
        <v>88</v>
      </c>
      <c r="B9" s="14"/>
      <c r="C9" s="14"/>
      <c r="D9" s="14"/>
      <c r="E9" s="68"/>
    </row>
    <row r="10" spans="1:6" s="71" customFormat="1" ht="16.5" hidden="1" thickTop="1" thickBot="1" x14ac:dyDescent="0.3">
      <c r="A10" s="70" t="s">
        <v>89</v>
      </c>
      <c r="B10" s="16" t="s">
        <v>85</v>
      </c>
      <c r="C10" s="16">
        <v>-372310</v>
      </c>
      <c r="D10" s="16">
        <v>-372310</v>
      </c>
      <c r="E10" s="68"/>
    </row>
    <row r="11" spans="1:6" s="39" customFormat="1" ht="15.75" thickBot="1" x14ac:dyDescent="0.3">
      <c r="A11" s="41" t="s">
        <v>91</v>
      </c>
      <c r="B11" s="43">
        <v>150</v>
      </c>
      <c r="C11" s="43">
        <f>SUM(C5:C7)</f>
        <v>3493843</v>
      </c>
      <c r="D11" s="43">
        <f>B11+C11</f>
        <v>3493993</v>
      </c>
      <c r="E11" s="69">
        <f>D11-[1]Ф1!E28-B11</f>
        <v>478289</v>
      </c>
    </row>
    <row r="12" spans="1:6" ht="15.75" thickTop="1" x14ac:dyDescent="0.25">
      <c r="A12" s="2" t="s">
        <v>86</v>
      </c>
      <c r="B12" s="3"/>
      <c r="C12" s="3">
        <f>Ф2!F19</f>
        <v>64868</v>
      </c>
      <c r="D12" s="3">
        <f>C12</f>
        <v>64868</v>
      </c>
      <c r="E12" s="69">
        <f>[1]Ф1!C28-[1]Ф1!E28-D12</f>
        <v>311092</v>
      </c>
    </row>
    <row r="13" spans="1:6" x14ac:dyDescent="0.25">
      <c r="A13" s="2" t="s">
        <v>89</v>
      </c>
      <c r="B13" s="3"/>
      <c r="C13" s="3"/>
      <c r="D13" s="3"/>
      <c r="E13" s="69"/>
    </row>
    <row r="14" spans="1:6" ht="15.75" thickBot="1" x14ac:dyDescent="0.3">
      <c r="A14" s="41" t="s">
        <v>91</v>
      </c>
      <c r="B14" s="5">
        <v>150</v>
      </c>
      <c r="C14" s="5">
        <f>C11+C12+C13</f>
        <v>3558711</v>
      </c>
      <c r="D14" s="5">
        <f>D11+D12+D13</f>
        <v>3558861</v>
      </c>
      <c r="E14" s="69">
        <f>[1]Ф1!C29-D14</f>
        <v>-167197</v>
      </c>
    </row>
    <row r="15" spans="1:6" s="49" customFormat="1" ht="15.75" thickTop="1" x14ac:dyDescent="0.25">
      <c r="C15" s="53">
        <f>C14-[1]Ф1!C28</f>
        <v>167197</v>
      </c>
      <c r="D15" s="49" t="b">
        <f>D14=Ф1!C29</f>
        <v>1</v>
      </c>
      <c r="E15" s="68"/>
    </row>
    <row r="16" spans="1:6" s="49" customFormat="1" x14ac:dyDescent="0.25">
      <c r="B16" s="72" t="s">
        <v>41</v>
      </c>
      <c r="C16" s="53">
        <f>C11+C12-C14+C13</f>
        <v>0</v>
      </c>
      <c r="D16" s="53">
        <f>D11+D12-D14+D13</f>
        <v>0</v>
      </c>
      <c r="E16" s="68"/>
    </row>
    <row r="17" spans="1:5" s="30" customFormat="1" x14ac:dyDescent="0.25">
      <c r="E17" s="68"/>
    </row>
    <row r="18" spans="1:5" s="9" customFormat="1" ht="15.75" x14ac:dyDescent="0.25">
      <c r="A18" s="9" t="s">
        <v>36</v>
      </c>
      <c r="B18" s="9" t="s">
        <v>36</v>
      </c>
      <c r="E18" s="67"/>
    </row>
    <row r="19" spans="1:5" s="9" customFormat="1" ht="15.75" x14ac:dyDescent="0.25">
      <c r="A19" s="9" t="s">
        <v>47</v>
      </c>
      <c r="B19" s="9" t="s">
        <v>38</v>
      </c>
      <c r="E19" s="67"/>
    </row>
    <row r="20" spans="1:5" s="9" customFormat="1" ht="15.75" x14ac:dyDescent="0.25">
      <c r="A20" s="9" t="s">
        <v>48</v>
      </c>
      <c r="B20" s="9" t="s">
        <v>37</v>
      </c>
      <c r="E20" s="67"/>
    </row>
    <row r="26" spans="1:5" x14ac:dyDescent="0.25">
      <c r="A26" s="2"/>
    </row>
  </sheetData>
  <mergeCells count="2"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Администратор</cp:lastModifiedBy>
  <cp:lastPrinted>2020-05-13T16:37:02Z</cp:lastPrinted>
  <dcterms:created xsi:type="dcterms:W3CDTF">2019-08-06T14:59:38Z</dcterms:created>
  <dcterms:modified xsi:type="dcterms:W3CDTF">2020-05-14T10:52:36Z</dcterms:modified>
</cp:coreProperties>
</file>