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O:\ДБУ\УКО ДБУиО\Финансовая отчетность (Отдельная)\2020\6. Июнь 2020\КФБ\"/>
    </mc:Choice>
  </mc:AlternateContent>
  <bookViews>
    <workbookView xWindow="-120" yWindow="-120" windowWidth="20736" windowHeight="11316" activeTab="3"/>
  </bookViews>
  <sheets>
    <sheet name="Ф.1" sheetId="1" r:id="rId1"/>
    <sheet name="Ф.2" sheetId="2" r:id="rId2"/>
    <sheet name="Ф.3" sheetId="3" r:id="rId3"/>
    <sheet name="Ф.4" sheetId="4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__5450_01" localSheetId="0">#REF!</definedName>
    <definedName name="__5450_01" localSheetId="2">#REF!</definedName>
    <definedName name="__5450_01">#REF!</definedName>
    <definedName name="__5456_n" localSheetId="0">#REF!</definedName>
    <definedName name="__5456_n" localSheetId="2">#REF!</definedName>
    <definedName name="__5456_n">#REF!</definedName>
    <definedName name="_4050_00" localSheetId="0">#REF!</definedName>
    <definedName name="_4050_00" localSheetId="2">#REF!</definedName>
    <definedName name="_4050_00">#REF!</definedName>
    <definedName name="_4050_01" localSheetId="0">#REF!</definedName>
    <definedName name="_4050_01" localSheetId="2">#REF!</definedName>
    <definedName name="_4050_01">#REF!</definedName>
    <definedName name="_4050_n" localSheetId="0">#REF!</definedName>
    <definedName name="_4050_n" localSheetId="2">#REF!</definedName>
    <definedName name="_4050_n">#REF!</definedName>
    <definedName name="_4052_00" localSheetId="0">#REF!</definedName>
    <definedName name="_4052_00" localSheetId="2">#REF!</definedName>
    <definedName name="_4052_00">#REF!</definedName>
    <definedName name="_4052_01" localSheetId="0">#REF!</definedName>
    <definedName name="_4052_01" localSheetId="2">#REF!</definedName>
    <definedName name="_4052_01">#REF!</definedName>
    <definedName name="_4052_n" localSheetId="0">#REF!</definedName>
    <definedName name="_4052_n" localSheetId="2">#REF!</definedName>
    <definedName name="_4052_n">#REF!</definedName>
    <definedName name="_4100_00" localSheetId="0">#REF!</definedName>
    <definedName name="_4100_00" localSheetId="2">#REF!</definedName>
    <definedName name="_4100_00">#REF!</definedName>
    <definedName name="_4100_01" localSheetId="0">#REF!</definedName>
    <definedName name="_4100_01" localSheetId="2">#REF!</definedName>
    <definedName name="_4100_01">#REF!</definedName>
    <definedName name="_4100_n" localSheetId="0">#REF!</definedName>
    <definedName name="_4100_n" localSheetId="2">#REF!</definedName>
    <definedName name="_4100_n">#REF!</definedName>
    <definedName name="_4101_00" localSheetId="0">#REF!</definedName>
    <definedName name="_4101_00" localSheetId="2">#REF!</definedName>
    <definedName name="_4101_00">#REF!</definedName>
    <definedName name="_4101_01" localSheetId="0">#REF!</definedName>
    <definedName name="_4101_01" localSheetId="2">#REF!</definedName>
    <definedName name="_4101_01">#REF!</definedName>
    <definedName name="_4101_n" localSheetId="0">#REF!</definedName>
    <definedName name="_4101_n" localSheetId="2">#REF!</definedName>
    <definedName name="_4101_n">#REF!</definedName>
    <definedName name="_4150_00" localSheetId="0">#REF!</definedName>
    <definedName name="_4150_00" localSheetId="2">#REF!</definedName>
    <definedName name="_4150_00">#REF!</definedName>
    <definedName name="_4150_01" localSheetId="0">#REF!</definedName>
    <definedName name="_4150_01" localSheetId="2">#REF!</definedName>
    <definedName name="_4150_01">#REF!</definedName>
    <definedName name="_4150_n" localSheetId="0">#REF!</definedName>
    <definedName name="_4150_n" localSheetId="2">#REF!</definedName>
    <definedName name="_4150_n">#REF!</definedName>
    <definedName name="_4151_00" localSheetId="0">#REF!</definedName>
    <definedName name="_4151_00" localSheetId="2">#REF!</definedName>
    <definedName name="_4151_00">#REF!</definedName>
    <definedName name="_4151_01" localSheetId="0">#REF!</definedName>
    <definedName name="_4151_01" localSheetId="2">#REF!</definedName>
    <definedName name="_4151_01">#REF!</definedName>
    <definedName name="_4151_n" localSheetId="0">#REF!</definedName>
    <definedName name="_4151_n" localSheetId="2">#REF!</definedName>
    <definedName name="_4151_n">#REF!</definedName>
    <definedName name="_4152_00" localSheetId="0">#REF!</definedName>
    <definedName name="_4152_00" localSheetId="2">#REF!</definedName>
    <definedName name="_4152_00">#REF!</definedName>
    <definedName name="_4152_01" localSheetId="0">#REF!</definedName>
    <definedName name="_4152_01" localSheetId="2">#REF!</definedName>
    <definedName name="_4152_01">#REF!</definedName>
    <definedName name="_4152_n" localSheetId="0">#REF!</definedName>
    <definedName name="_4152_n" localSheetId="2">#REF!</definedName>
    <definedName name="_4152_n">#REF!</definedName>
    <definedName name="_4155_00" localSheetId="0">#REF!</definedName>
    <definedName name="_4155_00" localSheetId="2">#REF!</definedName>
    <definedName name="_4155_00">#REF!</definedName>
    <definedName name="_4155_01" localSheetId="0">#REF!</definedName>
    <definedName name="_4155_01" localSheetId="2">#REF!</definedName>
    <definedName name="_4155_01">#REF!</definedName>
    <definedName name="_4155_n" localSheetId="0">#REF!</definedName>
    <definedName name="_4155_n" localSheetId="2">#REF!</definedName>
    <definedName name="_4155_n">#REF!</definedName>
    <definedName name="_4250_00" localSheetId="0">#REF!</definedName>
    <definedName name="_4250_00" localSheetId="2">#REF!</definedName>
    <definedName name="_4250_00">#REF!</definedName>
    <definedName name="_4250_01" localSheetId="0">#REF!</definedName>
    <definedName name="_4250_01" localSheetId="2">#REF!</definedName>
    <definedName name="_4250_01">#REF!</definedName>
    <definedName name="_4250_n" localSheetId="0">#REF!</definedName>
    <definedName name="_4250_n" localSheetId="2">#REF!</definedName>
    <definedName name="_4250_n">#REF!</definedName>
    <definedName name="_4252_00" localSheetId="0">#REF!</definedName>
    <definedName name="_4252_00" localSheetId="2">#REF!</definedName>
    <definedName name="_4252_00">#REF!</definedName>
    <definedName name="_4252_01" localSheetId="0">#REF!</definedName>
    <definedName name="_4252_01" localSheetId="2">#REF!</definedName>
    <definedName name="_4252_01">#REF!</definedName>
    <definedName name="_4252_n" localSheetId="0">#REF!</definedName>
    <definedName name="_4252_n" localSheetId="2">#REF!</definedName>
    <definedName name="_4252_n">#REF!</definedName>
    <definedName name="_4253_00" localSheetId="0">#REF!</definedName>
    <definedName name="_4253_00" localSheetId="2">#REF!</definedName>
    <definedName name="_4253_00">#REF!</definedName>
    <definedName name="_4253_01" localSheetId="0">#REF!</definedName>
    <definedName name="_4253_01" localSheetId="2">#REF!</definedName>
    <definedName name="_4253_01">#REF!</definedName>
    <definedName name="_4253_n" localSheetId="0">#REF!</definedName>
    <definedName name="_4253_n" localSheetId="2">#REF!</definedName>
    <definedName name="_4253_n">#REF!</definedName>
    <definedName name="_4300_n" localSheetId="0">#REF!</definedName>
    <definedName name="_4300_n" localSheetId="2">#REF!</definedName>
    <definedName name="_4300_n">#REF!</definedName>
    <definedName name="_4302_00" localSheetId="0">#REF!</definedName>
    <definedName name="_4302_00" localSheetId="2">#REF!</definedName>
    <definedName name="_4302_00">#REF!</definedName>
    <definedName name="_4302_01" localSheetId="0">#REF!</definedName>
    <definedName name="_4302_01" localSheetId="2">#REF!</definedName>
    <definedName name="_4302_01">#REF!</definedName>
    <definedName name="_4302_n" localSheetId="0">#REF!</definedName>
    <definedName name="_4302_n" localSheetId="2">#REF!</definedName>
    <definedName name="_4302_n">#REF!</definedName>
    <definedName name="_4400_n" localSheetId="0">#REF!</definedName>
    <definedName name="_4400_n" localSheetId="2">#REF!</definedName>
    <definedName name="_4400_n">#REF!</definedName>
    <definedName name="_4405_00" localSheetId="0">#REF!</definedName>
    <definedName name="_4405_00" localSheetId="2">#REF!</definedName>
    <definedName name="_4405_00">#REF!</definedName>
    <definedName name="_4405_01" localSheetId="0">#REF!</definedName>
    <definedName name="_4405_01" localSheetId="2">#REF!</definedName>
    <definedName name="_4405_01">#REF!</definedName>
    <definedName name="_4405_n" localSheetId="0">#REF!</definedName>
    <definedName name="_4405_n" localSheetId="2">#REF!</definedName>
    <definedName name="_4405_n">#REF!</definedName>
    <definedName name="_4411_00" localSheetId="0">#REF!</definedName>
    <definedName name="_4411_00" localSheetId="2">#REF!</definedName>
    <definedName name="_4411_00">#REF!</definedName>
    <definedName name="_4411_01" localSheetId="0">#REF!</definedName>
    <definedName name="_4411_01" localSheetId="2">#REF!</definedName>
    <definedName name="_4411_01">#REF!</definedName>
    <definedName name="_4411_n" localSheetId="0">#REF!</definedName>
    <definedName name="_4411_n" localSheetId="2">#REF!</definedName>
    <definedName name="_4411_n">#REF!</definedName>
    <definedName name="_4414_00" localSheetId="0">#REF!</definedName>
    <definedName name="_4414_00" localSheetId="2">#REF!</definedName>
    <definedName name="_4414_00">#REF!</definedName>
    <definedName name="_4414_01" localSheetId="0">#REF!</definedName>
    <definedName name="_4414_01" localSheetId="2">#REF!</definedName>
    <definedName name="_4414_01">#REF!</definedName>
    <definedName name="_4414_n" localSheetId="0">#REF!</definedName>
    <definedName name="_4414_n" localSheetId="2">#REF!</definedName>
    <definedName name="_4414_n">#REF!</definedName>
    <definedName name="_4417_00" localSheetId="0">#REF!</definedName>
    <definedName name="_4417_00" localSheetId="2">#REF!</definedName>
    <definedName name="_4417_00">#REF!</definedName>
    <definedName name="_4417_01" localSheetId="0">#REF!</definedName>
    <definedName name="_4417_01" localSheetId="2">#REF!</definedName>
    <definedName name="_4417_01">#REF!</definedName>
    <definedName name="_4417_n" localSheetId="0">#REF!</definedName>
    <definedName name="_4417_n" localSheetId="2">#REF!</definedName>
    <definedName name="_4417_n">#REF!</definedName>
    <definedName name="_4420_00" localSheetId="0">#REF!</definedName>
    <definedName name="_4420_00" localSheetId="2">#REF!</definedName>
    <definedName name="_4420_00">#REF!</definedName>
    <definedName name="_4420_01" localSheetId="0">#REF!</definedName>
    <definedName name="_4420_01" localSheetId="2">#REF!</definedName>
    <definedName name="_4420_01">#REF!</definedName>
    <definedName name="_4420_n" localSheetId="0">#REF!</definedName>
    <definedName name="_4420_n" localSheetId="2">#REF!</definedName>
    <definedName name="_4420_n">#REF!</definedName>
    <definedName name="_4424_00" localSheetId="0">#REF!</definedName>
    <definedName name="_4424_00" localSheetId="2">#REF!</definedName>
    <definedName name="_4424_00">#REF!</definedName>
    <definedName name="_4424_01" localSheetId="0">#REF!</definedName>
    <definedName name="_4424_01" localSheetId="2">#REF!</definedName>
    <definedName name="_4424_01">#REF!</definedName>
    <definedName name="_4424_n" localSheetId="0">#REF!</definedName>
    <definedName name="_4424_n" localSheetId="2">#REF!</definedName>
    <definedName name="_4424_n">#REF!</definedName>
    <definedName name="_4449_00" localSheetId="0">#REF!</definedName>
    <definedName name="_4449_00" localSheetId="2">#REF!</definedName>
    <definedName name="_4449_00">#REF!</definedName>
    <definedName name="_4449_01" localSheetId="0">#REF!</definedName>
    <definedName name="_4449_01" localSheetId="2">#REF!</definedName>
    <definedName name="_4449_01">#REF!</definedName>
    <definedName name="_4449_n" localSheetId="0">#REF!</definedName>
    <definedName name="_4449_n" localSheetId="2">#REF!</definedName>
    <definedName name="_4449_n">#REF!</definedName>
    <definedName name="_4450_00" localSheetId="0">#REF!</definedName>
    <definedName name="_4450_00" localSheetId="2">#REF!</definedName>
    <definedName name="_4450_00">#REF!</definedName>
    <definedName name="_4450_01" localSheetId="0">#REF!</definedName>
    <definedName name="_4450_01" localSheetId="2">#REF!</definedName>
    <definedName name="_4450_01">#REF!</definedName>
    <definedName name="_4450_n" localSheetId="0">#REF!</definedName>
    <definedName name="_4450_n" localSheetId="2">#REF!</definedName>
    <definedName name="_4450_n">#REF!</definedName>
    <definedName name="_4490_n" localSheetId="0">#REF!</definedName>
    <definedName name="_4490_n" localSheetId="2">#REF!</definedName>
    <definedName name="_4490_n">#REF!</definedName>
    <definedName name="_4491_00" localSheetId="0">#REF!</definedName>
    <definedName name="_4491_00" localSheetId="2">#REF!</definedName>
    <definedName name="_4491_00">#REF!</definedName>
    <definedName name="_4491_01" localSheetId="0">#REF!</definedName>
    <definedName name="_4491_01" localSheetId="2">#REF!</definedName>
    <definedName name="_4491_01">#REF!</definedName>
    <definedName name="_4491_n" localSheetId="0">#REF!</definedName>
    <definedName name="_4491_n" localSheetId="2">#REF!</definedName>
    <definedName name="_4491_n">#REF!</definedName>
    <definedName name="_4500_n" localSheetId="0">#REF!</definedName>
    <definedName name="_4500_n" localSheetId="2">#REF!</definedName>
    <definedName name="_4500_n">#REF!</definedName>
    <definedName name="_4510_00" localSheetId="0">#REF!</definedName>
    <definedName name="_4510_00" localSheetId="2">#REF!</definedName>
    <definedName name="_4510_00">#REF!</definedName>
    <definedName name="_4510_01" localSheetId="0">#REF!</definedName>
    <definedName name="_4510_01" localSheetId="2">#REF!</definedName>
    <definedName name="_4510_01">#REF!</definedName>
    <definedName name="_4510_n" localSheetId="0">#REF!</definedName>
    <definedName name="_4510_n" localSheetId="2">#REF!</definedName>
    <definedName name="_4510_n">#REF!</definedName>
    <definedName name="_4530_00" localSheetId="0">#REF!</definedName>
    <definedName name="_4530_00" localSheetId="2">#REF!</definedName>
    <definedName name="_4530_00">#REF!</definedName>
    <definedName name="_4530_01" localSheetId="0">#REF!</definedName>
    <definedName name="_4530_01" localSheetId="2">#REF!</definedName>
    <definedName name="_4530_01">#REF!</definedName>
    <definedName name="_4530_n" localSheetId="0">#REF!</definedName>
    <definedName name="_4530_n" localSheetId="2">#REF!</definedName>
    <definedName name="_4530_n">#REF!</definedName>
    <definedName name="_4600_n" localSheetId="0">#REF!</definedName>
    <definedName name="_4600_n" localSheetId="2">#REF!</definedName>
    <definedName name="_4600_n">#REF!</definedName>
    <definedName name="_4601_00" localSheetId="0">#REF!</definedName>
    <definedName name="_4601_00" localSheetId="2">#REF!</definedName>
    <definedName name="_4601_00">#REF!</definedName>
    <definedName name="_4601_01" localSheetId="0">#REF!</definedName>
    <definedName name="_4601_01" localSheetId="2">#REF!</definedName>
    <definedName name="_4601_01">#REF!</definedName>
    <definedName name="_4601_n" localSheetId="0">#REF!</definedName>
    <definedName name="_4601_n" localSheetId="2">#REF!</definedName>
    <definedName name="_4601_n">#REF!</definedName>
    <definedName name="_4603_00" localSheetId="0">#REF!</definedName>
    <definedName name="_4603_00" localSheetId="2">#REF!</definedName>
    <definedName name="_4603_00">#REF!</definedName>
    <definedName name="_4603_01" localSheetId="0">#REF!</definedName>
    <definedName name="_4603_01" localSheetId="2">#REF!</definedName>
    <definedName name="_4603_01">#REF!</definedName>
    <definedName name="_4603_n" localSheetId="0">#REF!</definedName>
    <definedName name="_4603_n" localSheetId="2">#REF!</definedName>
    <definedName name="_4603_n">#REF!</definedName>
    <definedName name="_4604_00" localSheetId="0">#REF!</definedName>
    <definedName name="_4604_00" localSheetId="2">#REF!</definedName>
    <definedName name="_4604_00">#REF!</definedName>
    <definedName name="_4604_01" localSheetId="0">#REF!</definedName>
    <definedName name="_4604_01" localSheetId="2">#REF!</definedName>
    <definedName name="_4604_01">#REF!</definedName>
    <definedName name="_4604_n" localSheetId="0">#REF!</definedName>
    <definedName name="_4604_n" localSheetId="2">#REF!</definedName>
    <definedName name="_4604_n">#REF!</definedName>
    <definedName name="_4606_00" localSheetId="0">#REF!</definedName>
    <definedName name="_4606_00" localSheetId="2">#REF!</definedName>
    <definedName name="_4606_00">#REF!</definedName>
    <definedName name="_4606_01" localSheetId="0">#REF!</definedName>
    <definedName name="_4606_01" localSheetId="2">#REF!</definedName>
    <definedName name="_4606_01">#REF!</definedName>
    <definedName name="_4606_n" localSheetId="0">#REF!</definedName>
    <definedName name="_4606_n" localSheetId="2">#REF!</definedName>
    <definedName name="_4606_n">#REF!</definedName>
    <definedName name="_4607_00" localSheetId="0">#REF!</definedName>
    <definedName name="_4607_00" localSheetId="2">#REF!</definedName>
    <definedName name="_4607_00">#REF!</definedName>
    <definedName name="_4607_01" localSheetId="0">#REF!</definedName>
    <definedName name="_4607_01" localSheetId="2">#REF!</definedName>
    <definedName name="_4607_01">#REF!</definedName>
    <definedName name="_4607_n" localSheetId="0">#REF!</definedName>
    <definedName name="_4607_n" localSheetId="2">#REF!</definedName>
    <definedName name="_4607_n">#REF!</definedName>
    <definedName name="_4608_00" localSheetId="0">#REF!</definedName>
    <definedName name="_4608_00" localSheetId="2">#REF!</definedName>
    <definedName name="_4608_00">#REF!</definedName>
    <definedName name="_4608_01" localSheetId="0">#REF!</definedName>
    <definedName name="_4608_01" localSheetId="2">#REF!</definedName>
    <definedName name="_4608_01">#REF!</definedName>
    <definedName name="_4608_n" localSheetId="0">#REF!</definedName>
    <definedName name="_4608_n" localSheetId="2">#REF!</definedName>
    <definedName name="_4608_n">#REF!</definedName>
    <definedName name="_4700_n" localSheetId="0">#REF!</definedName>
    <definedName name="_4700_n" localSheetId="2">#REF!</definedName>
    <definedName name="_4700_n">#REF!</definedName>
    <definedName name="_4703_00" localSheetId="0">#REF!</definedName>
    <definedName name="_4703_00" localSheetId="2">#REF!</definedName>
    <definedName name="_4703_00">#REF!</definedName>
    <definedName name="_4703_01" localSheetId="0">#REF!</definedName>
    <definedName name="_4703_01" localSheetId="2">#REF!</definedName>
    <definedName name="_4703_01">#REF!</definedName>
    <definedName name="_4703_n" localSheetId="0">#REF!</definedName>
    <definedName name="_4703_n" localSheetId="2">#REF!</definedName>
    <definedName name="_4703_n">#REF!</definedName>
    <definedName name="_4706_00" localSheetId="0">#REF!</definedName>
    <definedName name="_4706_00" localSheetId="2">#REF!</definedName>
    <definedName name="_4706_00">#REF!</definedName>
    <definedName name="_4706_01" localSheetId="0">#REF!</definedName>
    <definedName name="_4706_01" localSheetId="2">#REF!</definedName>
    <definedName name="_4706_01">#REF!</definedName>
    <definedName name="_4706_n" localSheetId="0">#REF!</definedName>
    <definedName name="_4706_n" localSheetId="2">#REF!</definedName>
    <definedName name="_4706_n">#REF!</definedName>
    <definedName name="_4800_n" localSheetId="0">#REF!</definedName>
    <definedName name="_4800_n" localSheetId="2">#REF!</definedName>
    <definedName name="_4800_n">#REF!</definedName>
    <definedName name="_4801_00" localSheetId="0">#REF!</definedName>
    <definedName name="_4801_00" localSheetId="2">#REF!</definedName>
    <definedName name="_4801_00">#REF!</definedName>
    <definedName name="_4801_01" localSheetId="0">#REF!</definedName>
    <definedName name="_4801_01" localSheetId="2">#REF!</definedName>
    <definedName name="_4801_01">#REF!</definedName>
    <definedName name="_4801_n" localSheetId="0">#REF!</definedName>
    <definedName name="_4801_n" localSheetId="2">#REF!</definedName>
    <definedName name="_4801_n">#REF!</definedName>
    <definedName name="_4802_00" localSheetId="0">#REF!</definedName>
    <definedName name="_4802_00" localSheetId="2">#REF!</definedName>
    <definedName name="_4802_00">#REF!</definedName>
    <definedName name="_4802_01" localSheetId="0">#REF!</definedName>
    <definedName name="_4802_01" localSheetId="2">#REF!</definedName>
    <definedName name="_4802_01">#REF!</definedName>
    <definedName name="_4802_n" localSheetId="0">#REF!</definedName>
    <definedName name="_4802_n" localSheetId="2">#REF!</definedName>
    <definedName name="_4802_n">#REF!</definedName>
    <definedName name="_4850_00" localSheetId="0">#REF!</definedName>
    <definedName name="_4850_00" localSheetId="2">#REF!</definedName>
    <definedName name="_4850_00">#REF!</definedName>
    <definedName name="_4850_01" localSheetId="0">#REF!</definedName>
    <definedName name="_4850_01" localSheetId="2">#REF!</definedName>
    <definedName name="_4850_01">#REF!</definedName>
    <definedName name="_4850_n" localSheetId="0">#REF!</definedName>
    <definedName name="_4850_n" localSheetId="2">#REF!</definedName>
    <definedName name="_4850_n">#REF!</definedName>
    <definedName name="_4852_00" localSheetId="0">#REF!</definedName>
    <definedName name="_4852_00" localSheetId="2">#REF!</definedName>
    <definedName name="_4852_00">#REF!</definedName>
    <definedName name="_4852_01" localSheetId="0">#REF!</definedName>
    <definedName name="_4852_01" localSheetId="2">#REF!</definedName>
    <definedName name="_4852_01">#REF!</definedName>
    <definedName name="_4852_n" localSheetId="0">#REF!</definedName>
    <definedName name="_4852_n" localSheetId="2">#REF!</definedName>
    <definedName name="_4852_n">#REF!</definedName>
    <definedName name="_4900_00" localSheetId="0">#REF!</definedName>
    <definedName name="_4900_00" localSheetId="2">#REF!</definedName>
    <definedName name="_4900_00">#REF!</definedName>
    <definedName name="_4900_01" localSheetId="0">#REF!</definedName>
    <definedName name="_4900_01" localSheetId="2">#REF!</definedName>
    <definedName name="_4900_01">#REF!</definedName>
    <definedName name="_4900_n" localSheetId="0">#REF!</definedName>
    <definedName name="_4900_n" localSheetId="2">#REF!</definedName>
    <definedName name="_4900_n">#REF!</definedName>
    <definedName name="_4920_00" localSheetId="0">#REF!</definedName>
    <definedName name="_4920_00" localSheetId="2">#REF!</definedName>
    <definedName name="_4920_00">#REF!</definedName>
    <definedName name="_4920_01" localSheetId="0">#REF!</definedName>
    <definedName name="_4920_01" localSheetId="2">#REF!</definedName>
    <definedName name="_4920_01">#REF!</definedName>
    <definedName name="_4920_n" localSheetId="0">#REF!</definedName>
    <definedName name="_4920_n" localSheetId="2">#REF!</definedName>
    <definedName name="_4920_n">#REF!</definedName>
    <definedName name="_4921_00" localSheetId="0">#REF!</definedName>
    <definedName name="_4921_00" localSheetId="2">#REF!</definedName>
    <definedName name="_4921_00">#REF!</definedName>
    <definedName name="_4921_01" localSheetId="0">#REF!</definedName>
    <definedName name="_4921_01" localSheetId="2">#REF!</definedName>
    <definedName name="_4921_01">#REF!</definedName>
    <definedName name="_4921_n" localSheetId="0">#REF!</definedName>
    <definedName name="_4921_n" localSheetId="2">#REF!</definedName>
    <definedName name="_4921_n">#REF!</definedName>
    <definedName name="_4922_00" localSheetId="0">#REF!</definedName>
    <definedName name="_4922_00" localSheetId="2">#REF!</definedName>
    <definedName name="_4922_00">#REF!</definedName>
    <definedName name="_4922_01" localSheetId="0">#REF!</definedName>
    <definedName name="_4922_01" localSheetId="2">#REF!</definedName>
    <definedName name="_4922_01">#REF!</definedName>
    <definedName name="_4922_n" localSheetId="0">#REF!</definedName>
    <definedName name="_4922_n" localSheetId="2">#REF!</definedName>
    <definedName name="_4922_n">#REF!</definedName>
    <definedName name="_4940_00" localSheetId="0">#REF!</definedName>
    <definedName name="_4940_00" localSheetId="2">#REF!</definedName>
    <definedName name="_4940_00">#REF!</definedName>
    <definedName name="_4940_01" localSheetId="0">#REF!</definedName>
    <definedName name="_4940_01" localSheetId="2">#REF!</definedName>
    <definedName name="_4940_01">#REF!</definedName>
    <definedName name="_4940_n" localSheetId="0">#REF!</definedName>
    <definedName name="_4940_n" localSheetId="2">#REF!</definedName>
    <definedName name="_4940_n">#REF!</definedName>
    <definedName name="_4942_00" localSheetId="0">#REF!</definedName>
    <definedName name="_4942_00" localSheetId="2">#REF!</definedName>
    <definedName name="_4942_00">#REF!</definedName>
    <definedName name="_4942_01" localSheetId="0">#REF!</definedName>
    <definedName name="_4942_01" localSheetId="2">#REF!</definedName>
    <definedName name="_4942_01">#REF!</definedName>
    <definedName name="_4942_n" localSheetId="0">#REF!</definedName>
    <definedName name="_4942_n" localSheetId="2">#REF!</definedName>
    <definedName name="_4942_n">#REF!</definedName>
    <definedName name="_5000" localSheetId="0">#REF!</definedName>
    <definedName name="_5000" localSheetId="2">#REF!</definedName>
    <definedName name="_5000">#REF!</definedName>
    <definedName name="_5000_00" localSheetId="0">#REF!</definedName>
    <definedName name="_5000_00" localSheetId="2">#REF!</definedName>
    <definedName name="_5000_00">#REF!</definedName>
    <definedName name="_5000_01" localSheetId="0">#REF!</definedName>
    <definedName name="_5000_01" localSheetId="2">#REF!</definedName>
    <definedName name="_5000_01">#REF!</definedName>
    <definedName name="_5000_n" localSheetId="0">#REF!</definedName>
    <definedName name="_5000_n" localSheetId="2">#REF!</definedName>
    <definedName name="_5000_n">#REF!</definedName>
    <definedName name="_5023_00" localSheetId="0">#REF!</definedName>
    <definedName name="_5023_00" localSheetId="2">#REF!</definedName>
    <definedName name="_5023_00">#REF!</definedName>
    <definedName name="_5023_01" localSheetId="0">#REF!</definedName>
    <definedName name="_5023_01" localSheetId="2">#REF!</definedName>
    <definedName name="_5023_01">#REF!</definedName>
    <definedName name="_5023_n" localSheetId="0">#REF!</definedName>
    <definedName name="_5023_n" localSheetId="2">#REF!</definedName>
    <definedName name="_5023_n">#REF!</definedName>
    <definedName name="_5054_00" localSheetId="0">#REF!</definedName>
    <definedName name="_5054_00" localSheetId="2">#REF!</definedName>
    <definedName name="_5054_00">#REF!</definedName>
    <definedName name="_5054_01" localSheetId="0">#REF!</definedName>
    <definedName name="_5054_01" localSheetId="2">#REF!</definedName>
    <definedName name="_5054_01">#REF!</definedName>
    <definedName name="_5054_n" localSheetId="0">#REF!</definedName>
    <definedName name="_5054_n" localSheetId="2">#REF!</definedName>
    <definedName name="_5054_n">#REF!</definedName>
    <definedName name="_5113_00" localSheetId="0">#REF!</definedName>
    <definedName name="_5113_00" localSheetId="2">#REF!</definedName>
    <definedName name="_5113_00">#REF!</definedName>
    <definedName name="_5113_01" localSheetId="0">#REF!</definedName>
    <definedName name="_5113_01" localSheetId="2">#REF!</definedName>
    <definedName name="_5113_01">#REF!</definedName>
    <definedName name="_5113_n" localSheetId="0">#REF!</definedName>
    <definedName name="_5113_n" localSheetId="2">#REF!</definedName>
    <definedName name="_5113_n">#REF!</definedName>
    <definedName name="_5120_00" localSheetId="0">#REF!</definedName>
    <definedName name="_5120_00" localSheetId="2">#REF!</definedName>
    <definedName name="_5120_00">#REF!</definedName>
    <definedName name="_5120_01" localSheetId="0">#REF!</definedName>
    <definedName name="_5120_01" localSheetId="2">#REF!</definedName>
    <definedName name="_5120_01">#REF!</definedName>
    <definedName name="_5120_n" localSheetId="0">#REF!</definedName>
    <definedName name="_5120_n" localSheetId="2">#REF!</definedName>
    <definedName name="_5120_n">#REF!</definedName>
    <definedName name="_5120n" localSheetId="0">#REF!</definedName>
    <definedName name="_5120n" localSheetId="2">#REF!</definedName>
    <definedName name="_5120n">#REF!</definedName>
    <definedName name="_5123_00" localSheetId="0">#REF!</definedName>
    <definedName name="_5123_00" localSheetId="2">#REF!</definedName>
    <definedName name="_5123_00">#REF!</definedName>
    <definedName name="_5123_01" localSheetId="0">#REF!</definedName>
    <definedName name="_5123_01" localSheetId="2">#REF!</definedName>
    <definedName name="_5123_01">#REF!</definedName>
    <definedName name="_5123_n" localSheetId="0">#REF!</definedName>
    <definedName name="_5123_n" localSheetId="2">#REF!</definedName>
    <definedName name="_5123_n">#REF!</definedName>
    <definedName name="_5124_00" localSheetId="0">#REF!</definedName>
    <definedName name="_5124_00" localSheetId="2">#REF!</definedName>
    <definedName name="_5124_00">#REF!</definedName>
    <definedName name="_5124_01" localSheetId="0">#REF!</definedName>
    <definedName name="_5124_01" localSheetId="2">#REF!</definedName>
    <definedName name="_5124_01">#REF!</definedName>
    <definedName name="_5124_n" localSheetId="0">#REF!</definedName>
    <definedName name="_5124_n" localSheetId="2">#REF!</definedName>
    <definedName name="_5124_n">#REF!</definedName>
    <definedName name="_5200_00" localSheetId="0">#REF!</definedName>
    <definedName name="_5200_00" localSheetId="2">#REF!</definedName>
    <definedName name="_5200_00">#REF!</definedName>
    <definedName name="_5200_01" localSheetId="0">#REF!</definedName>
    <definedName name="_5200_01" localSheetId="2">#REF!</definedName>
    <definedName name="_5200_01">#REF!</definedName>
    <definedName name="_5200_n" localSheetId="0">#REF!</definedName>
    <definedName name="_5200_n" localSheetId="2">#REF!</definedName>
    <definedName name="_5200_n">#REF!</definedName>
    <definedName name="_5203_00" localSheetId="0">#REF!</definedName>
    <definedName name="_5203_00" localSheetId="2">#REF!</definedName>
    <definedName name="_5203_00">#REF!</definedName>
    <definedName name="_5203_01" localSheetId="0">#REF!</definedName>
    <definedName name="_5203_01" localSheetId="2">#REF!</definedName>
    <definedName name="_5203_01">#REF!</definedName>
    <definedName name="_5203_n" localSheetId="0">#REF!</definedName>
    <definedName name="_5203_n" localSheetId="2">#REF!</definedName>
    <definedName name="_5203_n">#REF!</definedName>
    <definedName name="_5211_00" localSheetId="0">#REF!</definedName>
    <definedName name="_5211_00" localSheetId="2">#REF!</definedName>
    <definedName name="_5211_00">#REF!</definedName>
    <definedName name="_5211_01" localSheetId="0">#REF!</definedName>
    <definedName name="_5211_01" localSheetId="2">#REF!</definedName>
    <definedName name="_5211_01">#REF!</definedName>
    <definedName name="_5211_n" localSheetId="0">#REF!</definedName>
    <definedName name="_5211_n" localSheetId="2">#REF!</definedName>
    <definedName name="_5211_n">#REF!</definedName>
    <definedName name="_5215_00" localSheetId="0">#REF!</definedName>
    <definedName name="_5215_00" localSheetId="2">#REF!</definedName>
    <definedName name="_5215_00">#REF!</definedName>
    <definedName name="_5215_01" localSheetId="0">#REF!</definedName>
    <definedName name="_5215_01" localSheetId="2">#REF!</definedName>
    <definedName name="_5215_01">#REF!</definedName>
    <definedName name="_5215_n" localSheetId="0">#REF!</definedName>
    <definedName name="_5215_n" localSheetId="2">#REF!</definedName>
    <definedName name="_5215_n">#REF!</definedName>
    <definedName name="_5217_00" localSheetId="0">#REF!</definedName>
    <definedName name="_5217_00" localSheetId="2">#REF!</definedName>
    <definedName name="_5217_00">#REF!</definedName>
    <definedName name="_5217_01" localSheetId="0">#REF!</definedName>
    <definedName name="_5217_01" localSheetId="2">#REF!</definedName>
    <definedName name="_5217_01">#REF!</definedName>
    <definedName name="_5217_n" localSheetId="0">#REF!</definedName>
    <definedName name="_5217_n" localSheetId="2">#REF!</definedName>
    <definedName name="_5217_n">#REF!</definedName>
    <definedName name="_5223_00" localSheetId="0">#REF!</definedName>
    <definedName name="_5223_00" localSheetId="2">#REF!</definedName>
    <definedName name="_5223_00">#REF!</definedName>
    <definedName name="_5223_01" localSheetId="0">#REF!</definedName>
    <definedName name="_5223_01" localSheetId="2">#REF!</definedName>
    <definedName name="_5223_01">#REF!</definedName>
    <definedName name="_5223_n" localSheetId="0">#REF!</definedName>
    <definedName name="_5223_n" localSheetId="2">#REF!</definedName>
    <definedName name="_5223_n">#REF!</definedName>
    <definedName name="_5229_00" localSheetId="0">#REF!</definedName>
    <definedName name="_5229_00" localSheetId="2">#REF!</definedName>
    <definedName name="_5229_00">#REF!</definedName>
    <definedName name="_5229_01" localSheetId="0">#REF!</definedName>
    <definedName name="_5229_01" localSheetId="2">#REF!</definedName>
    <definedName name="_5229_01">#REF!</definedName>
    <definedName name="_5229_n" localSheetId="0">#REF!</definedName>
    <definedName name="_5229_n" localSheetId="2">#REF!</definedName>
    <definedName name="_5229_n">#REF!</definedName>
    <definedName name="_5302_00" localSheetId="0">#REF!</definedName>
    <definedName name="_5302_00" localSheetId="2">#REF!</definedName>
    <definedName name="_5302_00">#REF!</definedName>
    <definedName name="_5302_01" localSheetId="0">#REF!</definedName>
    <definedName name="_5302_01" localSheetId="2">#REF!</definedName>
    <definedName name="_5302_01">#REF!</definedName>
    <definedName name="_5302_n" localSheetId="0">#REF!</definedName>
    <definedName name="_5302_n" localSheetId="2">#REF!</definedName>
    <definedName name="_5302_n">#REF!</definedName>
    <definedName name="_5400_00" localSheetId="0">#REF!</definedName>
    <definedName name="_5400_00" localSheetId="2">#REF!</definedName>
    <definedName name="_5400_00">#REF!</definedName>
    <definedName name="_5400_01" localSheetId="0">#REF!</definedName>
    <definedName name="_5400_01" localSheetId="2">#REF!</definedName>
    <definedName name="_5400_01">#REF!</definedName>
    <definedName name="_5400_n" localSheetId="0">#REF!</definedName>
    <definedName name="_5400_n" localSheetId="2">#REF!</definedName>
    <definedName name="_5400_n">#REF!</definedName>
    <definedName name="_5450_00" localSheetId="0">#REF!</definedName>
    <definedName name="_5450_00" localSheetId="2">#REF!</definedName>
    <definedName name="_5450_00">#REF!</definedName>
    <definedName name="_5450_01" localSheetId="0">#REF!</definedName>
    <definedName name="_5450_01" localSheetId="2">#REF!</definedName>
    <definedName name="_5450_01">#REF!</definedName>
    <definedName name="_5450_n" localSheetId="0">#REF!</definedName>
    <definedName name="_5450_n" localSheetId="2">#REF!</definedName>
    <definedName name="_5450_n">#REF!</definedName>
    <definedName name="_5451_00" localSheetId="0">#REF!</definedName>
    <definedName name="_5451_00" localSheetId="2">#REF!</definedName>
    <definedName name="_5451_00">#REF!</definedName>
    <definedName name="_5451_01" localSheetId="0">#REF!</definedName>
    <definedName name="_5451_01" localSheetId="2">#REF!</definedName>
    <definedName name="_5451_01">#REF!</definedName>
    <definedName name="_5451_n" localSheetId="0">#REF!</definedName>
    <definedName name="_5451_n" localSheetId="2">#REF!</definedName>
    <definedName name="_5451_n">#REF!</definedName>
    <definedName name="_5452_00" localSheetId="0">#REF!</definedName>
    <definedName name="_5452_00" localSheetId="2">#REF!</definedName>
    <definedName name="_5452_00">#REF!</definedName>
    <definedName name="_5452_01" localSheetId="0">#REF!</definedName>
    <definedName name="_5452_01" localSheetId="2">#REF!</definedName>
    <definedName name="_5452_01">#REF!</definedName>
    <definedName name="_5452_n" localSheetId="0">#REF!</definedName>
    <definedName name="_5452_n" localSheetId="2">#REF!</definedName>
    <definedName name="_5452_n">#REF!</definedName>
    <definedName name="_5455_00" localSheetId="0">#REF!</definedName>
    <definedName name="_5455_00" localSheetId="2">#REF!</definedName>
    <definedName name="_5455_00">#REF!</definedName>
    <definedName name="_5455_01" localSheetId="0">#REF!</definedName>
    <definedName name="_5455_01" localSheetId="2">#REF!</definedName>
    <definedName name="_5455_01">#REF!</definedName>
    <definedName name="_5455_n" localSheetId="0">#REF!</definedName>
    <definedName name="_5455_n" localSheetId="2">#REF!</definedName>
    <definedName name="_5455_n">#REF!</definedName>
    <definedName name="_5456_00" localSheetId="0">#REF!</definedName>
    <definedName name="_5456_00" localSheetId="2">#REF!</definedName>
    <definedName name="_5456_00">#REF!</definedName>
    <definedName name="_5456_01" localSheetId="0">#REF!</definedName>
    <definedName name="_5456_01" localSheetId="2">#REF!</definedName>
    <definedName name="_5456_01">#REF!</definedName>
    <definedName name="_5456_n" localSheetId="0">#REF!</definedName>
    <definedName name="_5456_n" localSheetId="2">#REF!</definedName>
    <definedName name="_5456_n">#REF!</definedName>
    <definedName name="_5458_00" localSheetId="0">#REF!</definedName>
    <definedName name="_5458_00" localSheetId="2">#REF!</definedName>
    <definedName name="_5458_00">#REF!</definedName>
    <definedName name="_5458_01" localSheetId="0">#REF!</definedName>
    <definedName name="_5458_01" localSheetId="2">#REF!</definedName>
    <definedName name="_5458_01">#REF!</definedName>
    <definedName name="_5458_n" localSheetId="0">#REF!</definedName>
    <definedName name="_5458_n" localSheetId="2">#REF!</definedName>
    <definedName name="_5458_n">#REF!</definedName>
    <definedName name="_5459_00" localSheetId="0">#REF!</definedName>
    <definedName name="_5459_00" localSheetId="2">#REF!</definedName>
    <definedName name="_5459_00">#REF!</definedName>
    <definedName name="_5459_01" localSheetId="0">#REF!</definedName>
    <definedName name="_5459_01" localSheetId="2">#REF!</definedName>
    <definedName name="_5459_01">#REF!</definedName>
    <definedName name="_5459_n" localSheetId="0">#REF!</definedName>
    <definedName name="_5459_n" localSheetId="2">#REF!</definedName>
    <definedName name="_5459_n">#REF!</definedName>
    <definedName name="_5500" localSheetId="0">#REF!</definedName>
    <definedName name="_5500" localSheetId="2">#REF!</definedName>
    <definedName name="_5500">#REF!</definedName>
    <definedName name="_5500_00" localSheetId="0">#REF!</definedName>
    <definedName name="_5500_00" localSheetId="2">#REF!</definedName>
    <definedName name="_5500_00">#REF!</definedName>
    <definedName name="_5500_01" localSheetId="0">#REF!</definedName>
    <definedName name="_5500_01" localSheetId="2">#REF!</definedName>
    <definedName name="_5500_01">#REF!</definedName>
    <definedName name="_5510_00" localSheetId="0">#REF!</definedName>
    <definedName name="_5510_00" localSheetId="2">#REF!</definedName>
    <definedName name="_5510_00">#REF!</definedName>
    <definedName name="_5510_01" localSheetId="0">#REF!</definedName>
    <definedName name="_5510_01" localSheetId="2">#REF!</definedName>
    <definedName name="_5510_01">#REF!</definedName>
    <definedName name="_5510_n" localSheetId="0">#REF!</definedName>
    <definedName name="_5510_n" localSheetId="2">#REF!</definedName>
    <definedName name="_5510_n">#REF!</definedName>
    <definedName name="_5530_00" localSheetId="0">#REF!</definedName>
    <definedName name="_5530_00" localSheetId="2">#REF!</definedName>
    <definedName name="_5530_00">#REF!</definedName>
    <definedName name="_5530_01" localSheetId="0">#REF!</definedName>
    <definedName name="_5530_01" localSheetId="2">#REF!</definedName>
    <definedName name="_5530_01">#REF!</definedName>
    <definedName name="_5530_n" localSheetId="0">#REF!</definedName>
    <definedName name="_5530_n" localSheetId="2">#REF!</definedName>
    <definedName name="_5530_n">#REF!</definedName>
    <definedName name="_5600" localSheetId="0">#REF!</definedName>
    <definedName name="_5600" localSheetId="2">#REF!</definedName>
    <definedName name="_5600">#REF!</definedName>
    <definedName name="_5600_00" localSheetId="0">#REF!</definedName>
    <definedName name="_5600_00" localSheetId="2">#REF!</definedName>
    <definedName name="_5600_00">#REF!</definedName>
    <definedName name="_5600_01" localSheetId="0">#REF!</definedName>
    <definedName name="_5600_01" localSheetId="2">#REF!</definedName>
    <definedName name="_5600_01">#REF!</definedName>
    <definedName name="_5600_n" localSheetId="0">#REF!</definedName>
    <definedName name="_5600_n" localSheetId="2">#REF!</definedName>
    <definedName name="_5600_n">#REF!</definedName>
    <definedName name="_5601_00" localSheetId="0">#REF!</definedName>
    <definedName name="_5601_00" localSheetId="2">#REF!</definedName>
    <definedName name="_5601_00">#REF!</definedName>
    <definedName name="_5601_01" localSheetId="0">#REF!</definedName>
    <definedName name="_5601_01" localSheetId="2">#REF!</definedName>
    <definedName name="_5601_01">#REF!</definedName>
    <definedName name="_5601_n" localSheetId="0">#REF!</definedName>
    <definedName name="_5601_n" localSheetId="2">#REF!</definedName>
    <definedName name="_5601_n">#REF!</definedName>
    <definedName name="_5602_00" localSheetId="0">#REF!</definedName>
    <definedName name="_5602_00" localSheetId="2">#REF!</definedName>
    <definedName name="_5602_00">#REF!</definedName>
    <definedName name="_5602_01" localSheetId="0">#REF!</definedName>
    <definedName name="_5602_01" localSheetId="2">#REF!</definedName>
    <definedName name="_5602_01">#REF!</definedName>
    <definedName name="_5602_n" localSheetId="0">#REF!</definedName>
    <definedName name="_5602_n" localSheetId="2">#REF!</definedName>
    <definedName name="_5602_n">#REF!</definedName>
    <definedName name="_5603_00" localSheetId="0">#REF!</definedName>
    <definedName name="_5603_00" localSheetId="2">#REF!</definedName>
    <definedName name="_5603_00">#REF!</definedName>
    <definedName name="_5603_01" localSheetId="0">#REF!</definedName>
    <definedName name="_5603_01" localSheetId="2">#REF!</definedName>
    <definedName name="_5603_01">#REF!</definedName>
    <definedName name="_5603_n" localSheetId="0">#REF!</definedName>
    <definedName name="_5603_n" localSheetId="2">#REF!</definedName>
    <definedName name="_5603_n">#REF!</definedName>
    <definedName name="_5604_00" localSheetId="0">#REF!</definedName>
    <definedName name="_5604_00" localSheetId="2">#REF!</definedName>
    <definedName name="_5604_00">#REF!</definedName>
    <definedName name="_5604_01" localSheetId="0">#REF!</definedName>
    <definedName name="_5604_01" localSheetId="2">#REF!</definedName>
    <definedName name="_5604_01">#REF!</definedName>
    <definedName name="_5604_n" localSheetId="0">#REF!</definedName>
    <definedName name="_5604_n" localSheetId="2">#REF!</definedName>
    <definedName name="_5604_n">#REF!</definedName>
    <definedName name="_5607_00" localSheetId="0">#REF!</definedName>
    <definedName name="_5607_00" localSheetId="2">#REF!</definedName>
    <definedName name="_5607_00">#REF!</definedName>
    <definedName name="_5607_01" localSheetId="0">#REF!</definedName>
    <definedName name="_5607_01" localSheetId="2">#REF!</definedName>
    <definedName name="_5607_01">#REF!</definedName>
    <definedName name="_5607_n" localSheetId="0">#REF!</definedName>
    <definedName name="_5607_n" localSheetId="2">#REF!</definedName>
    <definedName name="_5607_n">#REF!</definedName>
    <definedName name="_5608_00" localSheetId="0">#REF!</definedName>
    <definedName name="_5608_00" localSheetId="2">#REF!</definedName>
    <definedName name="_5608_00">#REF!</definedName>
    <definedName name="_5608_01" localSheetId="0">#REF!</definedName>
    <definedName name="_5608_01" localSheetId="2">#REF!</definedName>
    <definedName name="_5608_01">#REF!</definedName>
    <definedName name="_5608_n" localSheetId="0">#REF!</definedName>
    <definedName name="_5608_n" localSheetId="2">#REF!</definedName>
    <definedName name="_5608_n">#REF!</definedName>
    <definedName name="_5700_00" localSheetId="0">#REF!</definedName>
    <definedName name="_5700_00" localSheetId="2">#REF!</definedName>
    <definedName name="_5700_00">#REF!</definedName>
    <definedName name="_5700_01" localSheetId="0">#REF!</definedName>
    <definedName name="_5700_01" localSheetId="2">#REF!</definedName>
    <definedName name="_5700_01">#REF!</definedName>
    <definedName name="_5700_n" localSheetId="0">#REF!</definedName>
    <definedName name="_5700_n" localSheetId="2">#REF!</definedName>
    <definedName name="_5700_n">#REF!</definedName>
    <definedName name="_5703_00" localSheetId="0">#REF!</definedName>
    <definedName name="_5703_00" localSheetId="2">#REF!</definedName>
    <definedName name="_5703_00">#REF!</definedName>
    <definedName name="_5703_01" localSheetId="0">#REF!</definedName>
    <definedName name="_5703_01" localSheetId="2">#REF!</definedName>
    <definedName name="_5703_01">#REF!</definedName>
    <definedName name="_5703_n" localSheetId="0">#REF!</definedName>
    <definedName name="_5703_n" localSheetId="2">#REF!</definedName>
    <definedName name="_5703_n">#REF!</definedName>
    <definedName name="_5720_00" localSheetId="0">#REF!</definedName>
    <definedName name="_5720_00" localSheetId="2">#REF!</definedName>
    <definedName name="_5720_00">#REF!</definedName>
    <definedName name="_5720_01" localSheetId="0">#REF!</definedName>
    <definedName name="_5720_01" localSheetId="2">#REF!</definedName>
    <definedName name="_5720_01">#REF!</definedName>
    <definedName name="_5720_n" localSheetId="0">#REF!</definedName>
    <definedName name="_5720_n" localSheetId="2">#REF!</definedName>
    <definedName name="_5720_n">#REF!</definedName>
    <definedName name="_5721_00" localSheetId="0">#REF!</definedName>
    <definedName name="_5721_00" localSheetId="2">#REF!</definedName>
    <definedName name="_5721_00">#REF!</definedName>
    <definedName name="_5721_01" localSheetId="0">#REF!</definedName>
    <definedName name="_5721_01" localSheetId="2">#REF!</definedName>
    <definedName name="_5721_01">#REF!</definedName>
    <definedName name="_5721_n" localSheetId="0">#REF!</definedName>
    <definedName name="_5721_n" localSheetId="2">#REF!</definedName>
    <definedName name="_5721_n">#REF!</definedName>
    <definedName name="_5722_00" localSheetId="0">#REF!</definedName>
    <definedName name="_5722_00" localSheetId="2">#REF!</definedName>
    <definedName name="_5722_00">#REF!</definedName>
    <definedName name="_5722_01" localSheetId="0">#REF!</definedName>
    <definedName name="_5722_01" localSheetId="2">#REF!</definedName>
    <definedName name="_5722_01">#REF!</definedName>
    <definedName name="_5722_n" localSheetId="0">#REF!</definedName>
    <definedName name="_5722_n" localSheetId="2">#REF!</definedName>
    <definedName name="_5722_n">#REF!</definedName>
    <definedName name="_5723_00" localSheetId="0">#REF!</definedName>
    <definedName name="_5723_00" localSheetId="2">#REF!</definedName>
    <definedName name="_5723_00">#REF!</definedName>
    <definedName name="_5723_01" localSheetId="0">#REF!</definedName>
    <definedName name="_5723_01" localSheetId="2">#REF!</definedName>
    <definedName name="_5723_01">#REF!</definedName>
    <definedName name="_5723_n" localSheetId="0">#REF!</definedName>
    <definedName name="_5723_n" localSheetId="2">#REF!</definedName>
    <definedName name="_5723_n">#REF!</definedName>
    <definedName name="_5724_00" localSheetId="0">#REF!</definedName>
    <definedName name="_5724_00" localSheetId="2">#REF!</definedName>
    <definedName name="_5724_00">#REF!</definedName>
    <definedName name="_5724_01" localSheetId="0">#REF!</definedName>
    <definedName name="_5724_01" localSheetId="2">#REF!</definedName>
    <definedName name="_5724_01">#REF!</definedName>
    <definedName name="_5724_n" localSheetId="0">#REF!</definedName>
    <definedName name="_5724_n" localSheetId="2">#REF!</definedName>
    <definedName name="_5724_n">#REF!</definedName>
    <definedName name="_5725_00" localSheetId="0">#REF!</definedName>
    <definedName name="_5725_00" localSheetId="2">#REF!</definedName>
    <definedName name="_5725_00">#REF!</definedName>
    <definedName name="_5725_01" localSheetId="0">#REF!</definedName>
    <definedName name="_5725_01" localSheetId="2">#REF!</definedName>
    <definedName name="_5725_01">#REF!</definedName>
    <definedName name="_5725_n" localSheetId="0">#REF!</definedName>
    <definedName name="_5725_n" localSheetId="2">#REF!</definedName>
    <definedName name="_5725_n">#REF!</definedName>
    <definedName name="_5726_00" localSheetId="0">#REF!</definedName>
    <definedName name="_5726_00" localSheetId="2">#REF!</definedName>
    <definedName name="_5726_00">#REF!</definedName>
    <definedName name="_5726_01" localSheetId="0">#REF!</definedName>
    <definedName name="_5726_01" localSheetId="2">#REF!</definedName>
    <definedName name="_5726_01">#REF!</definedName>
    <definedName name="_5726_n" localSheetId="0">#REF!</definedName>
    <definedName name="_5726_n" localSheetId="2">#REF!</definedName>
    <definedName name="_5726_n">#REF!</definedName>
    <definedName name="_5727_00" localSheetId="0">#REF!</definedName>
    <definedName name="_5727_00" localSheetId="2">#REF!</definedName>
    <definedName name="_5727_00">#REF!</definedName>
    <definedName name="_5727_01" localSheetId="0">#REF!</definedName>
    <definedName name="_5727_01" localSheetId="2">#REF!</definedName>
    <definedName name="_5727_01">#REF!</definedName>
    <definedName name="_5727_n" localSheetId="0">#REF!</definedName>
    <definedName name="_5727_n" localSheetId="2">#REF!</definedName>
    <definedName name="_5727_n">#REF!</definedName>
    <definedName name="_5728_00" localSheetId="0">#REF!</definedName>
    <definedName name="_5728_00" localSheetId="2">#REF!</definedName>
    <definedName name="_5728_00">#REF!</definedName>
    <definedName name="_5728_01" localSheetId="0">#REF!</definedName>
    <definedName name="_5728_01" localSheetId="2">#REF!</definedName>
    <definedName name="_5728_01">#REF!</definedName>
    <definedName name="_5728_n" localSheetId="0">#REF!</definedName>
    <definedName name="_5728_n" localSheetId="2">#REF!</definedName>
    <definedName name="_5728_n">#REF!</definedName>
    <definedName name="_5729_00" localSheetId="0">#REF!</definedName>
    <definedName name="_5729_00" localSheetId="2">#REF!</definedName>
    <definedName name="_5729_00">#REF!</definedName>
    <definedName name="_5729_01" localSheetId="0">#REF!</definedName>
    <definedName name="_5729_01" localSheetId="2">#REF!</definedName>
    <definedName name="_5729_01">#REF!</definedName>
    <definedName name="_5729_n" localSheetId="0">#REF!</definedName>
    <definedName name="_5729_n" localSheetId="2">#REF!</definedName>
    <definedName name="_5729_n">#REF!</definedName>
    <definedName name="_5740_00" localSheetId="0">#REF!</definedName>
    <definedName name="_5740_00" localSheetId="2">#REF!</definedName>
    <definedName name="_5740_00">#REF!</definedName>
    <definedName name="_5740_01" localSheetId="0">#REF!</definedName>
    <definedName name="_5740_01" localSheetId="2">#REF!</definedName>
    <definedName name="_5740_01">#REF!</definedName>
    <definedName name="_5740_n" localSheetId="0">#REF!</definedName>
    <definedName name="_5740_n" localSheetId="2">#REF!</definedName>
    <definedName name="_5740_n">#REF!</definedName>
    <definedName name="_5741_00" localSheetId="0">#REF!</definedName>
    <definedName name="_5741_00" localSheetId="2">#REF!</definedName>
    <definedName name="_5741_00">#REF!</definedName>
    <definedName name="_5741_01" localSheetId="0">#REF!</definedName>
    <definedName name="_5741_01" localSheetId="2">#REF!</definedName>
    <definedName name="_5741_01">#REF!</definedName>
    <definedName name="_5741_n" localSheetId="0">#REF!</definedName>
    <definedName name="_5741_n" localSheetId="2">#REF!</definedName>
    <definedName name="_5741_n">#REF!</definedName>
    <definedName name="_5742_00" localSheetId="0">#REF!</definedName>
    <definedName name="_5742_00" localSheetId="2">#REF!</definedName>
    <definedName name="_5742_00">#REF!</definedName>
    <definedName name="_5742_01" localSheetId="0">#REF!</definedName>
    <definedName name="_5742_01" localSheetId="2">#REF!</definedName>
    <definedName name="_5742_01">#REF!</definedName>
    <definedName name="_5742_n" localSheetId="0">#REF!</definedName>
    <definedName name="_5742_n" localSheetId="2">#REF!</definedName>
    <definedName name="_5742_n">#REF!</definedName>
    <definedName name="_5743_00" localSheetId="0">#REF!</definedName>
    <definedName name="_5743_00" localSheetId="2">#REF!</definedName>
    <definedName name="_5743_00">#REF!</definedName>
    <definedName name="_5743_01" localSheetId="0">#REF!</definedName>
    <definedName name="_5743_01" localSheetId="2">#REF!</definedName>
    <definedName name="_5743_01">#REF!</definedName>
    <definedName name="_5743_n" localSheetId="0">#REF!</definedName>
    <definedName name="_5743_n" localSheetId="2">#REF!</definedName>
    <definedName name="_5743_n">#REF!</definedName>
    <definedName name="_5744_00" localSheetId="0">#REF!</definedName>
    <definedName name="_5744_00" localSheetId="2">#REF!</definedName>
    <definedName name="_5744_00">#REF!</definedName>
    <definedName name="_5744_01" localSheetId="0">#REF!</definedName>
    <definedName name="_5744_01" localSheetId="2">#REF!</definedName>
    <definedName name="_5744_01">#REF!</definedName>
    <definedName name="_5744_n" localSheetId="0">#REF!</definedName>
    <definedName name="_5744_n" localSheetId="2">#REF!</definedName>
    <definedName name="_5744_n">#REF!</definedName>
    <definedName name="_5745_00" localSheetId="0">#REF!</definedName>
    <definedName name="_5745_00" localSheetId="2">#REF!</definedName>
    <definedName name="_5745_00">#REF!</definedName>
    <definedName name="_5745_01" localSheetId="0">#REF!</definedName>
    <definedName name="_5745_01" localSheetId="2">#REF!</definedName>
    <definedName name="_5745_01">#REF!</definedName>
    <definedName name="_5745_n" localSheetId="0">#REF!</definedName>
    <definedName name="_5745_n" localSheetId="2">#REF!</definedName>
    <definedName name="_5745_n">#REF!</definedName>
    <definedName name="_5746_00" localSheetId="0">#REF!</definedName>
    <definedName name="_5746_00" localSheetId="2">#REF!</definedName>
    <definedName name="_5746_00">#REF!</definedName>
    <definedName name="_5746_01" localSheetId="0">#REF!</definedName>
    <definedName name="_5746_01" localSheetId="2">#REF!</definedName>
    <definedName name="_5746_01">#REF!</definedName>
    <definedName name="_5746_n" localSheetId="0">#REF!</definedName>
    <definedName name="_5746_n" localSheetId="2">#REF!</definedName>
    <definedName name="_5746_n">#REF!</definedName>
    <definedName name="_5747_00" localSheetId="0">#REF!</definedName>
    <definedName name="_5747_00" localSheetId="2">#REF!</definedName>
    <definedName name="_5747_00">#REF!</definedName>
    <definedName name="_5747_01" localSheetId="0">#REF!</definedName>
    <definedName name="_5747_01" localSheetId="2">#REF!</definedName>
    <definedName name="_5747_01">#REF!</definedName>
    <definedName name="_5747_n" localSheetId="0">#REF!</definedName>
    <definedName name="_5747_n" localSheetId="2">#REF!</definedName>
    <definedName name="_5747_n">#REF!</definedName>
    <definedName name="_5748_00" localSheetId="0">#REF!</definedName>
    <definedName name="_5748_00" localSheetId="2">#REF!</definedName>
    <definedName name="_5748_00">#REF!</definedName>
    <definedName name="_5748_01" localSheetId="0">#REF!</definedName>
    <definedName name="_5748_01" localSheetId="2">#REF!</definedName>
    <definedName name="_5748_01">#REF!</definedName>
    <definedName name="_5748_n" localSheetId="0">#REF!</definedName>
    <definedName name="_5748_n" localSheetId="2">#REF!</definedName>
    <definedName name="_5748_n">#REF!</definedName>
    <definedName name="_5760_00" localSheetId="0">#REF!</definedName>
    <definedName name="_5760_00" localSheetId="2">#REF!</definedName>
    <definedName name="_5760_00">#REF!</definedName>
    <definedName name="_5760_01" localSheetId="0">#REF!</definedName>
    <definedName name="_5760_01" localSheetId="2">#REF!</definedName>
    <definedName name="_5760_01">#REF!</definedName>
    <definedName name="_5760_n" localSheetId="0">#REF!</definedName>
    <definedName name="_5760_n" localSheetId="2">#REF!</definedName>
    <definedName name="_5760_n">#REF!</definedName>
    <definedName name="_5761_00" localSheetId="0">#REF!</definedName>
    <definedName name="_5761_00" localSheetId="2">#REF!</definedName>
    <definedName name="_5761_00">#REF!</definedName>
    <definedName name="_5761_01" localSheetId="0">#REF!</definedName>
    <definedName name="_5761_01" localSheetId="2">#REF!</definedName>
    <definedName name="_5761_01">#REF!</definedName>
    <definedName name="_5761_n" localSheetId="0">#REF!</definedName>
    <definedName name="_5761_n" localSheetId="2">#REF!</definedName>
    <definedName name="_5761_n">#REF!</definedName>
    <definedName name="_5762_00" localSheetId="0">#REF!</definedName>
    <definedName name="_5762_00" localSheetId="2">#REF!</definedName>
    <definedName name="_5762_00">#REF!</definedName>
    <definedName name="_5762_01" localSheetId="0">#REF!</definedName>
    <definedName name="_5762_01" localSheetId="2">#REF!</definedName>
    <definedName name="_5762_01">#REF!</definedName>
    <definedName name="_5762_n" localSheetId="0">#REF!</definedName>
    <definedName name="_5762_n" localSheetId="2">#REF!</definedName>
    <definedName name="_5762_n">#REF!</definedName>
    <definedName name="_5763_00" localSheetId="0">#REF!</definedName>
    <definedName name="_5763_00" localSheetId="2">#REF!</definedName>
    <definedName name="_5763_00">#REF!</definedName>
    <definedName name="_5763_01" localSheetId="0">#REF!</definedName>
    <definedName name="_5763_01" localSheetId="2">#REF!</definedName>
    <definedName name="_5763_01">#REF!</definedName>
    <definedName name="_5763_n" localSheetId="0">#REF!</definedName>
    <definedName name="_5763_n" localSheetId="2">#REF!</definedName>
    <definedName name="_5763_n">#REF!</definedName>
    <definedName name="_5764_00" localSheetId="0">#REF!</definedName>
    <definedName name="_5764_00" localSheetId="2">#REF!</definedName>
    <definedName name="_5764_00">#REF!</definedName>
    <definedName name="_5764_01" localSheetId="0">#REF!</definedName>
    <definedName name="_5764_01" localSheetId="2">#REF!</definedName>
    <definedName name="_5764_01">#REF!</definedName>
    <definedName name="_5764_n" localSheetId="0">#REF!</definedName>
    <definedName name="_5764_n" localSheetId="2">#REF!</definedName>
    <definedName name="_5764_n">#REF!</definedName>
    <definedName name="_5765_00" localSheetId="0">#REF!</definedName>
    <definedName name="_5765_00" localSheetId="2">#REF!</definedName>
    <definedName name="_5765_00">#REF!</definedName>
    <definedName name="_5765_01" localSheetId="0">#REF!</definedName>
    <definedName name="_5765_01" localSheetId="2">#REF!</definedName>
    <definedName name="_5765_01">#REF!</definedName>
    <definedName name="_5765_n" localSheetId="0">#REF!</definedName>
    <definedName name="_5765_n" localSheetId="2">#REF!</definedName>
    <definedName name="_5765_n">#REF!</definedName>
    <definedName name="_5766_00" localSheetId="0">#REF!</definedName>
    <definedName name="_5766_00" localSheetId="2">#REF!</definedName>
    <definedName name="_5766_00">#REF!</definedName>
    <definedName name="_5766_01" localSheetId="0">#REF!</definedName>
    <definedName name="_5766_01" localSheetId="2">#REF!</definedName>
    <definedName name="_5766_01">#REF!</definedName>
    <definedName name="_5766_n" localSheetId="0">#REF!</definedName>
    <definedName name="_5766_n" localSheetId="2">#REF!</definedName>
    <definedName name="_5766_n">#REF!</definedName>
    <definedName name="_5768_00" localSheetId="0">#REF!</definedName>
    <definedName name="_5768_00" localSheetId="2">#REF!</definedName>
    <definedName name="_5768_00">#REF!</definedName>
    <definedName name="_5768_01" localSheetId="0">#REF!</definedName>
    <definedName name="_5768_01" localSheetId="2">#REF!</definedName>
    <definedName name="_5768_01">#REF!</definedName>
    <definedName name="_5768_n" localSheetId="0">#REF!</definedName>
    <definedName name="_5768_n" localSheetId="2">#REF!</definedName>
    <definedName name="_5768_n">#REF!</definedName>
    <definedName name="_5769_00" localSheetId="0">#REF!</definedName>
    <definedName name="_5769_00" localSheetId="2">#REF!</definedName>
    <definedName name="_5769_00">#REF!</definedName>
    <definedName name="_5769_01" localSheetId="0">#REF!</definedName>
    <definedName name="_5769_01" localSheetId="2">#REF!</definedName>
    <definedName name="_5769_01">#REF!</definedName>
    <definedName name="_5769_n" localSheetId="0">#REF!</definedName>
    <definedName name="_5769_n" localSheetId="2">#REF!</definedName>
    <definedName name="_5769_n">#REF!</definedName>
    <definedName name="_5780_00" localSheetId="0">#REF!</definedName>
    <definedName name="_5780_00" localSheetId="2">#REF!</definedName>
    <definedName name="_5780_00">#REF!</definedName>
    <definedName name="_5780_01" localSheetId="0">#REF!</definedName>
    <definedName name="_5780_01" localSheetId="2">#REF!</definedName>
    <definedName name="_5780_01">#REF!</definedName>
    <definedName name="_5780_n" localSheetId="0">#REF!</definedName>
    <definedName name="_5780_n" localSheetId="2">#REF!</definedName>
    <definedName name="_5780_n">#REF!</definedName>
    <definedName name="_5781_00" localSheetId="0">#REF!</definedName>
    <definedName name="_5781_00" localSheetId="2">#REF!</definedName>
    <definedName name="_5781_00">#REF!</definedName>
    <definedName name="_5781_01" localSheetId="0">#REF!</definedName>
    <definedName name="_5781_01" localSheetId="2">#REF!</definedName>
    <definedName name="_5781_01">#REF!</definedName>
    <definedName name="_5781_n" localSheetId="0">#REF!</definedName>
    <definedName name="_5781_n" localSheetId="2">#REF!</definedName>
    <definedName name="_5781_n">#REF!</definedName>
    <definedName name="_5782_00" localSheetId="0">#REF!</definedName>
    <definedName name="_5782_00" localSheetId="2">#REF!</definedName>
    <definedName name="_5782_00">#REF!</definedName>
    <definedName name="_5782_01" localSheetId="0">#REF!</definedName>
    <definedName name="_5782_01" localSheetId="2">#REF!</definedName>
    <definedName name="_5782_01">#REF!</definedName>
    <definedName name="_5782_n" localSheetId="0">#REF!</definedName>
    <definedName name="_5782_n" localSheetId="2">#REF!</definedName>
    <definedName name="_5782_n">#REF!</definedName>
    <definedName name="_5783_00" localSheetId="0">#REF!</definedName>
    <definedName name="_5783_00" localSheetId="2">#REF!</definedName>
    <definedName name="_5783_00">#REF!</definedName>
    <definedName name="_5783_01" localSheetId="0">#REF!</definedName>
    <definedName name="_5783_01" localSheetId="2">#REF!</definedName>
    <definedName name="_5783_01">#REF!</definedName>
    <definedName name="_5783_n" localSheetId="0">#REF!</definedName>
    <definedName name="_5783_n" localSheetId="2">#REF!</definedName>
    <definedName name="_5783_n">#REF!</definedName>
    <definedName name="_5787_00" localSheetId="0">#REF!</definedName>
    <definedName name="_5787_00" localSheetId="2">#REF!</definedName>
    <definedName name="_5787_00">#REF!</definedName>
    <definedName name="_5787_01" localSheetId="0">#REF!</definedName>
    <definedName name="_5787_01" localSheetId="2">#REF!</definedName>
    <definedName name="_5787_01">#REF!</definedName>
    <definedName name="_5787_n" localSheetId="0">#REF!</definedName>
    <definedName name="_5787_n" localSheetId="2">#REF!</definedName>
    <definedName name="_5787_n">#REF!</definedName>
    <definedName name="_5788_00" localSheetId="0">#REF!</definedName>
    <definedName name="_5788_00" localSheetId="2">#REF!</definedName>
    <definedName name="_5788_00">#REF!</definedName>
    <definedName name="_5788_01" localSheetId="0">#REF!</definedName>
    <definedName name="_5788_01" localSheetId="2">#REF!</definedName>
    <definedName name="_5788_01">#REF!</definedName>
    <definedName name="_5788_n" localSheetId="0">#REF!</definedName>
    <definedName name="_5788_n" localSheetId="2">#REF!</definedName>
    <definedName name="_5788_n">#REF!</definedName>
    <definedName name="_5800_00" localSheetId="0">#REF!</definedName>
    <definedName name="_5800_00" localSheetId="2">#REF!</definedName>
    <definedName name="_5800_00">#REF!</definedName>
    <definedName name="_5800_01" localSheetId="0">#REF!</definedName>
    <definedName name="_5800_01" localSheetId="2">#REF!</definedName>
    <definedName name="_5800_01">#REF!</definedName>
    <definedName name="_5800_n" localSheetId="0">#REF!</definedName>
    <definedName name="_5800_n" localSheetId="2">#REF!</definedName>
    <definedName name="_5800_n">#REF!</definedName>
    <definedName name="_5801_00" localSheetId="0">#REF!</definedName>
    <definedName name="_5801_00" localSheetId="2">#REF!</definedName>
    <definedName name="_5801_00">#REF!</definedName>
    <definedName name="_5801_01" localSheetId="0">#REF!</definedName>
    <definedName name="_5801_01" localSheetId="2">#REF!</definedName>
    <definedName name="_5801_01">#REF!</definedName>
    <definedName name="_5801_n" localSheetId="0">#REF!</definedName>
    <definedName name="_5801_n" localSheetId="2">#REF!</definedName>
    <definedName name="_5801_n">#REF!</definedName>
    <definedName name="_5802_00" localSheetId="0">#REF!</definedName>
    <definedName name="_5802_00" localSheetId="2">#REF!</definedName>
    <definedName name="_5802_00">#REF!</definedName>
    <definedName name="_5802_01" localSheetId="0">#REF!</definedName>
    <definedName name="_5802_01" localSheetId="2">#REF!</definedName>
    <definedName name="_5802_01">#REF!</definedName>
    <definedName name="_5802_n" localSheetId="0">#REF!</definedName>
    <definedName name="_5802_n" localSheetId="2">#REF!</definedName>
    <definedName name="_5802_n">#REF!</definedName>
    <definedName name="_5850_00" localSheetId="0">#REF!</definedName>
    <definedName name="_5850_00" localSheetId="2">#REF!</definedName>
    <definedName name="_5850_00">#REF!</definedName>
    <definedName name="_5850_01" localSheetId="0">#REF!</definedName>
    <definedName name="_5850_01" localSheetId="2">#REF!</definedName>
    <definedName name="_5850_01">#REF!</definedName>
    <definedName name="_5850_n" localSheetId="0">#REF!</definedName>
    <definedName name="_5850_n" localSheetId="2">#REF!</definedName>
    <definedName name="_5850_n">#REF!</definedName>
    <definedName name="_5852_00" localSheetId="0">#REF!</definedName>
    <definedName name="_5852_00" localSheetId="2">#REF!</definedName>
    <definedName name="_5852_00">#REF!</definedName>
    <definedName name="_5852_01" localSheetId="0">#REF!</definedName>
    <definedName name="_5852_01" localSheetId="2">#REF!</definedName>
    <definedName name="_5852_01">#REF!</definedName>
    <definedName name="_5852_n" localSheetId="0">#REF!</definedName>
    <definedName name="_5852_n" localSheetId="2">#REF!</definedName>
    <definedName name="_5852_n">#REF!</definedName>
    <definedName name="_5900_00" localSheetId="0">#REF!</definedName>
    <definedName name="_5900_00" localSheetId="2">#REF!</definedName>
    <definedName name="_5900_00">#REF!</definedName>
    <definedName name="_5900_01" localSheetId="0">#REF!</definedName>
    <definedName name="_5900_01" localSheetId="2">#REF!</definedName>
    <definedName name="_5900_01">#REF!</definedName>
    <definedName name="_5900_n" localSheetId="0">#REF!</definedName>
    <definedName name="_5900_n" localSheetId="2">#REF!</definedName>
    <definedName name="_5900_n">#REF!</definedName>
    <definedName name="_5920_00" localSheetId="0">#REF!</definedName>
    <definedName name="_5920_00" localSheetId="2">#REF!</definedName>
    <definedName name="_5920_00">#REF!</definedName>
    <definedName name="_5920_01" localSheetId="0">#REF!</definedName>
    <definedName name="_5920_01" localSheetId="2">#REF!</definedName>
    <definedName name="_5920_01">#REF!</definedName>
    <definedName name="_5920_n" localSheetId="0">#REF!</definedName>
    <definedName name="_5920_n" localSheetId="2">#REF!</definedName>
    <definedName name="_5920_n">#REF!</definedName>
    <definedName name="_5921_00" localSheetId="0">#REF!</definedName>
    <definedName name="_5921_00" localSheetId="2">#REF!</definedName>
    <definedName name="_5921_00">#REF!</definedName>
    <definedName name="_5921_01" localSheetId="0">#REF!</definedName>
    <definedName name="_5921_01" localSheetId="2">#REF!</definedName>
    <definedName name="_5921_01">#REF!</definedName>
    <definedName name="_5921_n" localSheetId="0">#REF!</definedName>
    <definedName name="_5921_n" localSheetId="2">#REF!</definedName>
    <definedName name="_5921_n">#REF!</definedName>
    <definedName name="_5922_00" localSheetId="0">#REF!</definedName>
    <definedName name="_5922_00" localSheetId="2">#REF!</definedName>
    <definedName name="_5922_00">#REF!</definedName>
    <definedName name="_5922_01" localSheetId="0">#REF!</definedName>
    <definedName name="_5922_01" localSheetId="2">#REF!</definedName>
    <definedName name="_5922_01">#REF!</definedName>
    <definedName name="_5922_n" localSheetId="0">#REF!</definedName>
    <definedName name="_5922_n" localSheetId="2">#REF!</definedName>
    <definedName name="_5922_n">#REF!</definedName>
    <definedName name="_5940_00" localSheetId="0">#REF!</definedName>
    <definedName name="_5940_00" localSheetId="2">#REF!</definedName>
    <definedName name="_5940_00">#REF!</definedName>
    <definedName name="_5940_01" localSheetId="0">#REF!</definedName>
    <definedName name="_5940_01" localSheetId="2">#REF!</definedName>
    <definedName name="_5940_01">#REF!</definedName>
    <definedName name="_5940_n" localSheetId="0">#REF!</definedName>
    <definedName name="_5940_n" localSheetId="2">#REF!</definedName>
    <definedName name="_5940_n">#REF!</definedName>
    <definedName name="_5942_00" localSheetId="0">#REF!</definedName>
    <definedName name="_5942_00" localSheetId="2">#REF!</definedName>
    <definedName name="_5942_00">#REF!</definedName>
    <definedName name="_5942_01" localSheetId="0">#REF!</definedName>
    <definedName name="_5942_01" localSheetId="2">#REF!</definedName>
    <definedName name="_5942_01">#REF!</definedName>
    <definedName name="_5942_n" localSheetId="0">#REF!</definedName>
    <definedName name="_5942_n" localSheetId="2">#REF!</definedName>
    <definedName name="_5942_n">#REF!</definedName>
    <definedName name="_5999_00" localSheetId="0">#REF!</definedName>
    <definedName name="_5999_00" localSheetId="2">#REF!</definedName>
    <definedName name="_5999_00">#REF!</definedName>
    <definedName name="_5999_01" localSheetId="0">#REF!</definedName>
    <definedName name="_5999_01" localSheetId="2">#REF!</definedName>
    <definedName name="_5999_01">#REF!</definedName>
    <definedName name="_5999_n" localSheetId="0">#REF!</definedName>
    <definedName name="_5999_n" localSheetId="2">#REF!</definedName>
    <definedName name="_5999_n">#REF!</definedName>
    <definedName name="_xlnm._FilterDatabase" localSheetId="0" hidden="1">Ф.1!$B$1:$D$157</definedName>
    <definedName name="capres" localSheetId="0">#REF!</definedName>
    <definedName name="capres" localSheetId="2">#REF!</definedName>
    <definedName name="capres">#REF!</definedName>
    <definedName name="equity" localSheetId="0">#REF!</definedName>
    <definedName name="equity" localSheetId="2">#REF!</definedName>
    <definedName name="equity">#REF!</definedName>
    <definedName name="footer" localSheetId="0">#REF!</definedName>
    <definedName name="footer" localSheetId="2">#REF!</definedName>
    <definedName name="footer">#REF!</definedName>
    <definedName name="NOTES" localSheetId="0">#REF!</definedName>
    <definedName name="NOTES" localSheetId="2">#REF!</definedName>
    <definedName name="NOTES">#REF!</definedName>
    <definedName name="t_4_b" localSheetId="0">'[2]B 1'!#REF!</definedName>
    <definedName name="t_4_b" localSheetId="2">'[2]B 1'!#REF!</definedName>
    <definedName name="t_4_b">'[2]B 1'!#REF!</definedName>
    <definedName name="t1c00" localSheetId="0">'[3]C 25'!#REF!</definedName>
    <definedName name="t1c00">'[3]C 25'!#REF!</definedName>
    <definedName name="t1c01" localSheetId="0">'[3]C 25'!#REF!</definedName>
    <definedName name="t1c01">'[3]C 25'!#REF!</definedName>
    <definedName name="t1d00" localSheetId="0">#REF!</definedName>
    <definedName name="t1d00" localSheetId="2">#REF!</definedName>
    <definedName name="t1d00">#REF!</definedName>
    <definedName name="t1d01" localSheetId="0">#REF!</definedName>
    <definedName name="t1d01" localSheetId="2">#REF!</definedName>
    <definedName name="t1d01">#REF!</definedName>
    <definedName name="t1e01" localSheetId="0">'[2]B 1'!#REF!</definedName>
    <definedName name="t1e01" localSheetId="2">'[2]B 1'!#REF!</definedName>
    <definedName name="t1e01">'[2]B 1'!#REF!</definedName>
    <definedName name="t2c00" localSheetId="0">'[3]C 25'!#REF!</definedName>
    <definedName name="t2c00">'[3]C 25'!#REF!</definedName>
    <definedName name="t2c01" localSheetId="0">'[3]C 25'!#REF!</definedName>
    <definedName name="t2c01">'[3]C 25'!#REF!</definedName>
    <definedName name="t2d00" localSheetId="0">#REF!</definedName>
    <definedName name="t2d00" localSheetId="2">#REF!</definedName>
    <definedName name="t2d00">#REF!</definedName>
    <definedName name="t2d01" localSheetId="0">#REF!</definedName>
    <definedName name="t2d01" localSheetId="2">#REF!</definedName>
    <definedName name="t2d01">#REF!</definedName>
    <definedName name="t4b" localSheetId="0">'[2]B 1'!#REF!</definedName>
    <definedName name="t4b" localSheetId="2">'[2]B 1'!#REF!</definedName>
    <definedName name="t4b">'[2]B 1'!#REF!</definedName>
    <definedName name="t4c00" localSheetId="0">'[3]C 25'!#REF!</definedName>
    <definedName name="t4c00">'[3]C 25'!#REF!</definedName>
    <definedName name="t4c01" localSheetId="0">'[3]C 25'!#REF!</definedName>
    <definedName name="t4c01">'[3]C 25'!#REF!</definedName>
    <definedName name="t4d00" localSheetId="0">#REF!</definedName>
    <definedName name="t4d00" localSheetId="2">#REF!</definedName>
    <definedName name="t4d00">#REF!</definedName>
    <definedName name="t4d01" localSheetId="0">#REF!</definedName>
    <definedName name="t4d01" localSheetId="2">#REF!</definedName>
    <definedName name="t4d01">#REF!</definedName>
    <definedName name="t5b" localSheetId="0">'[2]B 1'!#REF!</definedName>
    <definedName name="t5b" localSheetId="2">'[2]B 1'!#REF!</definedName>
    <definedName name="t5b">'[2]B 1'!#REF!</definedName>
    <definedName name="t5c00" localSheetId="0">'[3]C 25'!#REF!</definedName>
    <definedName name="t5c00">'[3]C 25'!#REF!</definedName>
    <definedName name="t5c01" localSheetId="0">'[3]C 25'!#REF!</definedName>
    <definedName name="t5c01">'[3]C 25'!#REF!</definedName>
    <definedName name="t5d00" localSheetId="0">#REF!</definedName>
    <definedName name="t5d00" localSheetId="2">#REF!</definedName>
    <definedName name="t5d00">#REF!</definedName>
    <definedName name="t5d01" localSheetId="0">#REF!</definedName>
    <definedName name="t5d01" localSheetId="2">#REF!</definedName>
    <definedName name="t5d01">#REF!</definedName>
    <definedName name="total_1" localSheetId="0">'[2]A 100'!#REF!</definedName>
    <definedName name="total_1" localSheetId="2">'[2]A 100'!#REF!</definedName>
    <definedName name="total_1">'[2]A 100'!#REF!</definedName>
    <definedName name="total1_00" localSheetId="0">'[2]A 100'!#REF!</definedName>
    <definedName name="total1_00">'[2]A 100'!#REF!</definedName>
    <definedName name="total2_00" localSheetId="0">'[2]A 100'!#REF!</definedName>
    <definedName name="total2_00">'[2]A 100'!#REF!</definedName>
    <definedName name="total3_00" localSheetId="0">'[2]A 100'!#REF!</definedName>
    <definedName name="total3_00">'[2]A 100'!#REF!</definedName>
    <definedName name="total4_00" localSheetId="0">#REF!</definedName>
    <definedName name="total4_00" localSheetId="2">#REF!</definedName>
    <definedName name="total4_00">#REF!</definedName>
    <definedName name="total4_01" localSheetId="0">#REF!</definedName>
    <definedName name="total4_01" localSheetId="2">#REF!</definedName>
    <definedName name="total4_01">#REF!</definedName>
    <definedName name="total5_00" localSheetId="0">#REF!</definedName>
    <definedName name="total5_00" localSheetId="2">#REF!</definedName>
    <definedName name="total5_00">#REF!</definedName>
    <definedName name="total5_01" localSheetId="0">#REF!</definedName>
    <definedName name="total5_01" localSheetId="2">#REF!</definedName>
    <definedName name="total5_01">#REF!</definedName>
    <definedName name="WIDTH" localSheetId="0">#REF!</definedName>
    <definedName name="WIDTH" localSheetId="2">#REF!</definedName>
    <definedName name="WIDTH">#REF!</definedName>
    <definedName name="Z_650DB8ED_FD03_48A1_AF5F_C6A17B786369_.wvu.Cols" localSheetId="3" hidden="1">Ф.4!#REF!,Ф.4!#REF!,Ф.4!#REF!</definedName>
    <definedName name="Z_650DB8ED_FD03_48A1_AF5F_C6A17B786369_.wvu.Rows" localSheetId="3" hidden="1">Ф.4!#REF!,Ф.4!$31:$33,Ф.4!#REF!</definedName>
    <definedName name="Z_E062E976_5C69_4170_B000_953CF0486F6B_.wvu.Cols" localSheetId="3" hidden="1">Ф.4!#REF!</definedName>
    <definedName name="Z_E062E976_5C69_4170_B000_953CF0486F6B_.wvu.Rows" localSheetId="3" hidden="1">Ф.4!#REF!,Ф.4!$57:$57,Ф.4!#REF!</definedName>
    <definedName name="ап" localSheetId="0">#REF!</definedName>
    <definedName name="ап" localSheetId="2">#REF!</definedName>
    <definedName name="ап">#REF!</definedName>
    <definedName name="_xlnm.Database" localSheetId="0">#REF!</definedName>
    <definedName name="_xlnm.Database" localSheetId="2">#REF!</definedName>
    <definedName name="_xlnm.Database">#REF!</definedName>
    <definedName name="Всего" localSheetId="0">#REF!</definedName>
    <definedName name="Всего" localSheetId="2">#REF!</definedName>
    <definedName name="Всего">#REF!</definedName>
    <definedName name="ГруппаКонцерна">'[4]перечень предприятий Группы'!$B$60:$B$76</definedName>
    <definedName name="е5р" localSheetId="0">'[5]B 1'!#REF!</definedName>
    <definedName name="е5р" localSheetId="2">'[5]B 1'!#REF!</definedName>
    <definedName name="е5р">'[5]B 1'!#REF!</definedName>
    <definedName name="Макрос1" localSheetId="0">#N/A</definedName>
    <definedName name="Макрос1" localSheetId="2">#N/A</definedName>
    <definedName name="Макрос1" localSheetId="3">#N/A</definedName>
    <definedName name="Макрос1">#N/A</definedName>
    <definedName name="_xlnm.Print_Area" localSheetId="0">Ф.1!$B$1:$D$68</definedName>
    <definedName name="_xlnm.Print_Area" localSheetId="1">Ф.2!$B$1:$D$88</definedName>
    <definedName name="_xlnm.Print_Area" localSheetId="2">Ф.3!$B$1:$D$79</definedName>
    <definedName name="_xlnm.Print_Area" localSheetId="3">Ф.4!$A$1:$I$66</definedName>
    <definedName name="_xlnm.Print_Area">[1]Лист3!#REF!</definedName>
    <definedName name="прил14_нов" localSheetId="0">#N/A</definedName>
    <definedName name="прил14_нов" localSheetId="2">#N/A</definedName>
    <definedName name="прил14_нов" localSheetId="3">#N/A</definedName>
    <definedName name="прил14_нов">#N/A</definedName>
    <definedName name="СТРОИТЕЛЬСТВО" localSheetId="0">#REF!</definedName>
    <definedName name="СТРОИТЕЛЬСТВО" localSheetId="2">#REF!</definedName>
    <definedName name="СТРОИТЕЛЬСТВО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8" i="2" l="1"/>
  <c r="C16" i="2"/>
  <c r="C39" i="1" l="1"/>
  <c r="C38" i="1"/>
  <c r="E21" i="4" l="1"/>
  <c r="C65" i="2"/>
  <c r="C53" i="4"/>
  <c r="B53" i="4"/>
  <c r="C52" i="4"/>
  <c r="B52" i="4"/>
  <c r="C51" i="4"/>
  <c r="B51" i="4"/>
  <c r="C50" i="4"/>
  <c r="B50" i="4"/>
  <c r="K48" i="4"/>
  <c r="F46" i="4"/>
  <c r="K44" i="4"/>
  <c r="E43" i="4"/>
  <c r="D43" i="4"/>
  <c r="E42" i="4"/>
  <c r="D42" i="4"/>
  <c r="E41" i="4"/>
  <c r="D41" i="4"/>
  <c r="E40" i="4"/>
  <c r="D40" i="4"/>
  <c r="K43" i="4"/>
  <c r="K42" i="4"/>
  <c r="K41" i="4"/>
  <c r="K40" i="4"/>
  <c r="H37" i="4"/>
  <c r="H35" i="4"/>
  <c r="F35" i="4"/>
  <c r="E35" i="4"/>
  <c r="D35" i="4"/>
  <c r="C35" i="4"/>
  <c r="B35" i="4"/>
  <c r="H31" i="4"/>
  <c r="D20" i="4"/>
  <c r="D19" i="4"/>
  <c r="D18" i="4"/>
  <c r="F28" i="4"/>
  <c r="H13" i="4"/>
  <c r="G13" i="4"/>
  <c r="F13" i="4"/>
  <c r="E13" i="4"/>
  <c r="D13" i="4"/>
  <c r="C13" i="4"/>
  <c r="B13" i="4"/>
  <c r="C67" i="3"/>
  <c r="D68" i="3"/>
  <c r="C68" i="3"/>
  <c r="D67" i="3"/>
  <c r="D66" i="3"/>
  <c r="C66" i="3"/>
  <c r="D62" i="3"/>
  <c r="C62" i="3"/>
  <c r="D61" i="3"/>
  <c r="C61" i="3"/>
  <c r="D60" i="3"/>
  <c r="C60" i="3"/>
  <c r="D59" i="3"/>
  <c r="C59" i="3"/>
  <c r="D58" i="3"/>
  <c r="C58" i="3"/>
  <c r="D57" i="3"/>
  <c r="C57" i="3"/>
  <c r="D56" i="3"/>
  <c r="C56" i="3"/>
  <c r="D52" i="3"/>
  <c r="C52" i="3"/>
  <c r="D51" i="3"/>
  <c r="C51" i="3"/>
  <c r="D50" i="3"/>
  <c r="C50" i="3"/>
  <c r="D49" i="3"/>
  <c r="C49" i="3"/>
  <c r="D48" i="3"/>
  <c r="C48" i="3"/>
  <c r="D47" i="3"/>
  <c r="C47" i="3"/>
  <c r="D46" i="3"/>
  <c r="C46" i="3"/>
  <c r="D45" i="3"/>
  <c r="C45" i="3"/>
  <c r="D44" i="3"/>
  <c r="C44" i="3"/>
  <c r="D40" i="3"/>
  <c r="C40" i="3"/>
  <c r="D38" i="3"/>
  <c r="C38" i="3"/>
  <c r="D37" i="3"/>
  <c r="C37" i="3"/>
  <c r="D36" i="3"/>
  <c r="C36" i="3"/>
  <c r="D35" i="3"/>
  <c r="C35" i="3"/>
  <c r="D32" i="3"/>
  <c r="C32" i="3"/>
  <c r="D31" i="3"/>
  <c r="C31" i="3"/>
  <c r="D30" i="3"/>
  <c r="C30" i="3"/>
  <c r="D29" i="3"/>
  <c r="C29" i="3"/>
  <c r="D26" i="3"/>
  <c r="C26" i="3"/>
  <c r="D25" i="3"/>
  <c r="C25" i="3"/>
  <c r="D24" i="3"/>
  <c r="C24" i="3"/>
  <c r="D23" i="3"/>
  <c r="C23" i="3"/>
  <c r="D22" i="3"/>
  <c r="C22" i="3"/>
  <c r="D21" i="3"/>
  <c r="C21" i="3"/>
  <c r="D20" i="3"/>
  <c r="C20" i="3"/>
  <c r="D19" i="3"/>
  <c r="C19" i="3"/>
  <c r="D18" i="3"/>
  <c r="C18" i="3"/>
  <c r="D17" i="3"/>
  <c r="C17" i="3"/>
  <c r="D16" i="3"/>
  <c r="C16" i="3"/>
  <c r="D15" i="3"/>
  <c r="C15" i="3"/>
  <c r="D69" i="2"/>
  <c r="D65" i="2"/>
  <c r="D64" i="2"/>
  <c r="C64" i="2"/>
  <c r="D63" i="2"/>
  <c r="C63" i="2"/>
  <c r="D62" i="2"/>
  <c r="C62" i="2"/>
  <c r="D52" i="2"/>
  <c r="C52" i="2"/>
  <c r="D50" i="2"/>
  <c r="C50" i="2"/>
  <c r="D48" i="2"/>
  <c r="C48" i="2"/>
  <c r="D47" i="2"/>
  <c r="C47" i="2"/>
  <c r="D46" i="2"/>
  <c r="C46" i="2"/>
  <c r="D45" i="2"/>
  <c r="C45" i="2"/>
  <c r="D43" i="2"/>
  <c r="C43" i="2"/>
  <c r="D42" i="2"/>
  <c r="C42" i="2"/>
  <c r="D41" i="2"/>
  <c r="C41" i="2"/>
  <c r="D40" i="2"/>
  <c r="C40" i="2"/>
  <c r="D39" i="2"/>
  <c r="C39" i="2"/>
  <c r="D38" i="2"/>
  <c r="C38" i="2"/>
  <c r="D37" i="2"/>
  <c r="C37" i="2"/>
  <c r="D35" i="2"/>
  <c r="C35" i="2"/>
  <c r="D34" i="2"/>
  <c r="C34" i="2"/>
  <c r="D32" i="2"/>
  <c r="C32" i="2"/>
  <c r="D31" i="2"/>
  <c r="C31" i="2"/>
  <c r="D29" i="2"/>
  <c r="C29" i="2"/>
  <c r="D28" i="2"/>
  <c r="C28" i="2"/>
  <c r="D26" i="2"/>
  <c r="C26" i="2"/>
  <c r="D25" i="2"/>
  <c r="C25" i="2"/>
  <c r="D23" i="2"/>
  <c r="C23" i="2"/>
  <c r="D22" i="2"/>
  <c r="C22" i="2"/>
  <c r="D20" i="2"/>
  <c r="C20" i="2"/>
  <c r="D18" i="2"/>
  <c r="D17" i="2"/>
  <c r="C17" i="2"/>
  <c r="D16" i="2"/>
  <c r="D42" i="1" l="1"/>
  <c r="C42" i="1"/>
  <c r="D41" i="1"/>
  <c r="C41" i="1"/>
  <c r="D40" i="1"/>
  <c r="C40" i="1"/>
  <c r="D39" i="1"/>
  <c r="D38" i="1"/>
  <c r="D37" i="1"/>
  <c r="C37" i="1"/>
  <c r="D36" i="1"/>
  <c r="C36" i="1"/>
  <c r="D35" i="1"/>
  <c r="C35" i="1"/>
  <c r="D34" i="1"/>
  <c r="C34" i="1"/>
  <c r="D33" i="1"/>
  <c r="C33" i="1"/>
  <c r="D32" i="1"/>
  <c r="C32" i="1"/>
  <c r="D51" i="1"/>
  <c r="C51" i="1"/>
  <c r="D50" i="1"/>
  <c r="C50" i="1"/>
  <c r="D49" i="1"/>
  <c r="C49" i="1"/>
  <c r="D48" i="1"/>
  <c r="C48" i="1"/>
  <c r="D47" i="1"/>
  <c r="C47" i="1"/>
  <c r="D46" i="1"/>
  <c r="C46" i="1"/>
  <c r="D45" i="1"/>
  <c r="C45" i="1"/>
  <c r="D29" i="1"/>
  <c r="C29" i="1"/>
  <c r="D28" i="1"/>
  <c r="C28" i="1"/>
  <c r="D27" i="1"/>
  <c r="D30" i="1" s="1"/>
  <c r="C27" i="1"/>
  <c r="D26" i="1"/>
  <c r="C26" i="1"/>
  <c r="D25" i="1"/>
  <c r="C25" i="1"/>
  <c r="D24" i="1"/>
  <c r="C24" i="1"/>
  <c r="D23" i="1"/>
  <c r="C23" i="1"/>
  <c r="D22" i="1"/>
  <c r="C22" i="1"/>
  <c r="D21" i="1"/>
  <c r="C21" i="1"/>
  <c r="D20" i="1"/>
  <c r="C20" i="1"/>
  <c r="D19" i="1"/>
  <c r="C19" i="1"/>
  <c r="D18" i="1"/>
  <c r="C18" i="1"/>
  <c r="D17" i="1"/>
  <c r="C17" i="1"/>
  <c r="D16" i="1"/>
  <c r="C16" i="1"/>
  <c r="L13" i="4"/>
  <c r="I13" i="4"/>
  <c r="B15" i="4"/>
  <c r="C15" i="4"/>
  <c r="D15" i="4"/>
  <c r="E15" i="4"/>
  <c r="F15" i="4"/>
  <c r="F26" i="4" s="1"/>
  <c r="I18" i="4"/>
  <c r="K18" i="4" s="1"/>
  <c r="I19" i="4"/>
  <c r="K19" i="4" s="1"/>
  <c r="I20" i="4"/>
  <c r="K20" i="4" s="1"/>
  <c r="I21" i="4"/>
  <c r="K21" i="4"/>
  <c r="B22" i="4"/>
  <c r="C22" i="4"/>
  <c r="E22" i="4"/>
  <c r="E26" i="4" s="1"/>
  <c r="E33" i="4" s="1"/>
  <c r="E68" i="4" s="1"/>
  <c r="F22" i="4"/>
  <c r="G22" i="4"/>
  <c r="H22" i="4"/>
  <c r="I23" i="4"/>
  <c r="I24" i="4"/>
  <c r="I25" i="4"/>
  <c r="C26" i="4"/>
  <c r="C33" i="4" s="1"/>
  <c r="C68" i="4" s="1"/>
  <c r="G26" i="4"/>
  <c r="G33" i="4" s="1"/>
  <c r="G68" i="4" s="1"/>
  <c r="B28" i="4"/>
  <c r="C28" i="4"/>
  <c r="D28" i="4"/>
  <c r="E28" i="4"/>
  <c r="H28" i="4"/>
  <c r="G28" i="4"/>
  <c r="B29" i="4"/>
  <c r="I29" i="4" s="1"/>
  <c r="C29" i="4"/>
  <c r="D29" i="4"/>
  <c r="E29" i="4"/>
  <c r="F29" i="4"/>
  <c r="G29" i="4"/>
  <c r="H29" i="4"/>
  <c r="B30" i="4"/>
  <c r="I30" i="4" s="1"/>
  <c r="C30" i="4"/>
  <c r="D30" i="4"/>
  <c r="E30" i="4"/>
  <c r="F30" i="4"/>
  <c r="G30" i="4"/>
  <c r="H30" i="4"/>
  <c r="B31" i="4"/>
  <c r="I31" i="4" s="1"/>
  <c r="C31" i="4"/>
  <c r="D31" i="4"/>
  <c r="E31" i="4"/>
  <c r="F31" i="4"/>
  <c r="G31" i="4"/>
  <c r="B32" i="4"/>
  <c r="C32" i="4"/>
  <c r="D32" i="4"/>
  <c r="E32" i="4"/>
  <c r="F32" i="4"/>
  <c r="G32" i="4"/>
  <c r="I35" i="4"/>
  <c r="A37" i="4"/>
  <c r="B37" i="4"/>
  <c r="C37" i="4"/>
  <c r="D37" i="4"/>
  <c r="E37" i="4"/>
  <c r="F37" i="4"/>
  <c r="G37" i="4"/>
  <c r="I37" i="4"/>
  <c r="I40" i="4"/>
  <c r="I41" i="4"/>
  <c r="I42" i="4"/>
  <c r="I43" i="4"/>
  <c r="B44" i="4"/>
  <c r="C44" i="4"/>
  <c r="D44" i="4"/>
  <c r="D48" i="4" s="1"/>
  <c r="D55" i="4" s="1"/>
  <c r="F44" i="4"/>
  <c r="G44" i="4"/>
  <c r="H44" i="4"/>
  <c r="H48" i="4" s="1"/>
  <c r="I46" i="4"/>
  <c r="K46" i="4" s="1"/>
  <c r="B47" i="4"/>
  <c r="B48" i="4" s="1"/>
  <c r="B55" i="4" s="1"/>
  <c r="C47" i="4"/>
  <c r="C48" i="4" s="1"/>
  <c r="D47" i="4"/>
  <c r="E47" i="4"/>
  <c r="F47" i="4"/>
  <c r="F48" i="4" s="1"/>
  <c r="F55" i="4" s="1"/>
  <c r="G47" i="4"/>
  <c r="G48" i="4" s="1"/>
  <c r="H47" i="4"/>
  <c r="F50" i="4"/>
  <c r="G50" i="4"/>
  <c r="I50" i="4" s="1"/>
  <c r="H50" i="4"/>
  <c r="H54" i="4" s="1"/>
  <c r="G51" i="4"/>
  <c r="C54" i="4"/>
  <c r="F51" i="4"/>
  <c r="H51" i="4"/>
  <c r="F52" i="4"/>
  <c r="I52" i="4" s="1"/>
  <c r="H52" i="4"/>
  <c r="I53" i="4"/>
  <c r="B54" i="4"/>
  <c r="D54" i="4"/>
  <c r="E54" i="4"/>
  <c r="F54" i="4"/>
  <c r="B67" i="4"/>
  <c r="C67" i="4"/>
  <c r="D67" i="4"/>
  <c r="E67" i="4"/>
  <c r="F67" i="4"/>
  <c r="G67" i="4"/>
  <c r="H67" i="4"/>
  <c r="C39" i="3"/>
  <c r="B22" i="3"/>
  <c r="B23" i="3"/>
  <c r="D39" i="3"/>
  <c r="D41" i="3" s="1"/>
  <c r="C53" i="3"/>
  <c r="D53" i="3"/>
  <c r="D63" i="3"/>
  <c r="C63" i="3"/>
  <c r="F68" i="3"/>
  <c r="C19" i="2"/>
  <c r="C21" i="2" s="1"/>
  <c r="D19" i="2"/>
  <c r="D21" i="2" s="1"/>
  <c r="B20" i="2"/>
  <c r="B21" i="2"/>
  <c r="C24" i="2"/>
  <c r="D24" i="2"/>
  <c r="C27" i="2"/>
  <c r="C30" i="2" s="1"/>
  <c r="D27" i="2"/>
  <c r="D30" i="2" s="1"/>
  <c r="C33" i="2"/>
  <c r="C36" i="2" s="1"/>
  <c r="D33" i="2"/>
  <c r="D36" i="2" s="1"/>
  <c r="B37" i="2"/>
  <c r="C44" i="2"/>
  <c r="D44" i="2"/>
  <c r="B39" i="2"/>
  <c r="B40" i="2"/>
  <c r="B41" i="2"/>
  <c r="B42" i="2"/>
  <c r="B43" i="2"/>
  <c r="C49" i="2"/>
  <c r="D49" i="2"/>
  <c r="B52" i="2"/>
  <c r="C66" i="2"/>
  <c r="D66" i="2"/>
  <c r="D70" i="2" s="1"/>
  <c r="D71" i="2" s="1"/>
  <c r="H64" i="2"/>
  <c r="H65" i="2"/>
  <c r="H66" i="2"/>
  <c r="B70" i="2"/>
  <c r="C76" i="2"/>
  <c r="D76" i="2"/>
  <c r="B78" i="2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C43" i="1"/>
  <c r="E32" i="1"/>
  <c r="E33" i="1"/>
  <c r="E34" i="1"/>
  <c r="E35" i="1"/>
  <c r="E36" i="1"/>
  <c r="E37" i="1"/>
  <c r="E38" i="1"/>
  <c r="E39" i="1"/>
  <c r="E40" i="1"/>
  <c r="E41" i="1"/>
  <c r="E42" i="1"/>
  <c r="D43" i="1"/>
  <c r="E43" i="1"/>
  <c r="E44" i="1"/>
  <c r="E45" i="1"/>
  <c r="C52" i="1"/>
  <c r="E46" i="1"/>
  <c r="E47" i="1"/>
  <c r="E48" i="1"/>
  <c r="E49" i="1"/>
  <c r="D52" i="1"/>
  <c r="E50" i="1"/>
  <c r="B51" i="1"/>
  <c r="E51" i="1"/>
  <c r="E52" i="1"/>
  <c r="E53" i="1"/>
  <c r="E54" i="1"/>
  <c r="E55" i="1"/>
  <c r="Q58" i="1"/>
  <c r="J59" i="1" s="1"/>
  <c r="P59" i="1"/>
  <c r="F33" i="4" l="1"/>
  <c r="F68" i="4" s="1"/>
  <c r="I67" i="4"/>
  <c r="B63" i="3"/>
  <c r="B53" i="3"/>
  <c r="C51" i="2"/>
  <c r="C53" i="2" s="1"/>
  <c r="K13" i="4"/>
  <c r="C30" i="1"/>
  <c r="G54" i="4"/>
  <c r="I54" i="4" s="1"/>
  <c r="H32" i="4"/>
  <c r="I32" i="4" s="1"/>
  <c r="I28" i="4"/>
  <c r="I44" i="4"/>
  <c r="C55" i="4"/>
  <c r="H55" i="4"/>
  <c r="A48" i="4"/>
  <c r="D22" i="4"/>
  <c r="I47" i="4"/>
  <c r="B26" i="4"/>
  <c r="B33" i="4" s="1"/>
  <c r="B68" i="4" s="1"/>
  <c r="I51" i="4"/>
  <c r="E44" i="4"/>
  <c r="C41" i="3"/>
  <c r="B41" i="3" s="1"/>
  <c r="B39" i="3"/>
  <c r="D65" i="3"/>
  <c r="D69" i="3" s="1"/>
  <c r="B61" i="2"/>
  <c r="B66" i="2"/>
  <c r="C70" i="2"/>
  <c r="C71" i="2" s="1"/>
  <c r="D51" i="2"/>
  <c r="D53" i="2" s="1"/>
  <c r="B45" i="2"/>
  <c r="B38" i="2"/>
  <c r="I64" i="2"/>
  <c r="D54" i="1"/>
  <c r="D55" i="1"/>
  <c r="H55" i="1" s="1"/>
  <c r="C55" i="1"/>
  <c r="C54" i="1"/>
  <c r="E48" i="4" l="1"/>
  <c r="E55" i="4" s="1"/>
  <c r="C65" i="3"/>
  <c r="C69" i="3" s="1"/>
  <c r="F69" i="3" s="1"/>
  <c r="D57" i="2"/>
  <c r="D72" i="2" s="1"/>
  <c r="D75" i="2" s="1"/>
  <c r="D77" i="2" s="1"/>
  <c r="K37" i="4"/>
  <c r="H15" i="4"/>
  <c r="K15" i="4" s="1"/>
  <c r="G55" i="1"/>
  <c r="I48" i="4"/>
  <c r="I55" i="4" s="1"/>
  <c r="D26" i="4"/>
  <c r="D33" i="4" s="1"/>
  <c r="D68" i="4" s="1"/>
  <c r="I22" i="4"/>
  <c r="G55" i="4"/>
  <c r="C57" i="2"/>
  <c r="B53" i="2"/>
  <c r="B56" i="2"/>
  <c r="B71" i="2"/>
  <c r="C72" i="2"/>
  <c r="B68" i="2"/>
  <c r="B51" i="2"/>
  <c r="B65" i="3" l="1"/>
  <c r="A15" i="4"/>
  <c r="H26" i="4"/>
  <c r="I15" i="4"/>
  <c r="I26" i="4" s="1"/>
  <c r="L15" i="4"/>
  <c r="K22" i="4"/>
  <c r="B74" i="2"/>
  <c r="B72" i="2"/>
  <c r="C75" i="2"/>
  <c r="C77" i="2" s="1"/>
  <c r="A26" i="4" l="1"/>
  <c r="H33" i="4"/>
  <c r="H68" i="4" s="1"/>
  <c r="I33" i="4"/>
  <c r="K26" i="4"/>
  <c r="B77" i="2"/>
  <c r="I68" i="4" l="1"/>
  <c r="K33" i="4"/>
  <c r="H53" i="2" l="1"/>
</calcChain>
</file>

<file path=xl/sharedStrings.xml><?xml version="1.0" encoding="utf-8"?>
<sst xmlns="http://schemas.openxmlformats.org/spreadsheetml/2006/main" count="432" uniqueCount="313">
  <si>
    <t>вн. 1752</t>
  </si>
  <si>
    <t>Исп.: Нагашыбаева А.Н.</t>
  </si>
  <si>
    <t>Салихова Н.М.</t>
  </si>
  <si>
    <t xml:space="preserve">Главный бухгалтер                                                        </t>
  </si>
  <si>
    <t>Қайып А.Т.</t>
  </si>
  <si>
    <t xml:space="preserve">Председатель Правления                                              </t>
  </si>
  <si>
    <t>Балансовая стоимость одной простой и одной привилигированной акции</t>
  </si>
  <si>
    <t xml:space="preserve"> тенге</t>
  </si>
  <si>
    <t xml:space="preserve"> составляет </t>
  </si>
  <si>
    <t xml:space="preserve">Балансовая стоимость одной простой акции по состоянию на </t>
  </si>
  <si>
    <t>В пз</t>
  </si>
  <si>
    <t>Балансовая стоимость одной простой акции по состоянию на 30.06.2020 составляет 1,837.19 тенге</t>
  </si>
  <si>
    <t>* неаудировано</t>
  </si>
  <si>
    <t>Всего обязательств и капитала</t>
  </si>
  <si>
    <t>CHECK</t>
  </si>
  <si>
    <t>Всего капитала</t>
  </si>
  <si>
    <t>Доля неконтролирующих акционеров</t>
  </si>
  <si>
    <t>Всего капитала, причитающегося акционерам Группы</t>
  </si>
  <si>
    <t>Нераспределенная прибыль</t>
  </si>
  <si>
    <t>corrected PY</t>
  </si>
  <si>
    <t>Резерв по обратному приобретению</t>
  </si>
  <si>
    <t xml:space="preserve">Накопленный резерв по переводу в валюту представления данных </t>
  </si>
  <si>
    <t>Резерв изменений справедливой стоимости</t>
  </si>
  <si>
    <t>Резерв по переоценке основных средств</t>
  </si>
  <si>
    <t>Дополнительный оплаченный капитал</t>
  </si>
  <si>
    <t>Акционерный капитал</t>
  </si>
  <si>
    <t>Капитал</t>
  </si>
  <si>
    <t>Всего обязательств</t>
  </si>
  <si>
    <t>Прочие обязательства</t>
  </si>
  <si>
    <t>Резервы по договорам страхования</t>
  </si>
  <si>
    <t>Обязательства по отложенному корпоративному подоходному налогу</t>
  </si>
  <si>
    <t>Обязательства по текущему корпоративному подоходному налогу</t>
  </si>
  <si>
    <t>Обязательства по аренде</t>
  </si>
  <si>
    <t>Субординированные долги</t>
  </si>
  <si>
    <t>Выпущенные долговые ценные бумаги</t>
  </si>
  <si>
    <t>Текущие счета и депозиты клиентов</t>
  </si>
  <si>
    <t>Производные финансовые обязательства</t>
  </si>
  <si>
    <t>Кредиторская задолженность по сделкам «репо»</t>
  </si>
  <si>
    <t>Средства банков и прочих финансовых институтов</t>
  </si>
  <si>
    <t>ОБЯЗАТЕЛЬСТВА</t>
  </si>
  <si>
    <t>Всего активов</t>
  </si>
  <si>
    <t>Прочие активы</t>
  </si>
  <si>
    <t>Активы по отложенному корпоративному подоходному налогу</t>
  </si>
  <si>
    <t>Активы по текущему корпоративному подоходному налогу</t>
  </si>
  <si>
    <t>Инвестиционная собственность</t>
  </si>
  <si>
    <t>Долгосрочные активы, предназначенные для продажи</t>
  </si>
  <si>
    <t>Основные средства и нематериальные активы</t>
  </si>
  <si>
    <t>Страховые премии и активы по перестрахованию</t>
  </si>
  <si>
    <t>Приобретенное право требования к Министерству Финансов Республики Казахстан 
 (МФРК) по векселю</t>
  </si>
  <si>
    <t>Кредиты, выданные клиентам</t>
  </si>
  <si>
    <t>Инвестиционные ценные бумаги</t>
  </si>
  <si>
    <t>Торговые ценные бумаги</t>
  </si>
  <si>
    <t>Средства в банках и прочих финансовых институтах</t>
  </si>
  <si>
    <t>Производные финансовые активы</t>
  </si>
  <si>
    <t xml:space="preserve">Денежные средства и их эквиваленты  </t>
  </si>
  <si>
    <t>АКТИВЫ</t>
  </si>
  <si>
    <t>Mapping</t>
  </si>
  <si>
    <t>31.12.2019г.</t>
  </si>
  <si>
    <t>АО "First Heartland Jýsan Bank" и его дочерние организации</t>
  </si>
  <si>
    <t xml:space="preserve">(консолидированный) </t>
  </si>
  <si>
    <t>ОТЧЕТ О ФИНАНСОВОМ ПОЛОЖЕНИИ</t>
  </si>
  <si>
    <t>по состоянию на 31 декабря 2020 года</t>
  </si>
  <si>
    <t>Место нахождения головного банка: г.Алматы, 
Медеуский район, проспект Назарбаева, дом 242.</t>
  </si>
  <si>
    <t>по состоянию на 30 сентября 2020 года</t>
  </si>
  <si>
    <t>ИИК KZ48125KZT1001300336 в НБ РК</t>
  </si>
  <si>
    <t>по состоянию на 30 июня 2020 года</t>
  </si>
  <si>
    <t>БИК TSESKZKA</t>
  </si>
  <si>
    <t>по состоянию на 31 марта 2020 года</t>
  </si>
  <si>
    <t>КОД ОКПО 19924793</t>
  </si>
  <si>
    <t>БИН 920140000084</t>
  </si>
  <si>
    <t>Базовый и разводненный (убыток) / доход на одну простую акцию (в тенге)</t>
  </si>
  <si>
    <t>Базовый и разводненный доход / (убыток) на одну простую акцию (в тенге)</t>
  </si>
  <si>
    <t>Базовая и разводненная прибыль на одну простую акцию (в тенге)</t>
  </si>
  <si>
    <t>Базовый и разводненный убыток на одну простую акцию (в тенге)</t>
  </si>
  <si>
    <t>Всего совокупного (убытка) / дохода за период</t>
  </si>
  <si>
    <t>Всего совокупного дохода / (убытка) за период</t>
  </si>
  <si>
    <t>Всего совокупного дохода за период</t>
  </si>
  <si>
    <t>Всего совокупного убытка за период</t>
  </si>
  <si>
    <t xml:space="preserve"> - неконтролирующим акционерам</t>
  </si>
  <si>
    <t xml:space="preserve"> - акционерам Банка</t>
  </si>
  <si>
    <t>Итого совокупный (убыток) / доход причитающийся:</t>
  </si>
  <si>
    <t>Итого совокупный доход / (убыток) причитающийся:</t>
  </si>
  <si>
    <t>Итого совокупный доход причитающийся:</t>
  </si>
  <si>
    <t>Итого совокупный убыток причитающийся:</t>
  </si>
  <si>
    <t>Общий совокупный (убыток) / прибыль доход за период</t>
  </si>
  <si>
    <t>Общий совокупный доход / (убыток) за период</t>
  </si>
  <si>
    <t>Общий совокупный доход за период</t>
  </si>
  <si>
    <t>Общий совокупный убыток за период</t>
  </si>
  <si>
    <t>Прочий совокупный (убыток) / доход за период</t>
  </si>
  <si>
    <t>Прочий совокупный доход / (убыток) доход за период</t>
  </si>
  <si>
    <t>Прочий совокупный доход за период</t>
  </si>
  <si>
    <t>Прочий совокупный убыток за период</t>
  </si>
  <si>
    <t>Всего статей прочего совокупного (убытка)/дохода, не подлежащих реклассификации в состав 
 прибыли или убытка в последующих периодах</t>
  </si>
  <si>
    <t>Всего статей прочего совокупного дохода/(убытка), не подлежащих реклассификации в состав 
 прибыли или убытка в последующих периодах</t>
  </si>
  <si>
    <t>Всего статей прочего совокупного дохода, не подлежащих реклассификации в состав 
 прибыли или убытка в последующих периодах</t>
  </si>
  <si>
    <t>Всего статей прочего совокупного убытка, не подлежащих реклассификации в состав 
 прибыли или убытка в последующих периодах</t>
  </si>
  <si>
    <t>Резерв переоценки основных средств, за вычетом подоходного налога</t>
  </si>
  <si>
    <t>Прочий совокупный (убыток)/доход, не подлежащий реклассификации в состав прибыли или убытка 
 в последующих периодах:</t>
  </si>
  <si>
    <t>Прочий совокупный доход/(убыток), не подлежащий реклассификации в состав прибыли или убытка 
 в последующих периодах:</t>
  </si>
  <si>
    <t>Прочий совокупный доход, не подлежащий реклассификации в состав прибыли или убытка 
 в последующих периодах:</t>
  </si>
  <si>
    <t>Прочий совокупный убыток, не подлежащий реклассификации в состав прибыли или убытка 
 в последующих периодах:</t>
  </si>
  <si>
    <t>Всего статей прочего совокупного (убытка)/дохода, которые были или могут быть впоследствии 
 реклассифицированы в состав прибыли или убытка</t>
  </si>
  <si>
    <t>Всего статей прочего совокупного дохода/(убытка), которые были или могут быть впоследствии 
 реклассифицированы в состав прибыли или убытка</t>
  </si>
  <si>
    <t>Всего статей прочего совокупного дохода, которые были или могут быть впоследствии 
 реклассифицированы в состав прибыли или убытка</t>
  </si>
  <si>
    <t>Всего статей прочего совокупного убытка, которые были или могут быть впоследствии 
 реклассифицированы в состав прибыли или убытка</t>
  </si>
  <si>
    <t>Курсовые разницы, возникающие при пересчете показателей иностранных дочерних компаний</t>
  </si>
  <si>
    <t>Сумма, реклассифицированная в состав прибыли или убытка в результате прекращения признания 
 инвестиционных ценных бумаг, оцениваемых по справедливой стоимости через прочий совокупный доход</t>
  </si>
  <si>
    <t xml:space="preserve">Изменение оценочного резерва под ожидаемые кредитные убытки по долговым инструментам, 
 оцениваемым по справедливой стоимости через прочий совокупный доход </t>
  </si>
  <si>
    <t>Чистая величина изменения справедливой стоимости долговых инструментов, оцениваемых
  по справедливой стоимости через прочий совокупный доход</t>
  </si>
  <si>
    <t>Прочий совокупный (убыток)/доход, подлежащий реклассификации в состав прибыли или 
 убытка в последующих периодах</t>
  </si>
  <si>
    <t>Прочий совокупный доход/(убыток), подлежащий реклассификации в состав прибыли или 
 убытка в последующих периодах</t>
  </si>
  <si>
    <t>Прочий совокупный доход, подлежащий реклассификации в состав прибыли или 
 убытка в последующих периодах</t>
  </si>
  <si>
    <t>Прочий совокупный убыток, подлежащий реклассификации в состав прибыли или 
 убытка в последующих периодах</t>
  </si>
  <si>
    <t>Прочий совокупный доход:</t>
  </si>
  <si>
    <t>(Убыток) причитающийся/прибыль причитающаяся:</t>
  </si>
  <si>
    <t>Прибыль причитающаяся / (убыток) причитающийся:</t>
  </si>
  <si>
    <t>Прибыль причитающаяся</t>
  </si>
  <si>
    <t>Убыток причитающийся:</t>
  </si>
  <si>
    <t>(Убыток) / прибыль за период</t>
  </si>
  <si>
    <t>Прибыль / (убыток) за период</t>
  </si>
  <si>
    <t>Прибыль за период</t>
  </si>
  <si>
    <t>Убыток за период</t>
  </si>
  <si>
    <t>Ф4</t>
  </si>
  <si>
    <t>(Расходы) / экономия по корпоративному подоходному налогу</t>
  </si>
  <si>
    <t>Экономия / (расходы) по корпоративному подоходному налогу</t>
  </si>
  <si>
    <t>Экономия по корпоративному подоходному налогу</t>
  </si>
  <si>
    <t>Расходы по корпоративному подоходному налогу</t>
  </si>
  <si>
    <t>(Убыток)/прибыль до налогообложения</t>
  </si>
  <si>
    <t>Прибыль / (убыток) до налогообложения</t>
  </si>
  <si>
    <t>Прибыль до налогообложения</t>
  </si>
  <si>
    <t>Убыток до налогообложения</t>
  </si>
  <si>
    <t>Доход от обратного приобретения</t>
  </si>
  <si>
    <t xml:space="preserve">Прочие операционные расходы </t>
  </si>
  <si>
    <t>Прочие общие и административные расходы</t>
  </si>
  <si>
    <t xml:space="preserve">Расходы на персонал </t>
  </si>
  <si>
    <t>Доходы от восстановления резервов</t>
  </si>
  <si>
    <t>Убытки от обесценения</t>
  </si>
  <si>
    <t>(Расходы) / доходы от переоценки основных средств и нематериальных активов</t>
  </si>
  <si>
    <t>Доходы / (расходы) от переоценки основных средств и нематериальных активов</t>
  </si>
  <si>
    <t>Доходы от переоценки основных средств и нематериальных активов</t>
  </si>
  <si>
    <t>Расходы от переоценки основных средств и нематериальных активов</t>
  </si>
  <si>
    <t>Доходы по операциям с производными финансовыми инструментами</t>
  </si>
  <si>
    <t>Прочие операционные доходы</t>
  </si>
  <si>
    <t>Прочие (расходы) / доходы</t>
  </si>
  <si>
    <t>Прочие доходы / (расходы)</t>
  </si>
  <si>
    <t>Прочие доходы</t>
  </si>
  <si>
    <t>Прочие расходы</t>
  </si>
  <si>
    <t>Чистый (убыток) / прибыль  от операций с иностранной валютой</t>
  </si>
  <si>
    <t>Чистая прибыль / (убыток) от операций с иностранной валютой</t>
  </si>
  <si>
    <t>Чистая прибыль от операций с иностранной валютой</t>
  </si>
  <si>
    <t>Чистый убыток от операций с иностранной валютой</t>
  </si>
  <si>
    <t>Чистый (расход )/ доход в результате прекращения признания инвестиционных ценных бумаг,
  оцениваемых по справедливой стоимости через прочий совокупный доход</t>
  </si>
  <si>
    <t>Чистый доход / (расход) в результате прекращения признания инвестиционных ценных бумаг,
  оцениваемых по справедливой стоимости через прочий совокупный доход</t>
  </si>
  <si>
    <t>Чистый доход в результате прекращения признания инвестиционных ценных бумаг,
  оцениваемых по справедливой стоимости через прочий совокупный доход</t>
  </si>
  <si>
    <t>Чистый расход в результате прекращения признания инвестиционных ценных бумаг,
  оцениваемых по справедливой стоимости через прочий совокупный доход</t>
  </si>
  <si>
    <t>Чистый (расход) / доход по операциям с торговыми ценными бумагами</t>
  </si>
  <si>
    <t>Чистый доход / (расход) по операциям с торговыми ценными бумагами</t>
  </si>
  <si>
    <t>Чистый доход по операциям с торговыми ценными бумагами</t>
  </si>
  <si>
    <t>Чистый убыток по операциям с торговыми ценными бумагами</t>
  </si>
  <si>
    <t>Чистый (расход) / доход от изменения справедливой стоимости кредитов, выданных клиентам,
  оцениваемым по справедливой стоимости через прочий совокупный доход</t>
  </si>
  <si>
    <t>Чистый доход / (расход) от изменения справедливой стоимости кредитов, выданных клиентам,
  оцениваемым по справедливой стоимости через прочий совокупный доход</t>
  </si>
  <si>
    <t>Чистый доход от изменения справедливой стоимости кредитов, выданных клиентам,
  оцениваемым по справедливой стоимости через прочий совокупный доход</t>
  </si>
  <si>
    <t>Чистый убыток от изменения справедливой стоимости кредитов, выданных клиентам,
  оцениваемым по справедливой стоимости через прочий совокупный доход</t>
  </si>
  <si>
    <t>Чистый (расход) / доход от изменения справедливой стоимости кредитов, выданных клиентам,
  оцениваемым по справедливой стоимости через прибыль или убыток</t>
  </si>
  <si>
    <t>Чистый доход / (расход) от изменения справедливой стоимости кредитов, выданных клиентам,
  оцениваемым по справедливой стоимости через прибыль или убыток</t>
  </si>
  <si>
    <t>Чистый доход от изменения справедливой стоимости кредитов, выданных клиентам,
  оцениваемым по справедливой стоимости через прибыль или убыток</t>
  </si>
  <si>
    <t>Чистый убыток от изменения справедливой стоимости кредитов, выданных клиентам,
  оцениваемым по справедливой стоимости через прибыль или убыток</t>
  </si>
  <si>
    <t>(Расходы) / доходы по операциям с производными финансовыми инструментами</t>
  </si>
  <si>
    <t>Доходы/(расходы) по операциям с производными финансовыми инструментами</t>
  </si>
  <si>
    <t>Расходы по операциям с производными финансовыми инструментами</t>
  </si>
  <si>
    <t>(убыток) прибыль</t>
  </si>
  <si>
    <t>прибыль (убыток)</t>
  </si>
  <si>
    <t>прибыль</t>
  </si>
  <si>
    <t xml:space="preserve"> убыток </t>
  </si>
  <si>
    <t>Страховые претензии начисленные, нетто</t>
  </si>
  <si>
    <t>Изменения доли перестраховщиков в резервах по договорам страхования</t>
  </si>
  <si>
    <t>Изменение в брутто резервах по договорам страхования</t>
  </si>
  <si>
    <t>Страховые претензии начисленные, за вычетом перестрахования</t>
  </si>
  <si>
    <t>Доля перестраховщиков в начисленных страховых претензиях</t>
  </si>
  <si>
    <t>Страховые претензии начисленные</t>
  </si>
  <si>
    <t>Заработанные страховые премии, нетто</t>
  </si>
  <si>
    <t xml:space="preserve">Доля перестраховщиков в изменении брутто резерва по незаработанным премиям </t>
  </si>
  <si>
    <t>Изменение в резерве по незаработанным премиям, брутто</t>
  </si>
  <si>
    <t>Начисленные страховые премии, нетто</t>
  </si>
  <si>
    <t>Страховые премии, переданные перестраховщикам</t>
  </si>
  <si>
    <t>Начисленные страховые премии, брутто</t>
  </si>
  <si>
    <t>Чистый  комиссионный доход</t>
  </si>
  <si>
    <t>Комиссионные расходы</t>
  </si>
  <si>
    <t>Комиссионные доходы</t>
  </si>
  <si>
    <t>Чистый процентный доход после (расходов) / доходов по кредитным убыткам</t>
  </si>
  <si>
    <t>Чистый процентный доход после доходов / (расходов) по кредитным убыткам</t>
  </si>
  <si>
    <t>Чистый процентный доход после доходов по кредитным убыткам</t>
  </si>
  <si>
    <t>Чистый процентный доход после расходов по кредитным убыткам</t>
  </si>
  <si>
    <t>(Расходы) / доходы по кредитным убыткам</t>
  </si>
  <si>
    <t>Доходы / (расходы) по кредитным убыткам</t>
  </si>
  <si>
    <t>Доходы по кредитным убыткам</t>
  </si>
  <si>
    <t>Расходы по кредитным убыткам</t>
  </si>
  <si>
    <t xml:space="preserve">Чистый процентный доход </t>
  </si>
  <si>
    <t>Процентные расходы</t>
  </si>
  <si>
    <t>Прочие процентные доходы</t>
  </si>
  <si>
    <t xml:space="preserve">Процентные доходы, расcчитанные с использованием метода эффективной процентной ставки </t>
  </si>
  <si>
    <t>ОТЧЕТ О ПРИБЫЛИ ИЛИ УБЫТКЕ И ПРОЧЕМ СОВОКУПНОМ ДОХОДЕ</t>
  </si>
  <si>
    <t>Исп: Нагашыбаева А.Н.</t>
  </si>
  <si>
    <t xml:space="preserve">                                                                     </t>
  </si>
  <si>
    <t>Денежные средства и их эквиваленты, на конец отчетного периода</t>
  </si>
  <si>
    <t>Денежные средства и их эквиваленты, на начало отчетного периода</t>
  </si>
  <si>
    <t>Влияние ожидаемых кредитных убытков на денежные средства и их эквиваленты</t>
  </si>
  <si>
    <t>Влияние изменения курсов обмена на денежные средства и их эквиваленты</t>
  </si>
  <si>
    <t>Чистое (уменьшение) / увеличение денежных средств и их эквивалентов</t>
  </si>
  <si>
    <t>Чистое увеличение / (уменьшение) денежных средств и их эквивалентов</t>
  </si>
  <si>
    <t>Чистое увеличение денежных средств и их эквивалентов</t>
  </si>
  <si>
    <t>Чистое уменьшение денежных средств и их эквивалентов</t>
  </si>
  <si>
    <t>Чистое (использование) / поступление денежных средств (в) / от финансовой деятельности</t>
  </si>
  <si>
    <t>Чистое поступление / (использование) денежных средств от / (в) финансовой деятельности</t>
  </si>
  <si>
    <t>Чистое поступление денежных средств от финансовой деятельности</t>
  </si>
  <si>
    <t>Чистое использование денежных средств в финансовой деятельности</t>
  </si>
  <si>
    <t>Дивиденды выплаченные акционеру Группы</t>
  </si>
  <si>
    <t xml:space="preserve">Выкуп собственных простых акций </t>
  </si>
  <si>
    <t>Поступления от выпуска акционерного капитала</t>
  </si>
  <si>
    <t>Погашение обязательств по аренде</t>
  </si>
  <si>
    <t>Погашение выпущенных долговых ценных бумаг</t>
  </si>
  <si>
    <t>Размещение субординированного долга</t>
  </si>
  <si>
    <t>Погашение субординированного долга</t>
  </si>
  <si>
    <t>ДВИЖЕНИЕ ДЕНЕЖНЫХ СРЕДСТВ ОТ ФИНАНСОВОЙ ДЕЯТЕЛЬНОСТИ</t>
  </si>
  <si>
    <t>Чистое (использование) / поступление денежных средств (в) / от инвестиционной деятельности</t>
  </si>
  <si>
    <t>Чистое поступление / (использование) денежных средств от / (в) инвестиционной деятельности</t>
  </si>
  <si>
    <t>Чистое поступление денежных средств от инвестиционной деятельности</t>
  </si>
  <si>
    <t>Чистое использование денежных средств в инвестиционной деятельности</t>
  </si>
  <si>
    <t>Поступления от продажи основных средств и инвестиционной собственности</t>
  </si>
  <si>
    <t xml:space="preserve">Приобретение основных средств и нематериальных активов </t>
  </si>
  <si>
    <t>Поступления от продажи долгосрочных активов, предназначенных для продажи</t>
  </si>
  <si>
    <t>Приобретенное право требования к МФРК по векселю</t>
  </si>
  <si>
    <t>Продажа и погашение инвестиционных ценных бумаг, оцениваемых по справедливой стоимости 
 через прочий совокупный доход</t>
  </si>
  <si>
    <t>Приобретение инвестиционных ценных бумаг, оцениваемых по справедливой стоимости
 через прочий совокупный доход</t>
  </si>
  <si>
    <t>Погашение инвестиционных ценных бумаг, оцениваемых по амортизированной стоимости</t>
  </si>
  <si>
    <t>Приобретение инвестиционных ценных бумаг, оцениваемых по амортизированной стоимости</t>
  </si>
  <si>
    <t>Денежные средства и их эквиваленты, приобретенные вследствие объединения бизнесов</t>
  </si>
  <si>
    <t>ДВИЖЕНИЕ ДЕНЕЖНЫХ СРЕДСТВ ОТ ИНВЕСТИЦИОННОЙ ДЕЯТЕЛЬНОСТИ</t>
  </si>
  <si>
    <t>Чистое (использование) / поступление денежных средств (в) / от операционной деятельности</t>
  </si>
  <si>
    <t>Чистое поступление / (использование) денежных средств от / (в) операционной деятельности</t>
  </si>
  <si>
    <t>Чистое поступление денежных средств от операционной деятельности</t>
  </si>
  <si>
    <t>Чистое использование денежных средств в операционной деятельности</t>
  </si>
  <si>
    <t>Корпоративный подоходный налог уплаченный</t>
  </si>
  <si>
    <t>Чистое (использование) / поступление денежных средств (в) / от операционной 
 деятельности до уплаты корпоративного подоходного налога</t>
  </si>
  <si>
    <t>Чистое поступление / (использование) денежных средств от / (в) операционной 
 деятельности до уплаты корпоративного подоходного налога</t>
  </si>
  <si>
    <t>Чистое поступление денежных средств от операционной 
 деятельности до уплаты корпоративного подоходного налога</t>
  </si>
  <si>
    <t>Чистое использование денежных средств в операционной 
 деятельности до уплаты корпоративного подоходного налога</t>
  </si>
  <si>
    <t xml:space="preserve">Прочие обязательства </t>
  </si>
  <si>
    <t xml:space="preserve">Текущие счета и депозиты клиентов </t>
  </si>
  <si>
    <t>Чистое (уменьшение) / увеличение операционных обязательств</t>
  </si>
  <si>
    <t>Чистое (увеличение) / уменьшение операционных активов</t>
  </si>
  <si>
    <t>Расходы на персонал и прочие общие и административные расходы выплаченные</t>
  </si>
  <si>
    <t>Поступления по прочим доходам</t>
  </si>
  <si>
    <t>Чистые (выплаты) / поступления по операциям с иностранной валютой</t>
  </si>
  <si>
    <t>Чистые поступления / (выплаты) по операциям с иностранной валютой</t>
  </si>
  <si>
    <t>Чистые поступления по операциям с иностранной валютой</t>
  </si>
  <si>
    <t>Чистые выплаты по операциям с иностранной валютой</t>
  </si>
  <si>
    <t>Чистый расход по операциям с торговыми ценными бумагами</t>
  </si>
  <si>
    <t>Страховые претензии выплаченные, нетто</t>
  </si>
  <si>
    <t>Страховые премии, выплаченные перестраховщикам</t>
  </si>
  <si>
    <t>Страховые премии полученные</t>
  </si>
  <si>
    <t>Комиссионные расходы выплаченные</t>
  </si>
  <si>
    <t>Комиссионные доходы полученные</t>
  </si>
  <si>
    <t>Процентные расходы выплаченные</t>
  </si>
  <si>
    <t>Процентные доходы полученные</t>
  </si>
  <si>
    <t>ДВИЖЕНИЕ ДЕНЕЖНЫХ СРЕДСТВ ОТ ОПЕРАЦИОННОЙ ДЕЯТЕЛЬНОСТИ</t>
  </si>
  <si>
    <t>(с учетом заключительных оборотов)</t>
  </si>
  <si>
    <t>(консолидированный)</t>
  </si>
  <si>
    <t>СД, Правление</t>
  </si>
  <si>
    <t>EB check</t>
  </si>
  <si>
    <t>BB check</t>
  </si>
  <si>
    <t>Всего операций с собственниками</t>
  </si>
  <si>
    <t>Дивиденды</t>
  </si>
  <si>
    <t>Выпуск акций</t>
  </si>
  <si>
    <t>Корретировка входящего сальдо в рамках обратного приобретения</t>
  </si>
  <si>
    <t>Операции по обратному приобретению</t>
  </si>
  <si>
    <t>Операции с собственниками, отраженные непосредственно в капитале</t>
  </si>
  <si>
    <t>Итого совокупный доход за период</t>
  </si>
  <si>
    <t>Итого совокупный убыток за период</t>
  </si>
  <si>
    <t>Итого прочий совокупный доход, не подлежащий реклассификации 
 в состав прибыли или убытка в последующих периодах</t>
  </si>
  <si>
    <t>Резерв переоценка основных средств, за вычетом подоходного налога</t>
  </si>
  <si>
    <t>Прочий совокупный доход, не подлежащий реклассификации в состав 
 прибыли или убытка в последующих периодах:</t>
  </si>
  <si>
    <t>Всего статей, которые были или могут быть впоследствии  
 реклассифицированы в состав прибыли или убытка</t>
  </si>
  <si>
    <t>Курсовые разницы при пересчете показателей иностранных подразделений 
 из других валют</t>
  </si>
  <si>
    <r>
      <t xml:space="preserve">Сумма, реклассифицированная в состав прибыли или убытка </t>
    </r>
    <r>
      <rPr>
        <sz val="14"/>
        <rFont val="Times New Roman"/>
        <family val="1"/>
        <charset val="204"/>
      </rPr>
      <t>в
 результате  прекращения признания ценных бумаг, оцениваемых по ССПСД</t>
    </r>
  </si>
  <si>
    <t>Изменение оценочного резерва под ожидаемые кредитные убытки по 
 долговым инструментам, оцениваемым по ССПСД</t>
  </si>
  <si>
    <t>Чистая величина изменения справедливой стоимости долговых 
 инструментов, оцениваемых по ССПСД</t>
  </si>
  <si>
    <t>Прочий совокупный доход/(убыток), подлежащий реклассификации в 
 состав прибыли или убытка в последующих периодах:</t>
  </si>
  <si>
    <t>Прочий совокупный доход</t>
  </si>
  <si>
    <t>Всего совокупного дохода</t>
  </si>
  <si>
    <t>Остаток по состоянию на 1 января 2019 года</t>
  </si>
  <si>
    <t>Амортизация резерва переоценки основных средств</t>
  </si>
  <si>
    <t>Прочий совокупный доход, не подлежащий реклассификации в состав прибыли или убытка в последующих периодах:</t>
  </si>
  <si>
    <t>Сумма, реклассифицированная в состав прибыли или убытка 
 в результате  прекращения признания ценных бумаг, оцениваемых по ССПСД</t>
  </si>
  <si>
    <t>Прочий совокупный (убыток)/доход, подлежащий реклассификации в 
 состав прибыли или убытка в последующих периодах:</t>
  </si>
  <si>
    <t>Остаток по состоянию на 1 января 2020 года</t>
  </si>
  <si>
    <t>Резерв по переоценке земельных участков и зданий</t>
  </si>
  <si>
    <t xml:space="preserve">Резерв изменений справедливой стоимости </t>
  </si>
  <si>
    <t>Акционерный  капитал</t>
  </si>
  <si>
    <t xml:space="preserve">  ОТЧЕТ ОБ ИЗМЕНЕНИЯХ В КАПИТАЛЕ</t>
  </si>
  <si>
    <t>Даму</t>
  </si>
  <si>
    <t>30.06.2020*</t>
  </si>
  <si>
    <t>За шесть месяцев, закончившиеся 30 июня 2020 года*</t>
  </si>
  <si>
    <t>За шесть месяцев, закончившиеся 30 июня 2019 года*</t>
  </si>
  <si>
    <t>за шесть месяцев, закончившиеся 30 июня 2020 года</t>
  </si>
  <si>
    <t>Остаток на 30 июня 2019 года*</t>
  </si>
  <si>
    <t>Остаток на 30 июня 2020 года*</t>
  </si>
  <si>
    <t>Доходы от восстановления прочих резервов</t>
  </si>
  <si>
    <t>Накопленный дефицит</t>
  </si>
  <si>
    <t>Нераспределенная прибыль / (накопленный дефицит)</t>
  </si>
  <si>
    <t>(Накопленный дефицит) / нераспределенная прибыль</t>
  </si>
  <si>
    <t>в млн. тенге</t>
  </si>
  <si>
    <t>ОТЧЕТ О ДВИЖЕНИИ ДЕНЕЖНЫХ СРЕДСТВ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</si>
</sst>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(* #,##0_);_(* \(#,##0\);_(* &quot;-&quot;_);_(@_)"/>
    <numFmt numFmtId="164" formatCode="_ * #,##0_)_ ;_ * \(#,##0\)_ ;_ * &quot;-&quot;_)_ ;_ @_ "/>
    <numFmt numFmtId="165" formatCode="_ * #,##0_)\ _₽_ ;_ * \(#,##0\)\ _₽_ ;_ * &quot;-&quot;_)\ _₽_ ;_ @_ "/>
    <numFmt numFmtId="166" formatCode="_-* #,##0.00_р_._-;\-* #,##0.00_р_._-;_-* &quot;-&quot;??_р_._-;_-@_-"/>
    <numFmt numFmtId="167" formatCode="_ * #,##0.00_)\ _₽_ ;_ * \(#,##0.00\)\ _₽_ ;_ * &quot;-&quot;_)\ _₽_ ;_ @_ "/>
    <numFmt numFmtId="168" formatCode="_(* #,##0_);_(* \(#,##0\);_(* &quot;-&quot;??_);_(@_)"/>
    <numFmt numFmtId="169" formatCode="_(* #,##0.0_);_(* \(#,##0.0\);_(* &quot;-&quot;??_);_(@_)"/>
    <numFmt numFmtId="170" formatCode="_-* #,##0_р_._-;\-* #,##0_р_._-;_-* &quot;-&quot;??_р_._-;_-@_-"/>
    <numFmt numFmtId="171" formatCode="_ * #,##0.00_)_ ;_ * \(#,##0.00\)_ ;_ * &quot;-&quot;_)_ ;_ @_ 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0"/>
      <name val="Times New Roman"/>
      <family val="1"/>
      <charset val="204"/>
    </font>
    <font>
      <sz val="14"/>
      <color theme="0" tint="-0.14999847407452621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i/>
      <sz val="14"/>
      <name val="Times New Roman"/>
      <family val="1"/>
    </font>
    <font>
      <b/>
      <sz val="14"/>
      <color theme="0" tint="-0.249977111117893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4"/>
      <color theme="0" tint="-0.249977111117893"/>
      <name val="Times New Roman"/>
      <family val="1"/>
      <charset val="204"/>
    </font>
    <font>
      <sz val="14"/>
      <color indexed="8"/>
      <name val="Times New Roman"/>
      <family val="1"/>
      <charset val="204"/>
    </font>
    <font>
      <i/>
      <sz val="14"/>
      <color theme="0" tint="-0.249977111117893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4"/>
      <name val="Times New Roman"/>
      <family val="1"/>
    </font>
    <font>
      <sz val="10"/>
      <name val="Arial Cyr"/>
      <charset val="204"/>
    </font>
    <font>
      <sz val="14"/>
      <color theme="0"/>
      <name val="Times New Roman"/>
      <family val="1"/>
      <charset val="204"/>
    </font>
    <font>
      <i/>
      <sz val="11"/>
      <name val="Times New Roman"/>
      <family val="1"/>
      <charset val="204"/>
    </font>
    <font>
      <sz val="14"/>
      <name val="Arial"/>
      <family val="2"/>
      <charset val="204"/>
    </font>
    <font>
      <i/>
      <sz val="14"/>
      <name val="Arial"/>
      <family val="2"/>
      <charset val="204"/>
    </font>
    <font>
      <b/>
      <sz val="14"/>
      <name val="Arial"/>
      <family val="2"/>
      <charset val="204"/>
    </font>
    <font>
      <b/>
      <sz val="14"/>
      <color rgb="FFFF0000"/>
      <name val="Arial"/>
      <family val="2"/>
      <charset val="204"/>
    </font>
    <font>
      <sz val="14"/>
      <color rgb="FFFF0000"/>
      <name val="Arial"/>
      <family val="2"/>
      <charset val="204"/>
    </font>
    <font>
      <b/>
      <sz val="14"/>
      <color theme="0"/>
      <name val="Arial"/>
      <family val="2"/>
      <charset val="204"/>
    </font>
    <font>
      <b/>
      <sz val="14"/>
      <color rgb="FFFF0000"/>
      <name val="Times New Roman"/>
      <family val="1"/>
      <charset val="204"/>
    </font>
    <font>
      <sz val="14"/>
      <name val="Times New Roman"/>
      <family val="1"/>
    </font>
    <font>
      <b/>
      <i/>
      <sz val="14"/>
      <name val="Arial"/>
      <family val="2"/>
      <charset val="204"/>
    </font>
    <font>
      <sz val="14"/>
      <color rgb="FFC00000"/>
      <name val="Arial"/>
      <family val="2"/>
      <charset val="204"/>
    </font>
    <font>
      <b/>
      <i/>
      <sz val="14"/>
      <name val="Times New Roman"/>
      <family val="1"/>
      <charset val="204"/>
    </font>
    <font>
      <b/>
      <i/>
      <sz val="14"/>
      <name val="Times New Roman"/>
      <family val="1"/>
    </font>
    <font>
      <i/>
      <sz val="14"/>
      <color rgb="FFFF0000"/>
      <name val="Arial"/>
      <family val="2"/>
      <charset val="204"/>
    </font>
    <font>
      <sz val="10"/>
      <name val="Arial"/>
      <family val="2"/>
      <charset val="204"/>
    </font>
    <font>
      <sz val="14"/>
      <color theme="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166" fontId="13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2" fillId="0" borderId="0" applyFont="0" applyFill="0" applyBorder="0" applyAlignment="0" applyProtection="0"/>
    <xf numFmtId="0" fontId="22" fillId="0" borderId="0"/>
    <xf numFmtId="0" fontId="22" fillId="0" borderId="0"/>
    <xf numFmtId="0" fontId="38" fillId="0" borderId="0"/>
  </cellStyleXfs>
  <cellXfs count="347">
    <xf numFmtId="0" fontId="0" fillId="0" borderId="0" xfId="0"/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4" fillId="0" borderId="0" xfId="0" applyFont="1" applyAlignment="1" applyProtection="1">
      <alignment vertical="center"/>
      <protection locked="0"/>
    </xf>
    <xf numFmtId="0" fontId="4" fillId="2" borderId="0" xfId="0" applyFont="1" applyFill="1" applyAlignment="1">
      <alignment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41" fontId="6" fillId="0" borderId="0" xfId="1" applyNumberFormat="1" applyFont="1" applyAlignment="1">
      <alignment vertical="center"/>
    </xf>
    <xf numFmtId="41" fontId="6" fillId="0" borderId="0" xfId="1" applyNumberFormat="1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41" fontId="6" fillId="0" borderId="0" xfId="0" applyNumberFormat="1" applyFont="1" applyAlignment="1">
      <alignment horizontal="left"/>
    </xf>
    <xf numFmtId="41" fontId="6" fillId="0" borderId="0" xfId="0" applyNumberFormat="1" applyFont="1" applyAlignment="1">
      <alignment vertical="center"/>
    </xf>
    <xf numFmtId="41" fontId="6" fillId="0" borderId="0" xfId="0" applyNumberFormat="1" applyFont="1" applyAlignment="1">
      <alignment horizontal="left" vertical="center"/>
    </xf>
    <xf numFmtId="0" fontId="8" fillId="0" borderId="0" xfId="0" applyFont="1" applyAlignment="1" applyProtection="1">
      <alignment vertical="center"/>
      <protection locked="0"/>
    </xf>
    <xf numFmtId="14" fontId="3" fillId="0" borderId="0" xfId="0" applyNumberFormat="1" applyFont="1" applyAlignment="1" applyProtection="1">
      <alignment vertical="center"/>
      <protection locked="0"/>
    </xf>
    <xf numFmtId="164" fontId="3" fillId="0" borderId="0" xfId="0" applyNumberFormat="1" applyFont="1" applyAlignment="1" applyProtection="1">
      <alignment vertical="center"/>
      <protection locked="0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65" fontId="10" fillId="0" borderId="1" xfId="0" applyNumberFormat="1" applyFont="1" applyBorder="1" applyAlignment="1" applyProtection="1">
      <alignment vertical="center"/>
      <protection locked="0"/>
    </xf>
    <xf numFmtId="165" fontId="10" fillId="0" borderId="2" xfId="0" applyNumberFormat="1" applyFont="1" applyBorder="1" applyAlignment="1" applyProtection="1">
      <alignment vertical="center"/>
      <protection locked="0"/>
    </xf>
    <xf numFmtId="165" fontId="3" fillId="0" borderId="0" xfId="0" applyNumberFormat="1" applyFont="1" applyAlignment="1" applyProtection="1">
      <alignment vertical="center"/>
      <protection locked="0"/>
    </xf>
    <xf numFmtId="164" fontId="6" fillId="0" borderId="3" xfId="1" applyNumberFormat="1" applyFont="1" applyBorder="1" applyAlignment="1">
      <alignment horizontal="right" vertical="center"/>
    </xf>
    <xf numFmtId="0" fontId="6" fillId="0" borderId="3" xfId="1" applyFont="1" applyBorder="1" applyAlignment="1">
      <alignment vertical="center"/>
    </xf>
    <xf numFmtId="165" fontId="3" fillId="0" borderId="4" xfId="0" applyNumberFormat="1" applyFont="1" applyBorder="1" applyAlignment="1" applyProtection="1">
      <alignment vertical="center"/>
      <protection locked="0"/>
    </xf>
    <xf numFmtId="165" fontId="3" fillId="0" borderId="5" xfId="0" applyNumberFormat="1" applyFont="1" applyBorder="1" applyAlignment="1" applyProtection="1">
      <alignment vertical="center"/>
      <protection locked="0"/>
    </xf>
    <xf numFmtId="164" fontId="6" fillId="0" borderId="6" xfId="1" applyNumberFormat="1" applyFont="1" applyBorder="1" applyAlignment="1">
      <alignment horizontal="right" vertical="center"/>
    </xf>
    <xf numFmtId="0" fontId="6" fillId="0" borderId="6" xfId="1" applyFont="1" applyBorder="1" applyAlignment="1">
      <alignment vertical="center"/>
    </xf>
    <xf numFmtId="164" fontId="9" fillId="0" borderId="6" xfId="1" applyNumberFormat="1" applyFont="1" applyBorder="1" applyAlignment="1">
      <alignment horizontal="right" vertical="center"/>
    </xf>
    <xf numFmtId="164" fontId="9" fillId="0" borderId="7" xfId="1" applyNumberFormat="1" applyFont="1" applyBorder="1" applyAlignment="1">
      <alignment horizontal="right" vertical="center"/>
    </xf>
    <xf numFmtId="0" fontId="9" fillId="0" borderId="6" xfId="1" applyFont="1" applyBorder="1" applyAlignment="1">
      <alignment vertical="center"/>
    </xf>
    <xf numFmtId="164" fontId="6" fillId="0" borderId="0" xfId="1" applyNumberFormat="1" applyFont="1" applyAlignment="1" applyProtection="1">
      <alignment horizontal="right" vertical="center"/>
      <protection locked="0"/>
    </xf>
    <xf numFmtId="164" fontId="6" fillId="0" borderId="7" xfId="1" applyNumberFormat="1" applyFont="1" applyBorder="1" applyAlignment="1">
      <alignment horizontal="right" vertical="center"/>
    </xf>
    <xf numFmtId="164" fontId="3" fillId="0" borderId="8" xfId="0" applyNumberFormat="1" applyFont="1" applyBorder="1" applyAlignment="1">
      <alignment vertical="center"/>
    </xf>
    <xf numFmtId="164" fontId="9" fillId="0" borderId="9" xfId="1" applyNumberFormat="1" applyFont="1" applyBorder="1" applyAlignment="1">
      <alignment horizontal="right" vertical="center"/>
    </xf>
    <xf numFmtId="0" fontId="9" fillId="0" borderId="8" xfId="0" applyFont="1" applyBorder="1" applyAlignment="1">
      <alignment horizontal="left" wrapText="1"/>
    </xf>
    <xf numFmtId="164" fontId="3" fillId="0" borderId="9" xfId="0" applyNumberFormat="1" applyFont="1" applyBorder="1" applyAlignment="1">
      <alignment vertical="center"/>
    </xf>
    <xf numFmtId="0" fontId="9" fillId="0" borderId="10" xfId="1" applyFont="1" applyBorder="1" applyAlignment="1">
      <alignment vertical="center"/>
    </xf>
    <xf numFmtId="0" fontId="9" fillId="0" borderId="9" xfId="1" applyFont="1" applyBorder="1" applyAlignment="1">
      <alignment vertical="center"/>
    </xf>
    <xf numFmtId="164" fontId="9" fillId="0" borderId="11" xfId="1" applyNumberFormat="1" applyFont="1" applyBorder="1" applyAlignment="1">
      <alignment vertical="center"/>
    </xf>
    <xf numFmtId="164" fontId="9" fillId="0" borderId="12" xfId="1" applyNumberFormat="1" applyFont="1" applyBorder="1" applyAlignment="1">
      <alignment vertical="center"/>
    </xf>
    <xf numFmtId="0" fontId="6" fillId="0" borderId="13" xfId="1" applyFont="1" applyBorder="1" applyAlignment="1">
      <alignment vertical="center"/>
    </xf>
    <xf numFmtId="0" fontId="6" fillId="0" borderId="11" xfId="1" applyFont="1" applyBorder="1" applyAlignment="1">
      <alignment vertical="center"/>
    </xf>
    <xf numFmtId="49" fontId="9" fillId="0" borderId="9" xfId="1" applyNumberFormat="1" applyFont="1" applyBorder="1" applyAlignment="1">
      <alignment vertical="center" wrapText="1"/>
    </xf>
    <xf numFmtId="0" fontId="9" fillId="0" borderId="9" xfId="1" applyFont="1" applyBorder="1" applyAlignment="1">
      <alignment vertical="center" wrapText="1"/>
    </xf>
    <xf numFmtId="0" fontId="3" fillId="0" borderId="11" xfId="1" applyFont="1" applyBorder="1" applyAlignment="1">
      <alignment vertical="center"/>
    </xf>
    <xf numFmtId="0" fontId="6" fillId="0" borderId="3" xfId="1" applyFont="1" applyBorder="1" applyAlignment="1">
      <alignment horizontal="right" vertical="center"/>
    </xf>
    <xf numFmtId="0" fontId="9" fillId="0" borderId="3" xfId="1" applyFont="1" applyBorder="1" applyAlignment="1">
      <alignment vertical="center"/>
    </xf>
    <xf numFmtId="3" fontId="11" fillId="0" borderId="0" xfId="2" applyNumberFormat="1" applyFont="1" applyAlignment="1">
      <alignment horizontal="right" vertical="center"/>
    </xf>
    <xf numFmtId="0" fontId="3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9" fillId="0" borderId="0" xfId="1" applyFont="1" applyAlignment="1">
      <alignment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167" fontId="6" fillId="0" borderId="3" xfId="3" applyNumberFormat="1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165" fontId="10" fillId="0" borderId="15" xfId="0" applyNumberFormat="1" applyFont="1" applyBorder="1" applyAlignment="1" applyProtection="1">
      <alignment vertical="center"/>
      <protection locked="0"/>
    </xf>
    <xf numFmtId="165" fontId="14" fillId="0" borderId="6" xfId="3" applyNumberFormat="1" applyFont="1" applyFill="1" applyBorder="1" applyAlignment="1">
      <alignment vertical="center"/>
    </xf>
    <xf numFmtId="0" fontId="6" fillId="0" borderId="16" xfId="0" applyFont="1" applyBorder="1" applyAlignment="1">
      <alignment horizontal="left" vertical="center"/>
    </xf>
    <xf numFmtId="165" fontId="10" fillId="0" borderId="17" xfId="0" applyNumberFormat="1" applyFont="1" applyBorder="1" applyAlignment="1" applyProtection="1">
      <alignment vertical="center"/>
      <protection locked="0"/>
    </xf>
    <xf numFmtId="49" fontId="15" fillId="0" borderId="0" xfId="0" applyNumberFormat="1" applyFont="1" applyAlignment="1">
      <alignment horizontal="left" vertical="center"/>
    </xf>
    <xf numFmtId="165" fontId="16" fillId="0" borderId="8" xfId="0" applyNumberFormat="1" applyFont="1" applyBorder="1" applyAlignment="1">
      <alignment vertical="center"/>
    </xf>
    <xf numFmtId="49" fontId="9" fillId="0" borderId="18" xfId="0" applyNumberFormat="1" applyFont="1" applyBorder="1" applyAlignment="1">
      <alignment horizontal="left" vertical="center"/>
    </xf>
    <xf numFmtId="0" fontId="3" fillId="0" borderId="19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165" fontId="16" fillId="0" borderId="9" xfId="3" applyNumberFormat="1" applyFont="1" applyFill="1" applyBorder="1" applyAlignment="1">
      <alignment vertical="center"/>
    </xf>
    <xf numFmtId="0" fontId="9" fillId="0" borderId="20" xfId="0" applyFont="1" applyBorder="1" applyAlignment="1">
      <alignment horizontal="left" vertical="center"/>
    </xf>
    <xf numFmtId="165" fontId="6" fillId="0" borderId="9" xfId="0" applyNumberFormat="1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165" fontId="6" fillId="0" borderId="11" xfId="0" applyNumberFormat="1" applyFont="1" applyBorder="1" applyAlignment="1">
      <alignment vertical="center"/>
    </xf>
    <xf numFmtId="0" fontId="6" fillId="0" borderId="21" xfId="0" applyFont="1" applyBorder="1" applyAlignment="1">
      <alignment horizontal="left" vertical="center"/>
    </xf>
    <xf numFmtId="165" fontId="6" fillId="0" borderId="3" xfId="3" applyNumberFormat="1" applyFont="1" applyFill="1" applyBorder="1" applyAlignment="1">
      <alignment vertical="center"/>
    </xf>
    <xf numFmtId="0" fontId="3" fillId="0" borderId="0" xfId="0" applyFont="1" applyAlignment="1">
      <alignment vertical="center" wrapText="1"/>
    </xf>
    <xf numFmtId="0" fontId="17" fillId="0" borderId="0" xfId="0" applyFont="1" applyAlignment="1">
      <alignment horizontal="left" vertical="center"/>
    </xf>
    <xf numFmtId="165" fontId="18" fillId="0" borderId="9" xfId="0" applyNumberFormat="1" applyFont="1" applyBorder="1" applyAlignment="1">
      <alignment vertical="center"/>
    </xf>
    <xf numFmtId="0" fontId="7" fillId="0" borderId="20" xfId="0" applyFont="1" applyBorder="1" applyAlignment="1">
      <alignment horizontal="left" vertical="center" wrapText="1"/>
    </xf>
    <xf numFmtId="165" fontId="3" fillId="0" borderId="9" xfId="0" applyNumberFormat="1" applyFont="1" applyBorder="1" applyAlignment="1">
      <alignment vertical="center"/>
    </xf>
    <xf numFmtId="0" fontId="9" fillId="0" borderId="20" xfId="0" applyFont="1" applyBorder="1" applyAlignment="1">
      <alignment horizontal="left" vertical="center" wrapText="1"/>
    </xf>
    <xf numFmtId="164" fontId="3" fillId="0" borderId="0" xfId="0" applyNumberFormat="1" applyFont="1" applyAlignment="1">
      <alignment vertical="center"/>
    </xf>
    <xf numFmtId="165" fontId="10" fillId="0" borderId="0" xfId="0" applyNumberFormat="1" applyFont="1" applyAlignment="1" applyProtection="1">
      <alignment vertical="center"/>
      <protection locked="0"/>
    </xf>
    <xf numFmtId="165" fontId="7" fillId="0" borderId="9" xfId="0" applyNumberFormat="1" applyFont="1" applyBorder="1" applyAlignment="1">
      <alignment vertical="center"/>
    </xf>
    <xf numFmtId="165" fontId="6" fillId="0" borderId="13" xfId="0" applyNumberFormat="1" applyFont="1" applyBorder="1" applyAlignment="1">
      <alignment vertical="center"/>
    </xf>
    <xf numFmtId="0" fontId="6" fillId="0" borderId="22" xfId="0" applyFont="1" applyBorder="1" applyAlignment="1">
      <alignment horizontal="left" vertical="center"/>
    </xf>
    <xf numFmtId="165" fontId="6" fillId="0" borderId="10" xfId="0" applyNumberFormat="1" applyFont="1" applyBorder="1" applyAlignment="1">
      <alignment vertical="center"/>
    </xf>
    <xf numFmtId="0" fontId="6" fillId="0" borderId="23" xfId="0" applyFont="1" applyBorder="1" applyAlignment="1">
      <alignment horizontal="left" vertical="center"/>
    </xf>
    <xf numFmtId="165" fontId="9" fillId="0" borderId="9" xfId="0" applyNumberFormat="1" applyFont="1" applyBorder="1" applyAlignment="1">
      <alignment vertical="center"/>
    </xf>
    <xf numFmtId="165" fontId="6" fillId="0" borderId="9" xfId="3" applyNumberFormat="1" applyFont="1" applyFill="1" applyBorder="1" applyAlignment="1">
      <alignment vertical="center"/>
    </xf>
    <xf numFmtId="165" fontId="6" fillId="0" borderId="11" xfId="3" applyNumberFormat="1" applyFont="1" applyFill="1" applyBorder="1" applyAlignment="1">
      <alignment vertical="center"/>
    </xf>
    <xf numFmtId="165" fontId="6" fillId="0" borderId="6" xfId="3" applyNumberFormat="1" applyFont="1" applyFill="1" applyBorder="1" applyAlignment="1">
      <alignment vertical="center"/>
    </xf>
    <xf numFmtId="165" fontId="3" fillId="0" borderId="0" xfId="0" applyNumberFormat="1" applyFont="1" applyAlignment="1">
      <alignment vertical="center"/>
    </xf>
    <xf numFmtId="165" fontId="9" fillId="0" borderId="3" xfId="1" applyNumberFormat="1" applyFont="1" applyBorder="1" applyAlignment="1">
      <alignment horizontal="right" vertical="center"/>
    </xf>
    <xf numFmtId="0" fontId="9" fillId="0" borderId="14" xfId="0" applyFont="1" applyBorder="1" applyAlignment="1">
      <alignment horizontal="left" vertical="center"/>
    </xf>
    <xf numFmtId="165" fontId="9" fillId="0" borderId="11" xfId="1" applyNumberFormat="1" applyFont="1" applyBorder="1" applyAlignment="1">
      <alignment horizontal="right" vertical="center"/>
    </xf>
    <xf numFmtId="165" fontId="9" fillId="0" borderId="6" xfId="3" applyNumberFormat="1" applyFont="1" applyFill="1" applyBorder="1" applyAlignment="1">
      <alignment vertical="center"/>
    </xf>
    <xf numFmtId="0" fontId="9" fillId="0" borderId="16" xfId="0" applyFont="1" applyBorder="1" applyAlignment="1">
      <alignment horizontal="left" vertical="center"/>
    </xf>
    <xf numFmtId="165" fontId="3" fillId="0" borderId="8" xfId="0" applyNumberFormat="1" applyFont="1" applyBorder="1" applyAlignment="1">
      <alignment vertical="center"/>
    </xf>
    <xf numFmtId="0" fontId="9" fillId="0" borderId="18" xfId="0" applyFont="1" applyBorder="1" applyAlignment="1">
      <alignment horizontal="left" vertical="center"/>
    </xf>
    <xf numFmtId="165" fontId="19" fillId="0" borderId="0" xfId="0" applyNumberFormat="1" applyFont="1"/>
    <xf numFmtId="165" fontId="3" fillId="0" borderId="11" xfId="0" applyNumberFormat="1" applyFont="1" applyBorder="1" applyAlignment="1">
      <alignment vertical="center"/>
    </xf>
    <xf numFmtId="0" fontId="9" fillId="0" borderId="21" xfId="0" applyFont="1" applyBorder="1" applyAlignment="1">
      <alignment horizontal="left" vertical="center"/>
    </xf>
    <xf numFmtId="165" fontId="6" fillId="0" borderId="6" xfId="3" applyNumberFormat="1" applyFont="1" applyFill="1" applyBorder="1" applyAlignment="1"/>
    <xf numFmtId="165" fontId="3" fillId="0" borderId="24" xfId="0" applyNumberFormat="1" applyFont="1" applyBorder="1" applyAlignment="1">
      <alignment vertical="center"/>
    </xf>
    <xf numFmtId="165" fontId="3" fillId="0" borderId="25" xfId="0" applyNumberFormat="1" applyFont="1" applyBorder="1" applyAlignment="1">
      <alignment vertical="center"/>
    </xf>
    <xf numFmtId="0" fontId="9" fillId="0" borderId="9" xfId="0" applyFont="1" applyBorder="1" applyAlignment="1">
      <alignment horizontal="left" wrapText="1"/>
    </xf>
    <xf numFmtId="165" fontId="19" fillId="0" borderId="0" xfId="0" applyNumberFormat="1" applyFont="1" applyAlignment="1">
      <alignment wrapText="1"/>
    </xf>
    <xf numFmtId="0" fontId="0" fillId="0" borderId="0" xfId="0" applyAlignment="1">
      <alignment wrapText="1"/>
    </xf>
    <xf numFmtId="9" fontId="19" fillId="0" borderId="0" xfId="4" applyFont="1" applyAlignment="1"/>
    <xf numFmtId="0" fontId="20" fillId="0" borderId="0" xfId="0" applyFont="1"/>
    <xf numFmtId="165" fontId="20" fillId="0" borderId="0" xfId="0" applyNumberFormat="1" applyFont="1"/>
    <xf numFmtId="9" fontId="20" fillId="0" borderId="0" xfId="4" applyFont="1"/>
    <xf numFmtId="0" fontId="6" fillId="0" borderId="3" xfId="0" applyFont="1" applyBorder="1" applyAlignment="1">
      <alignment horizontal="left" vertical="center"/>
    </xf>
    <xf numFmtId="165" fontId="9" fillId="0" borderId="8" xfId="1" applyNumberFormat="1" applyFont="1" applyBorder="1" applyAlignment="1">
      <alignment horizontal="right"/>
    </xf>
    <xf numFmtId="165" fontId="9" fillId="0" borderId="9" xfId="1" applyNumberFormat="1" applyFont="1" applyBorder="1" applyAlignment="1">
      <alignment horizontal="right"/>
    </xf>
    <xf numFmtId="165" fontId="6" fillId="0" borderId="9" xfId="0" applyNumberFormat="1" applyFont="1" applyBorder="1"/>
    <xf numFmtId="0" fontId="21" fillId="0" borderId="20" xfId="0" applyFont="1" applyBorder="1" applyAlignment="1">
      <alignment horizontal="left" vertical="center"/>
    </xf>
    <xf numFmtId="165" fontId="9" fillId="0" borderId="11" xfId="1" applyNumberFormat="1" applyFont="1" applyBorder="1" applyAlignment="1">
      <alignment horizontal="right"/>
    </xf>
    <xf numFmtId="0" fontId="15" fillId="0" borderId="0" xfId="1" applyFont="1" applyAlignment="1">
      <alignment horizontal="left" vertical="center"/>
    </xf>
    <xf numFmtId="0" fontId="9" fillId="0" borderId="18" xfId="1" applyFont="1" applyBorder="1" applyAlignment="1">
      <alignment horizontal="left" vertical="center"/>
    </xf>
    <xf numFmtId="0" fontId="9" fillId="0" borderId="21" xfId="1" applyFont="1" applyBorder="1" applyAlignment="1">
      <alignment horizontal="left" vertical="center"/>
    </xf>
    <xf numFmtId="0" fontId="19" fillId="0" borderId="0" xfId="0" applyFont="1"/>
    <xf numFmtId="0" fontId="9" fillId="0" borderId="20" xfId="1" applyFont="1" applyBorder="1" applyAlignment="1">
      <alignment horizontal="left" vertical="center"/>
    </xf>
    <xf numFmtId="168" fontId="14" fillId="0" borderId="3" xfId="5" applyNumberFormat="1" applyFont="1" applyFill="1" applyBorder="1" applyAlignment="1">
      <alignment horizontal="right" vertical="center" wrapText="1"/>
    </xf>
    <xf numFmtId="0" fontId="14" fillId="0" borderId="14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3" fillId="0" borderId="0" xfId="0" applyFont="1"/>
    <xf numFmtId="169" fontId="3" fillId="0" borderId="0" xfId="0" applyNumberFormat="1" applyFont="1"/>
    <xf numFmtId="0" fontId="5" fillId="0" borderId="0" xfId="0" applyFont="1"/>
    <xf numFmtId="0" fontId="3" fillId="3" borderId="0" xfId="0" applyFont="1" applyFill="1"/>
    <xf numFmtId="169" fontId="3" fillId="3" borderId="0" xfId="0" applyNumberFormat="1" applyFont="1" applyFill="1"/>
    <xf numFmtId="0" fontId="5" fillId="3" borderId="0" xfId="0" applyFont="1" applyFill="1"/>
    <xf numFmtId="0" fontId="24" fillId="0" borderId="0" xfId="2" applyFont="1" applyAlignment="1">
      <alignment horizontal="left" vertical="center"/>
    </xf>
    <xf numFmtId="0" fontId="9" fillId="3" borderId="0" xfId="0" applyFont="1" applyFill="1"/>
    <xf numFmtId="0" fontId="9" fillId="0" borderId="0" xfId="0" applyFont="1"/>
    <xf numFmtId="169" fontId="9" fillId="0" borderId="0" xfId="0" applyNumberFormat="1" applyFont="1"/>
    <xf numFmtId="0" fontId="9" fillId="0" borderId="0" xfId="0" applyFont="1" applyAlignment="1">
      <alignment horizontal="left"/>
    </xf>
    <xf numFmtId="0" fontId="6" fillId="0" borderId="0" xfId="0" applyFont="1"/>
    <xf numFmtId="0" fontId="6" fillId="3" borderId="0" xfId="0" applyFont="1" applyFill="1"/>
    <xf numFmtId="169" fontId="6" fillId="0" borderId="0" xfId="0" applyNumberFormat="1" applyFont="1"/>
    <xf numFmtId="0" fontId="6" fillId="0" borderId="0" xfId="0" applyFont="1" applyAlignment="1">
      <alignment horizontal="left"/>
    </xf>
    <xf numFmtId="3" fontId="3" fillId="3" borderId="0" xfId="0" applyNumberFormat="1" applyFont="1" applyFill="1"/>
    <xf numFmtId="3" fontId="3" fillId="0" borderId="0" xfId="0" applyNumberFormat="1" applyFont="1"/>
    <xf numFmtId="3" fontId="3" fillId="0" borderId="0" xfId="0" applyNumberFormat="1" applyFont="1" applyAlignment="1">
      <alignment horizontal="left"/>
    </xf>
    <xf numFmtId="168" fontId="10" fillId="0" borderId="0" xfId="0" applyNumberFormat="1" applyFont="1"/>
    <xf numFmtId="168" fontId="9" fillId="0" borderId="0" xfId="0" applyNumberFormat="1" applyFont="1"/>
    <xf numFmtId="168" fontId="23" fillId="0" borderId="0" xfId="0" applyNumberFormat="1" applyFont="1"/>
    <xf numFmtId="3" fontId="7" fillId="0" borderId="0" xfId="0" applyNumberFormat="1" applyFont="1" applyAlignment="1">
      <alignment horizontal="left"/>
    </xf>
    <xf numFmtId="168" fontId="10" fillId="0" borderId="26" xfId="0" applyNumberFormat="1" applyFont="1" applyBorder="1"/>
    <xf numFmtId="168" fontId="10" fillId="0" borderId="15" xfId="0" applyNumberFormat="1" applyFont="1" applyBorder="1"/>
    <xf numFmtId="165" fontId="6" fillId="0" borderId="6" xfId="0" applyNumberFormat="1" applyFont="1" applyBorder="1"/>
    <xf numFmtId="165" fontId="6" fillId="0" borderId="6" xfId="0" applyNumberFormat="1" applyFont="1" applyBorder="1" applyAlignment="1">
      <alignment horizontal="right"/>
    </xf>
    <xf numFmtId="0" fontId="14" fillId="0" borderId="16" xfId="0" applyFont="1" applyBorder="1" applyAlignment="1">
      <alignment horizontal="left" vertical="center"/>
    </xf>
    <xf numFmtId="168" fontId="9" fillId="3" borderId="0" xfId="0" applyNumberFormat="1" applyFont="1" applyFill="1" applyAlignment="1">
      <alignment vertical="top"/>
    </xf>
    <xf numFmtId="165" fontId="9" fillId="0" borderId="8" xfId="0" applyNumberFormat="1" applyFont="1" applyBorder="1"/>
    <xf numFmtId="165" fontId="9" fillId="0" borderId="8" xfId="0" applyNumberFormat="1" applyFont="1" applyBorder="1" applyAlignment="1">
      <alignment horizontal="right"/>
    </xf>
    <xf numFmtId="0" fontId="16" fillId="0" borderId="18" xfId="0" applyFont="1" applyBorder="1" applyAlignment="1">
      <alignment horizontal="left" vertical="center"/>
    </xf>
    <xf numFmtId="168" fontId="9" fillId="0" borderId="19" xfId="0" applyNumberFormat="1" applyFont="1" applyBorder="1"/>
    <xf numFmtId="165" fontId="9" fillId="0" borderId="9" xfId="0" applyNumberFormat="1" applyFont="1" applyBorder="1"/>
    <xf numFmtId="0" fontId="16" fillId="0" borderId="23" xfId="0" applyFont="1" applyBorder="1" applyAlignment="1">
      <alignment horizontal="left" vertical="center"/>
    </xf>
    <xf numFmtId="168" fontId="9" fillId="3" borderId="0" xfId="0" applyNumberFormat="1" applyFont="1" applyFill="1"/>
    <xf numFmtId="0" fontId="16" fillId="0" borderId="20" xfId="0" applyFont="1" applyBorder="1" applyAlignment="1">
      <alignment horizontal="left" vertical="center"/>
    </xf>
    <xf numFmtId="0" fontId="14" fillId="0" borderId="20" xfId="0" applyFont="1" applyBorder="1" applyAlignment="1">
      <alignment horizontal="left" vertical="center"/>
    </xf>
    <xf numFmtId="170" fontId="14" fillId="3" borderId="0" xfId="0" applyNumberFormat="1" applyFont="1" applyFill="1" applyAlignment="1">
      <alignment vertical="center"/>
    </xf>
    <xf numFmtId="165" fontId="14" fillId="0" borderId="11" xfId="0" applyNumberFormat="1" applyFont="1" applyBorder="1" applyAlignment="1">
      <alignment vertical="center"/>
    </xf>
    <xf numFmtId="0" fontId="14" fillId="0" borderId="21" xfId="0" applyFont="1" applyBorder="1" applyAlignment="1">
      <alignment horizontal="left" vertical="center"/>
    </xf>
    <xf numFmtId="168" fontId="6" fillId="3" borderId="0" xfId="0" applyNumberFormat="1" applyFont="1" applyFill="1"/>
    <xf numFmtId="165" fontId="3" fillId="0" borderId="0" xfId="0" applyNumberFormat="1" applyFont="1"/>
    <xf numFmtId="168" fontId="9" fillId="3" borderId="1" xfId="0" applyNumberFormat="1" applyFont="1" applyFill="1" applyBorder="1"/>
    <xf numFmtId="168" fontId="10" fillId="0" borderId="2" xfId="0" applyNumberFormat="1" applyFont="1" applyBorder="1"/>
    <xf numFmtId="168" fontId="10" fillId="0" borderId="27" xfId="0" applyNumberFormat="1" applyFont="1" applyBorder="1"/>
    <xf numFmtId="168" fontId="10" fillId="0" borderId="28" xfId="0" applyNumberFormat="1" applyFont="1" applyBorder="1"/>
    <xf numFmtId="170" fontId="14" fillId="3" borderId="4" xfId="0" applyNumberFormat="1" applyFont="1" applyFill="1" applyBorder="1" applyAlignment="1">
      <alignment vertical="center"/>
    </xf>
    <xf numFmtId="168" fontId="9" fillId="0" borderId="5" xfId="0" applyNumberFormat="1" applyFont="1" applyBorder="1"/>
    <xf numFmtId="165" fontId="14" fillId="0" borderId="9" xfId="0" applyNumberFormat="1" applyFont="1" applyBorder="1" applyAlignment="1">
      <alignment vertical="center"/>
    </xf>
    <xf numFmtId="165" fontId="16" fillId="0" borderId="11" xfId="0" applyNumberFormat="1" applyFont="1" applyBorder="1" applyAlignment="1">
      <alignment vertical="center"/>
    </xf>
    <xf numFmtId="0" fontId="16" fillId="0" borderId="21" xfId="0" applyFont="1" applyBorder="1" applyAlignment="1">
      <alignment horizontal="left" vertical="center"/>
    </xf>
    <xf numFmtId="0" fontId="14" fillId="0" borderId="16" xfId="0" applyFont="1" applyBorder="1" applyAlignment="1">
      <alignment horizontal="left" vertical="center" wrapText="1"/>
    </xf>
    <xf numFmtId="0" fontId="16" fillId="0" borderId="20" xfId="0" applyFont="1" applyBorder="1" applyAlignment="1">
      <alignment horizontal="left" vertical="center" wrapText="1"/>
    </xf>
    <xf numFmtId="165" fontId="6" fillId="0" borderId="11" xfId="0" applyNumberFormat="1" applyFont="1" applyBorder="1"/>
    <xf numFmtId="165" fontId="6" fillId="0" borderId="3" xfId="0" applyNumberFormat="1" applyFont="1" applyBorder="1"/>
    <xf numFmtId="0" fontId="8" fillId="0" borderId="20" xfId="0" applyFont="1" applyBorder="1" applyAlignment="1">
      <alignment horizontal="left" vertical="center" wrapText="1"/>
    </xf>
    <xf numFmtId="0" fontId="14" fillId="3" borderId="0" xfId="0" applyFont="1" applyFill="1" applyAlignment="1">
      <alignment vertical="center"/>
    </xf>
    <xf numFmtId="0" fontId="14" fillId="0" borderId="9" xfId="0" applyFont="1" applyBorder="1" applyAlignment="1">
      <alignment vertical="center"/>
    </xf>
    <xf numFmtId="169" fontId="14" fillId="0" borderId="0" xfId="0" applyNumberFormat="1" applyFont="1" applyAlignment="1">
      <alignment vertical="center"/>
    </xf>
    <xf numFmtId="3" fontId="6" fillId="3" borderId="0" xfId="0" applyNumberFormat="1" applyFont="1" applyFill="1" applyAlignment="1">
      <alignment horizontal="center" vertical="top"/>
    </xf>
    <xf numFmtId="3" fontId="6" fillId="0" borderId="0" xfId="0" applyNumberFormat="1" applyFont="1" applyAlignment="1">
      <alignment horizontal="center" vertical="top"/>
    </xf>
    <xf numFmtId="3" fontId="6" fillId="0" borderId="13" xfId="0" applyNumberFormat="1" applyFont="1" applyBorder="1" applyAlignment="1">
      <alignment horizontal="right" vertical="top" wrapText="1"/>
    </xf>
    <xf numFmtId="0" fontId="14" fillId="0" borderId="22" xfId="0" applyFont="1" applyBorder="1" applyAlignment="1">
      <alignment horizontal="left" vertical="center"/>
    </xf>
    <xf numFmtId="169" fontId="3" fillId="0" borderId="0" xfId="0" applyNumberFormat="1" applyFont="1" applyAlignment="1">
      <alignment vertical="center" wrapText="1"/>
    </xf>
    <xf numFmtId="3" fontId="9" fillId="3" borderId="0" xfId="0" applyNumberFormat="1" applyFont="1" applyFill="1" applyAlignment="1">
      <alignment horizontal="right"/>
    </xf>
    <xf numFmtId="3" fontId="9" fillId="0" borderId="0" xfId="0" applyNumberFormat="1" applyFont="1" applyAlignment="1">
      <alignment horizontal="right"/>
    </xf>
    <xf numFmtId="169" fontId="9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23" fillId="3" borderId="0" xfId="0" applyFont="1" applyFill="1" applyAlignment="1">
      <alignment horizontal="center"/>
    </xf>
    <xf numFmtId="0" fontId="23" fillId="0" borderId="0" xfId="0" applyFont="1" applyAlignment="1">
      <alignment horizontal="center"/>
    </xf>
    <xf numFmtId="169" fontId="23" fillId="0" borderId="0" xfId="0" applyNumberFormat="1" applyFont="1" applyAlignment="1">
      <alignment horizontal="center"/>
    </xf>
    <xf numFmtId="0" fontId="23" fillId="0" borderId="0" xfId="0" applyFont="1" applyAlignment="1">
      <alignment horizontal="left"/>
    </xf>
    <xf numFmtId="0" fontId="14" fillId="3" borderId="0" xfId="0" applyFont="1" applyFill="1" applyAlignment="1">
      <alignment horizontal="center"/>
    </xf>
    <xf numFmtId="0" fontId="14" fillId="0" borderId="0" xfId="0" applyFont="1" applyAlignment="1">
      <alignment horizontal="center"/>
    </xf>
    <xf numFmtId="169" fontId="14" fillId="0" borderId="0" xfId="0" applyNumberFormat="1" applyFont="1" applyAlignment="1">
      <alignment horizontal="center"/>
    </xf>
    <xf numFmtId="41" fontId="9" fillId="0" borderId="0" xfId="6" applyNumberFormat="1" applyFont="1" applyAlignment="1">
      <alignment horizontal="left" vertical="top"/>
    </xf>
    <xf numFmtId="41" fontId="9" fillId="3" borderId="0" xfId="6" applyNumberFormat="1" applyFont="1" applyFill="1" applyAlignment="1">
      <alignment horizontal="left" vertical="top"/>
    </xf>
    <xf numFmtId="169" fontId="9" fillId="0" borderId="0" xfId="6" applyNumberFormat="1" applyFont="1" applyAlignment="1">
      <alignment horizontal="left" vertical="top"/>
    </xf>
    <xf numFmtId="0" fontId="9" fillId="0" borderId="0" xfId="1" applyFont="1" applyAlignment="1">
      <alignment horizontal="left" vertical="center"/>
    </xf>
    <xf numFmtId="41" fontId="23" fillId="3" borderId="0" xfId="6" applyNumberFormat="1" applyFont="1" applyFill="1" applyAlignment="1">
      <alignment horizontal="left" vertical="top"/>
    </xf>
    <xf numFmtId="41" fontId="23" fillId="0" borderId="0" xfId="6" applyNumberFormat="1" applyFont="1" applyAlignment="1">
      <alignment horizontal="left" vertical="top"/>
    </xf>
    <xf numFmtId="169" fontId="23" fillId="0" borderId="0" xfId="6" applyNumberFormat="1" applyFont="1" applyAlignment="1">
      <alignment horizontal="left" vertical="top"/>
    </xf>
    <xf numFmtId="0" fontId="23" fillId="3" borderId="0" xfId="0" applyFont="1" applyFill="1" applyAlignment="1">
      <alignment horizontal="right"/>
    </xf>
    <xf numFmtId="0" fontId="23" fillId="0" borderId="0" xfId="0" applyFont="1" applyAlignment="1">
      <alignment horizontal="right"/>
    </xf>
    <xf numFmtId="169" fontId="23" fillId="0" borderId="0" xfId="0" applyNumberFormat="1" applyFont="1" applyAlignment="1">
      <alignment horizontal="right"/>
    </xf>
    <xf numFmtId="41" fontId="25" fillId="0" borderId="0" xfId="2" applyNumberFormat="1" applyFont="1" applyAlignment="1">
      <alignment vertical="center"/>
    </xf>
    <xf numFmtId="164" fontId="25" fillId="0" borderId="0" xfId="2" applyNumberFormat="1" applyFont="1" applyAlignment="1">
      <alignment vertical="center"/>
    </xf>
    <xf numFmtId="41" fontId="25" fillId="0" borderId="0" xfId="2" applyNumberFormat="1" applyFont="1" applyAlignment="1">
      <alignment horizontal="right" vertical="center"/>
    </xf>
    <xf numFmtId="41" fontId="25" fillId="0" borderId="0" xfId="2" applyNumberFormat="1" applyFont="1" applyAlignment="1">
      <alignment horizontal="left" vertical="center" wrapText="1"/>
    </xf>
    <xf numFmtId="0" fontId="25" fillId="0" borderId="0" xfId="2" applyFont="1" applyAlignment="1">
      <alignment horizontal="left" vertical="center"/>
    </xf>
    <xf numFmtId="41" fontId="25" fillId="3" borderId="0" xfId="2" applyNumberFormat="1" applyFont="1" applyFill="1" applyAlignment="1">
      <alignment vertical="center"/>
    </xf>
    <xf numFmtId="41" fontId="25" fillId="3" borderId="0" xfId="2" applyNumberFormat="1" applyFont="1" applyFill="1" applyAlignment="1">
      <alignment horizontal="right" vertical="center"/>
    </xf>
    <xf numFmtId="0" fontId="25" fillId="3" borderId="0" xfId="2" applyFont="1" applyFill="1" applyAlignment="1">
      <alignment horizontal="left" vertical="center"/>
    </xf>
    <xf numFmtId="41" fontId="10" fillId="4" borderId="1" xfId="2" applyNumberFormat="1" applyFont="1" applyFill="1" applyBorder="1" applyAlignment="1">
      <alignment horizontal="right" vertical="center"/>
    </xf>
    <xf numFmtId="41" fontId="10" fillId="0" borderId="29" xfId="2" applyNumberFormat="1" applyFont="1" applyBorder="1" applyAlignment="1">
      <alignment horizontal="right" vertical="center"/>
    </xf>
    <xf numFmtId="41" fontId="26" fillId="0" borderId="2" xfId="2" applyNumberFormat="1" applyFont="1" applyBorder="1" applyAlignment="1">
      <alignment horizontal="right" vertical="center"/>
    </xf>
    <xf numFmtId="41" fontId="10" fillId="0" borderId="4" xfId="2" applyNumberFormat="1" applyFont="1" applyBorder="1" applyAlignment="1">
      <alignment horizontal="right" vertical="center"/>
    </xf>
    <xf numFmtId="41" fontId="10" fillId="0" borderId="30" xfId="2" applyNumberFormat="1" applyFont="1" applyBorder="1" applyAlignment="1">
      <alignment horizontal="right" vertical="center"/>
    </xf>
    <xf numFmtId="41" fontId="26" fillId="0" borderId="5" xfId="2" applyNumberFormat="1" applyFont="1" applyBorder="1" applyAlignment="1">
      <alignment horizontal="right" vertical="center"/>
    </xf>
    <xf numFmtId="41" fontId="27" fillId="3" borderId="0" xfId="2" applyNumberFormat="1" applyFont="1" applyFill="1" applyAlignment="1">
      <alignment horizontal="right" vertical="center"/>
    </xf>
    <xf numFmtId="41" fontId="9" fillId="0" borderId="0" xfId="2" applyNumberFormat="1" applyFont="1" applyAlignment="1">
      <alignment vertical="center"/>
    </xf>
    <xf numFmtId="41" fontId="9" fillId="0" borderId="0" xfId="2" applyNumberFormat="1" applyFont="1" applyAlignment="1">
      <alignment horizontal="right" vertical="center"/>
    </xf>
    <xf numFmtId="41" fontId="6" fillId="0" borderId="0" xfId="2" applyNumberFormat="1" applyFont="1" applyAlignment="1">
      <alignment vertical="center"/>
    </xf>
    <xf numFmtId="41" fontId="6" fillId="0" borderId="0" xfId="2" applyNumberFormat="1" applyFont="1" applyAlignment="1">
      <alignment horizontal="left" vertical="center"/>
    </xf>
    <xf numFmtId="41" fontId="28" fillId="3" borderId="0" xfId="2" applyNumberFormat="1" applyFont="1" applyFill="1" applyAlignment="1">
      <alignment horizontal="right" vertical="center"/>
    </xf>
    <xf numFmtId="41" fontId="6" fillId="0" borderId="0" xfId="2" applyNumberFormat="1" applyFont="1" applyAlignment="1">
      <alignment horizontal="left" vertical="center" wrapText="1"/>
    </xf>
    <xf numFmtId="41" fontId="6" fillId="0" borderId="0" xfId="2" applyNumberFormat="1" applyFont="1" applyAlignment="1">
      <alignment horizontal="right" vertical="center"/>
    </xf>
    <xf numFmtId="41" fontId="6" fillId="0" borderId="0" xfId="2" applyNumberFormat="1" applyFont="1" applyAlignment="1">
      <alignment vertical="center" wrapText="1"/>
    </xf>
    <xf numFmtId="41" fontId="29" fillId="0" borderId="0" xfId="2" applyNumberFormat="1" applyFont="1" applyAlignment="1">
      <alignment vertical="center"/>
    </xf>
    <xf numFmtId="164" fontId="29" fillId="0" borderId="0" xfId="2" applyNumberFormat="1" applyFont="1" applyAlignment="1">
      <alignment vertical="center"/>
    </xf>
    <xf numFmtId="165" fontId="30" fillId="3" borderId="0" xfId="2" applyNumberFormat="1" applyFont="1" applyFill="1" applyAlignment="1">
      <alignment horizontal="right" vertical="center"/>
    </xf>
    <xf numFmtId="165" fontId="28" fillId="3" borderId="0" xfId="2" applyNumberFormat="1" applyFont="1" applyFill="1" applyAlignment="1">
      <alignment horizontal="right" vertical="center"/>
    </xf>
    <xf numFmtId="165" fontId="27" fillId="3" borderId="0" xfId="2" applyNumberFormat="1" applyFont="1" applyFill="1" applyAlignment="1">
      <alignment horizontal="right" vertical="center"/>
    </xf>
    <xf numFmtId="41" fontId="31" fillId="0" borderId="0" xfId="2" applyNumberFormat="1" applyFont="1" applyAlignment="1">
      <alignment horizontal="right" vertical="center"/>
    </xf>
    <xf numFmtId="165" fontId="26" fillId="3" borderId="0" xfId="2" applyNumberFormat="1" applyFont="1" applyFill="1" applyAlignment="1">
      <alignment horizontal="right" vertical="center"/>
    </xf>
    <xf numFmtId="0" fontId="6" fillId="0" borderId="0" xfId="2" applyFont="1" applyAlignment="1">
      <alignment vertical="center" wrapText="1"/>
    </xf>
    <xf numFmtId="165" fontId="31" fillId="0" borderId="0" xfId="2" applyNumberFormat="1" applyFont="1" applyAlignment="1">
      <alignment horizontal="right" vertical="center"/>
    </xf>
    <xf numFmtId="0" fontId="7" fillId="0" borderId="0" xfId="2" applyFont="1" applyAlignment="1">
      <alignment vertical="center" wrapText="1"/>
    </xf>
    <xf numFmtId="41" fontId="26" fillId="0" borderId="0" xfId="2" applyNumberFormat="1" applyFont="1" applyAlignment="1">
      <alignment vertical="center"/>
    </xf>
    <xf numFmtId="164" fontId="26" fillId="0" borderId="0" xfId="2" applyNumberFormat="1" applyFont="1" applyAlignment="1">
      <alignment vertical="center"/>
    </xf>
    <xf numFmtId="165" fontId="21" fillId="0" borderId="0" xfId="2" applyNumberFormat="1" applyFont="1" applyAlignment="1">
      <alignment horizontal="right" vertical="center"/>
    </xf>
    <xf numFmtId="0" fontId="21" fillId="0" borderId="0" xfId="2" applyFont="1" applyAlignment="1">
      <alignment vertical="center" wrapText="1"/>
    </xf>
    <xf numFmtId="165" fontId="25" fillId="3" borderId="0" xfId="2" applyNumberFormat="1" applyFont="1" applyFill="1" applyAlignment="1">
      <alignment horizontal="right" vertical="center"/>
    </xf>
    <xf numFmtId="165" fontId="21" fillId="0" borderId="31" xfId="2" applyNumberFormat="1" applyFont="1" applyBorder="1" applyAlignment="1">
      <alignment horizontal="right" vertical="center"/>
    </xf>
    <xf numFmtId="0" fontId="21" fillId="0" borderId="32" xfId="2" applyFont="1" applyBorder="1" applyAlignment="1">
      <alignment vertical="center" wrapText="1"/>
    </xf>
    <xf numFmtId="165" fontId="21" fillId="0" borderId="33" xfId="2" applyNumberFormat="1" applyFont="1" applyBorder="1" applyAlignment="1">
      <alignment horizontal="right" vertical="center"/>
    </xf>
    <xf numFmtId="165" fontId="32" fillId="0" borderId="33" xfId="2" applyNumberFormat="1" applyFont="1" applyBorder="1" applyAlignment="1">
      <alignment horizontal="right" vertical="center"/>
    </xf>
    <xf numFmtId="0" fontId="32" fillId="0" borderId="33" xfId="2" applyFont="1" applyBorder="1" applyAlignment="1">
      <alignment vertical="center" wrapText="1"/>
    </xf>
    <xf numFmtId="165" fontId="21" fillId="0" borderId="26" xfId="2" applyNumberFormat="1" applyFont="1" applyBorder="1" applyAlignment="1">
      <alignment horizontal="right" vertical="center"/>
    </xf>
    <xf numFmtId="165" fontId="32" fillId="0" borderId="26" xfId="2" applyNumberFormat="1" applyFont="1" applyBorder="1" applyAlignment="1">
      <alignment horizontal="right" vertical="center"/>
    </xf>
    <xf numFmtId="0" fontId="32" fillId="0" borderId="26" xfId="2" applyFont="1" applyBorder="1" applyAlignment="1">
      <alignment vertical="center" wrapText="1"/>
    </xf>
    <xf numFmtId="41" fontId="25" fillId="0" borderId="15" xfId="2" applyNumberFormat="1" applyFont="1" applyBorder="1" applyAlignment="1">
      <alignment vertical="center"/>
    </xf>
    <xf numFmtId="0" fontId="6" fillId="0" borderId="26" xfId="2" applyFont="1" applyBorder="1" applyAlignment="1">
      <alignment vertical="center" wrapText="1"/>
    </xf>
    <xf numFmtId="164" fontId="33" fillId="0" borderId="0" xfId="2" applyNumberFormat="1" applyFont="1" applyAlignment="1">
      <alignment vertical="center"/>
    </xf>
    <xf numFmtId="164" fontId="34" fillId="0" borderId="26" xfId="0" applyNumberFormat="1" applyFont="1" applyBorder="1"/>
    <xf numFmtId="165" fontId="33" fillId="3" borderId="0" xfId="2" applyNumberFormat="1" applyFont="1" applyFill="1" applyAlignment="1">
      <alignment horizontal="right" vertical="center"/>
    </xf>
    <xf numFmtId="165" fontId="21" fillId="0" borderId="34" xfId="2" applyNumberFormat="1" applyFont="1" applyBorder="1" applyAlignment="1">
      <alignment horizontal="right" vertical="center"/>
    </xf>
    <xf numFmtId="0" fontId="21" fillId="0" borderId="34" xfId="2" applyFont="1" applyBorder="1" applyAlignment="1">
      <alignment vertical="center" wrapText="1"/>
    </xf>
    <xf numFmtId="165" fontId="35" fillId="0" borderId="33" xfId="2" applyNumberFormat="1" applyFont="1" applyBorder="1" applyAlignment="1">
      <alignment horizontal="right" vertical="center"/>
    </xf>
    <xf numFmtId="165" fontId="7" fillId="0" borderId="33" xfId="2" applyNumberFormat="1" applyFont="1" applyBorder="1" applyAlignment="1">
      <alignment horizontal="right" vertical="center"/>
    </xf>
    <xf numFmtId="0" fontId="11" fillId="0" borderId="31" xfId="2" applyFont="1" applyBorder="1" applyAlignment="1">
      <alignment vertical="center" wrapText="1"/>
    </xf>
    <xf numFmtId="164" fontId="34" fillId="0" borderId="15" xfId="0" applyNumberFormat="1" applyFont="1" applyBorder="1"/>
    <xf numFmtId="165" fontId="9" fillId="0" borderId="19" xfId="2" applyNumberFormat="1" applyFont="1" applyBorder="1" applyAlignment="1">
      <alignment horizontal="right" vertical="center"/>
    </xf>
    <xf numFmtId="165" fontId="32" fillId="0" borderId="19" xfId="2" applyNumberFormat="1" applyFont="1" applyBorder="1" applyAlignment="1">
      <alignment horizontal="right" vertical="center"/>
    </xf>
    <xf numFmtId="0" fontId="9" fillId="0" borderId="26" xfId="2" applyFont="1" applyBorder="1" applyAlignment="1">
      <alignment vertical="center" wrapText="1"/>
    </xf>
    <xf numFmtId="164" fontId="26" fillId="0" borderId="17" xfId="2" applyNumberFormat="1" applyFont="1" applyBorder="1" applyAlignment="1">
      <alignment vertical="center"/>
    </xf>
    <xf numFmtId="165" fontId="35" fillId="0" borderId="26" xfId="2" applyNumberFormat="1" applyFont="1" applyBorder="1" applyAlignment="1">
      <alignment horizontal="right" vertical="center"/>
    </xf>
    <xf numFmtId="0" fontId="7" fillId="0" borderId="26" xfId="2" applyFont="1" applyBorder="1" applyAlignment="1">
      <alignment vertical="center" wrapText="1"/>
    </xf>
    <xf numFmtId="164" fontId="34" fillId="0" borderId="17" xfId="0" applyNumberFormat="1" applyFont="1" applyBorder="1"/>
    <xf numFmtId="165" fontId="35" fillId="0" borderId="17" xfId="2" applyNumberFormat="1" applyFont="1" applyBorder="1" applyAlignment="1">
      <alignment horizontal="right" vertical="center"/>
    </xf>
    <xf numFmtId="0" fontId="35" fillId="0" borderId="17" xfId="2" applyFont="1" applyBorder="1" applyAlignment="1">
      <alignment vertical="center" wrapText="1"/>
    </xf>
    <xf numFmtId="165" fontId="21" fillId="0" borderId="35" xfId="2" applyNumberFormat="1" applyFont="1" applyBorder="1" applyAlignment="1">
      <alignment horizontal="right" vertical="center"/>
    </xf>
    <xf numFmtId="0" fontId="32" fillId="0" borderId="36" xfId="2" applyFont="1" applyBorder="1" applyAlignment="1">
      <alignment vertical="center" wrapText="1"/>
    </xf>
    <xf numFmtId="164" fontId="25" fillId="0" borderId="19" xfId="2" applyNumberFormat="1" applyFont="1" applyBorder="1" applyAlignment="1">
      <alignment vertical="center"/>
    </xf>
    <xf numFmtId="165" fontId="36" fillId="0" borderId="35" xfId="2" applyNumberFormat="1" applyFont="1" applyBorder="1" applyAlignment="1">
      <alignment horizontal="right" vertical="center"/>
    </xf>
    <xf numFmtId="165" fontId="36" fillId="0" borderId="26" xfId="2" applyNumberFormat="1" applyFont="1" applyBorder="1" applyAlignment="1">
      <alignment horizontal="right" vertical="center"/>
    </xf>
    <xf numFmtId="0" fontId="11" fillId="0" borderId="36" xfId="2" applyFont="1" applyBorder="1" applyAlignment="1">
      <alignment vertical="center" wrapText="1"/>
    </xf>
    <xf numFmtId="0" fontId="6" fillId="0" borderId="36" xfId="2" applyFont="1" applyBorder="1" applyAlignment="1">
      <alignment vertical="center" wrapText="1"/>
    </xf>
    <xf numFmtId="0" fontId="21" fillId="0" borderId="36" xfId="2" applyFont="1" applyBorder="1" applyAlignment="1">
      <alignment vertical="center"/>
    </xf>
    <xf numFmtId="0" fontId="21" fillId="0" borderId="36" xfId="2" applyFont="1" applyBorder="1" applyAlignment="1">
      <alignment vertical="center" wrapText="1"/>
    </xf>
    <xf numFmtId="164" fontId="37" fillId="0" borderId="15" xfId="2" applyNumberFormat="1" applyFont="1" applyBorder="1" applyAlignment="1">
      <alignment vertical="center"/>
    </xf>
    <xf numFmtId="164" fontId="27" fillId="0" borderId="19" xfId="2" applyNumberFormat="1" applyFont="1" applyBorder="1" applyAlignment="1">
      <alignment vertical="center"/>
    </xf>
    <xf numFmtId="165" fontId="6" fillId="0" borderId="33" xfId="2" applyNumberFormat="1" applyFont="1" applyBorder="1" applyAlignment="1">
      <alignment horizontal="right" vertical="center"/>
    </xf>
    <xf numFmtId="164" fontId="34" fillId="0" borderId="0" xfId="0" applyNumberFormat="1" applyFont="1"/>
    <xf numFmtId="164" fontId="29" fillId="0" borderId="15" xfId="2" applyNumberFormat="1" applyFont="1" applyBorder="1" applyAlignment="1">
      <alignment vertical="center"/>
    </xf>
    <xf numFmtId="164" fontId="25" fillId="0" borderId="17" xfId="2" applyNumberFormat="1" applyFont="1" applyBorder="1" applyAlignment="1">
      <alignment vertical="center"/>
    </xf>
    <xf numFmtId="0" fontId="9" fillId="0" borderId="36" xfId="2" applyFont="1" applyBorder="1" applyAlignment="1">
      <alignment vertical="center" wrapText="1"/>
    </xf>
    <xf numFmtId="41" fontId="27" fillId="0" borderId="0" xfId="2" applyNumberFormat="1" applyFont="1" applyAlignment="1">
      <alignment vertical="center"/>
    </xf>
    <xf numFmtId="164" fontId="27" fillId="0" borderId="0" xfId="2" applyNumberFormat="1" applyFont="1" applyAlignment="1">
      <alignment vertical="center"/>
    </xf>
    <xf numFmtId="41" fontId="21" fillId="0" borderId="35" xfId="2" applyNumberFormat="1" applyFont="1" applyBorder="1" applyAlignment="1">
      <alignment vertical="center"/>
    </xf>
    <xf numFmtId="41" fontId="21" fillId="0" borderId="26" xfId="2" applyNumberFormat="1" applyFont="1" applyBorder="1" applyAlignment="1">
      <alignment vertical="center"/>
    </xf>
    <xf numFmtId="164" fontId="29" fillId="0" borderId="1" xfId="2" applyNumberFormat="1" applyFont="1" applyBorder="1" applyAlignment="1">
      <alignment vertical="center"/>
    </xf>
    <xf numFmtId="164" fontId="29" fillId="0" borderId="2" xfId="0" applyNumberFormat="1" applyFont="1" applyBorder="1"/>
    <xf numFmtId="0" fontId="32" fillId="0" borderId="36" xfId="2" applyFont="1" applyBorder="1" applyAlignment="1">
      <alignment vertical="center"/>
    </xf>
    <xf numFmtId="164" fontId="29" fillId="0" borderId="27" xfId="0" applyNumberFormat="1" applyFont="1" applyBorder="1"/>
    <xf numFmtId="164" fontId="29" fillId="0" borderId="28" xfId="0" applyNumberFormat="1" applyFont="1" applyBorder="1"/>
    <xf numFmtId="164" fontId="28" fillId="0" borderId="4" xfId="2" applyNumberFormat="1" applyFont="1" applyBorder="1" applyAlignment="1">
      <alignment vertical="center"/>
    </xf>
    <xf numFmtId="164" fontId="28" fillId="0" borderId="5" xfId="2" applyNumberFormat="1" applyFont="1" applyBorder="1" applyAlignment="1">
      <alignment vertical="center"/>
    </xf>
    <xf numFmtId="165" fontId="21" fillId="0" borderId="37" xfId="2" applyNumberFormat="1" applyFont="1" applyBorder="1" applyAlignment="1">
      <alignment horizontal="right" vertical="center"/>
    </xf>
    <xf numFmtId="165" fontId="21" fillId="0" borderId="17" xfId="2" applyNumberFormat="1" applyFont="1" applyBorder="1" applyAlignment="1">
      <alignment horizontal="right" vertical="center"/>
    </xf>
    <xf numFmtId="0" fontId="21" fillId="0" borderId="38" xfId="2" applyFont="1" applyBorder="1" applyAlignment="1">
      <alignment vertical="center"/>
    </xf>
    <xf numFmtId="164" fontId="27" fillId="0" borderId="4" xfId="2" applyNumberFormat="1" applyFont="1" applyBorder="1" applyAlignment="1">
      <alignment vertical="center"/>
    </xf>
    <xf numFmtId="164" fontId="27" fillId="0" borderId="5" xfId="2" applyNumberFormat="1" applyFont="1" applyBorder="1" applyAlignment="1">
      <alignment vertical="center"/>
    </xf>
    <xf numFmtId="41" fontId="27" fillId="3" borderId="0" xfId="7" applyNumberFormat="1" applyFont="1" applyFill="1" applyAlignment="1">
      <alignment horizontal="center" vertical="center" wrapText="1"/>
    </xf>
    <xf numFmtId="41" fontId="21" fillId="0" borderId="39" xfId="7" applyNumberFormat="1" applyFont="1" applyBorder="1" applyAlignment="1">
      <alignment horizontal="center" vertical="center" wrapText="1"/>
    </xf>
    <xf numFmtId="41" fontId="21" fillId="0" borderId="34" xfId="7" applyNumberFormat="1" applyFont="1" applyBorder="1" applyAlignment="1">
      <alignment horizontal="center" vertical="center" wrapText="1"/>
    </xf>
    <xf numFmtId="41" fontId="21" fillId="0" borderId="34" xfId="6" applyNumberFormat="1" applyFont="1" applyBorder="1" applyAlignment="1">
      <alignment horizontal="center" vertical="center" wrapText="1"/>
    </xf>
    <xf numFmtId="41" fontId="32" fillId="5" borderId="40" xfId="6" applyNumberFormat="1" applyFont="1" applyFill="1" applyBorder="1" applyAlignment="1">
      <alignment horizontal="left" vertical="center" wrapText="1"/>
    </xf>
    <xf numFmtId="3" fontId="25" fillId="3" borderId="0" xfId="2" applyNumberFormat="1" applyFont="1" applyFill="1" applyAlignment="1">
      <alignment horizontal="right" vertical="center"/>
    </xf>
    <xf numFmtId="41" fontId="9" fillId="0" borderId="0" xfId="6" applyNumberFormat="1" applyFont="1" applyAlignment="1">
      <alignment horizontal="right" vertical="center"/>
    </xf>
    <xf numFmtId="41" fontId="9" fillId="0" borderId="0" xfId="6" applyNumberFormat="1" applyFont="1" applyAlignment="1">
      <alignment horizontal="left" vertical="center" wrapText="1"/>
    </xf>
    <xf numFmtId="41" fontId="27" fillId="3" borderId="0" xfId="8" applyNumberFormat="1" applyFont="1" applyFill="1" applyAlignment="1">
      <alignment horizontal="center" vertical="center" wrapText="1"/>
    </xf>
    <xf numFmtId="41" fontId="27" fillId="3" borderId="0" xfId="8" applyNumberFormat="1" applyFont="1" applyFill="1" applyAlignment="1">
      <alignment horizontal="center" vertical="center"/>
    </xf>
    <xf numFmtId="41" fontId="27" fillId="3" borderId="0" xfId="6" applyNumberFormat="1" applyFont="1" applyFill="1" applyAlignment="1">
      <alignment horizontal="center" vertical="center" wrapText="1"/>
    </xf>
    <xf numFmtId="0" fontId="9" fillId="0" borderId="0" xfId="2" applyFont="1" applyAlignment="1">
      <alignment vertical="center"/>
    </xf>
    <xf numFmtId="41" fontId="9" fillId="0" borderId="0" xfId="6" applyNumberFormat="1" applyFont="1" applyAlignment="1">
      <alignment horizontal="center" vertical="center" wrapText="1"/>
    </xf>
    <xf numFmtId="41" fontId="9" fillId="0" borderId="0" xfId="6" applyNumberFormat="1" applyFont="1" applyAlignment="1">
      <alignment horizontal="left" vertical="center"/>
    </xf>
    <xf numFmtId="41" fontId="39" fillId="3" borderId="0" xfId="6" applyNumberFormat="1" applyFont="1" applyFill="1" applyAlignment="1">
      <alignment horizontal="right" vertical="center"/>
    </xf>
    <xf numFmtId="41" fontId="23" fillId="0" borderId="0" xfId="6" applyNumberFormat="1" applyFont="1" applyAlignment="1">
      <alignment horizontal="right" vertical="center"/>
    </xf>
    <xf numFmtId="164" fontId="9" fillId="0" borderId="8" xfId="1" applyNumberFormat="1" applyFont="1" applyBorder="1" applyAlignment="1">
      <alignment horizontal="right" vertical="center"/>
    </xf>
    <xf numFmtId="171" fontId="3" fillId="0" borderId="0" xfId="0" applyNumberFormat="1" applyFont="1" applyAlignment="1">
      <alignment vertical="center"/>
    </xf>
    <xf numFmtId="164" fontId="0" fillId="0" borderId="0" xfId="0" applyNumberFormat="1"/>
    <xf numFmtId="164" fontId="20" fillId="0" borderId="0" xfId="0" applyNumberFormat="1" applyFont="1"/>
    <xf numFmtId="164" fontId="19" fillId="0" borderId="0" xfId="0" applyNumberFormat="1" applyFont="1"/>
    <xf numFmtId="164" fontId="9" fillId="0" borderId="0" xfId="6" applyNumberFormat="1" applyFont="1" applyAlignment="1">
      <alignment horizontal="right" vertical="top"/>
    </xf>
    <xf numFmtId="164" fontId="3" fillId="0" borderId="0" xfId="0" applyNumberFormat="1" applyFont="1"/>
    <xf numFmtId="164" fontId="9" fillId="0" borderId="0" xfId="6" applyNumberFormat="1" applyFont="1" applyAlignment="1">
      <alignment horizontal="left" vertical="top"/>
    </xf>
    <xf numFmtId="164" fontId="9" fillId="0" borderId="0" xfId="0" applyNumberFormat="1" applyFont="1"/>
    <xf numFmtId="164" fontId="23" fillId="0" borderId="0" xfId="0" applyNumberFormat="1" applyFont="1"/>
    <xf numFmtId="164" fontId="6" fillId="0" borderId="0" xfId="0" applyNumberFormat="1" applyFont="1"/>
    <xf numFmtId="165" fontId="9" fillId="0" borderId="11" xfId="1" applyNumberFormat="1" applyFont="1" applyFill="1" applyBorder="1" applyAlignment="1">
      <alignment horizontal="right" vertical="center"/>
    </xf>
    <xf numFmtId="0" fontId="6" fillId="0" borderId="0" xfId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3" fontId="14" fillId="0" borderId="0" xfId="0" applyNumberFormat="1" applyFont="1" applyAlignment="1">
      <alignment horizontal="center"/>
    </xf>
    <xf numFmtId="41" fontId="6" fillId="0" borderId="0" xfId="8" applyNumberFormat="1" applyFont="1" applyAlignment="1">
      <alignment horizontal="center" vertical="center" wrapText="1"/>
    </xf>
    <xf numFmtId="41" fontId="6" fillId="0" borderId="0" xfId="8" applyNumberFormat="1" applyFont="1" applyAlignment="1">
      <alignment horizontal="center" vertical="center"/>
    </xf>
    <xf numFmtId="41" fontId="6" fillId="0" borderId="0" xfId="6" applyNumberFormat="1" applyFont="1" applyAlignment="1">
      <alignment horizontal="center" vertical="center" wrapText="1"/>
    </xf>
  </cellXfs>
  <cellStyles count="9">
    <cellStyle name="Comma 112" xfId="3"/>
    <cellStyle name="Normal 118 2" xfId="1"/>
    <cellStyle name="Normal 120 3" xfId="2"/>
    <cellStyle name="Percent 2" xfId="4"/>
    <cellStyle name="Обычный" xfId="0" builtinId="0"/>
    <cellStyle name="Обычный_God_Формы фин.отчетности_BWU_09_11_03" xfId="6"/>
    <cellStyle name="Обычный_Лист1 2" xfId="8"/>
    <cellStyle name="Обычный_Формы ФО для НПФ" xfId="7"/>
    <cellStyle name="Финансовый 2 2 2" xfId="5"/>
  </cellStyles>
  <dxfs count="11">
    <dxf>
      <fill>
        <patternFill>
          <fgColor rgb="FFFF0000"/>
          <bgColor rgb="FFFFFF00"/>
        </patternFill>
      </fill>
      <border>
        <vertical/>
        <horizontal/>
      </border>
    </dxf>
    <dxf>
      <fill>
        <patternFill>
          <fgColor rgb="FFFF0000"/>
          <bgColor rgb="FFFFFF00"/>
        </patternFill>
      </fill>
      <border>
        <vertical/>
        <horizontal/>
      </border>
    </dxf>
    <dxf>
      <fill>
        <patternFill>
          <fgColor rgb="FFFF0000"/>
          <bgColor rgb="FFFFFF00"/>
        </patternFill>
      </fill>
      <border>
        <vertical/>
        <horizontal/>
      </border>
    </dxf>
    <dxf>
      <fill>
        <patternFill>
          <fgColor rgb="FFFF0000"/>
          <bgColor rgb="FFFFFF00"/>
        </patternFill>
      </fill>
      <border>
        <vertical/>
        <horizontal/>
      </border>
    </dxf>
    <dxf>
      <fill>
        <patternFill>
          <fgColor rgb="FFFF0000"/>
          <bgColor rgb="FFFFFF00"/>
        </patternFill>
      </fill>
      <border>
        <vertical/>
        <horizontal/>
      </border>
    </dxf>
    <dxf>
      <fill>
        <patternFill>
          <fgColor rgb="FFFF0000"/>
          <bgColor rgb="FFFFFF00"/>
        </patternFill>
      </fill>
      <border>
        <vertical/>
        <horizontal/>
      </border>
    </dxf>
    <dxf>
      <fill>
        <patternFill>
          <fgColor rgb="FFFF0000"/>
          <bgColor rgb="FFFFFF00"/>
        </patternFill>
      </fill>
      <border>
        <vertical/>
        <horizontal/>
      </border>
    </dxf>
    <dxf>
      <fill>
        <patternFill>
          <fgColor rgb="FFFF0000"/>
          <bgColor rgb="FFFFFF00"/>
        </patternFill>
      </fill>
      <border>
        <vertical/>
        <horizontal/>
      </border>
    </dxf>
    <dxf>
      <fill>
        <patternFill>
          <fgColor rgb="FFFF0000"/>
          <bgColor rgb="FFFFFF00"/>
        </patternFill>
      </fill>
      <border>
        <vertical/>
        <horizontal/>
      </border>
    </dxf>
    <dxf>
      <fill>
        <patternFill>
          <fgColor rgb="FFFF0000"/>
          <bgColor rgb="FFFFFF00"/>
        </patternFill>
      </fill>
      <border>
        <vertical/>
        <horizontal/>
      </border>
    </dxf>
    <dxf>
      <fill>
        <patternFill>
          <fgColor rgb="FFFF0000"/>
          <bgColor rgb="FFFFFF00"/>
        </patternFill>
      </fill>
      <border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OTCGOD9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raimbekova/Local%20Settings/Temporary%20Internet%20Files/OLK578/Projects/D%20B%20K/2001/DBK_2001_Trial%20Balance_22%2001%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almnb3321\d\My%20Documents\Projects\T%20K%20I\TKI%202001_12\Key%20Process%20Binder\TKI_2001_12_WP_Treasury%20Management_1401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z\hidden$\&#1060;&#1080;&#1085;&#1072;&#1085;&#1089;&#1086;&#1074;&#1072;&#1103;%20&#1086;&#1090;&#1095;&#1077;&#1090;&#1085;&#1086;&#1089;&#1090;&#1100;_12.2010_&#1092;&#1086;&#1088;&#1084;&#1072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raimbekova\Local%20Settings\Temporary%20Internet%20Files\OLK578\Projects\D%20B%20K\2001\DBK_2001_Trial%20Balance_22%2001%20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год(отг)"/>
      <sheetName val="год(опл)"/>
      <sheetName val="бланк"/>
      <sheetName val="Лист3"/>
      <sheetName val="Лист4"/>
      <sheetName val="Лист7"/>
      <sheetName val="Лист8"/>
      <sheetName val="Лист9"/>
      <sheetName val="Лист10"/>
      <sheetName val="Лист11"/>
      <sheetName val="Лист12"/>
      <sheetName val="Лист13"/>
      <sheetName val="Лист14"/>
      <sheetName val="Лист15"/>
      <sheetName val="Лист16"/>
      <sheetName val="????3"/>
      <sheetName val="Anlagevermögen"/>
      <sheetName val="P-300"/>
      <sheetName val="параметры"/>
      <sheetName val="План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 80"/>
      <sheetName val="J 81"/>
      <sheetName val="J 82"/>
      <sheetName val="J 129"/>
      <sheetName val="CHECK KAS"/>
      <sheetName val="CHECK IAS"/>
      <sheetName val="A 100"/>
      <sheetName val="A 110"/>
      <sheetName val="A 120"/>
      <sheetName val="A 130 "/>
      <sheetName val="A 140 "/>
      <sheetName val="A 150"/>
      <sheetName val="A 155"/>
      <sheetName val="A 160 "/>
      <sheetName val="A 200"/>
      <sheetName val="A 210"/>
      <sheetName val="A 220"/>
      <sheetName val="A 230"/>
      <sheetName val="A 240"/>
      <sheetName val="A 250"/>
      <sheetName val="A 255"/>
      <sheetName val="A 260"/>
      <sheetName val="B 1"/>
      <sheetName val="C 1"/>
      <sheetName val="F 1"/>
      <sheetName val="G 1"/>
      <sheetName val="H 1"/>
      <sheetName val="H 2"/>
      <sheetName val="I  "/>
      <sheetName val="K1 "/>
      <sheetName val="K 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Index"/>
      <sheetName val="C-Summary"/>
      <sheetName val="C-MLP"/>
      <sheetName val="C 25"/>
      <sheetName val="#REF"/>
      <sheetName val="B 1"/>
      <sheetName val="A 100"/>
      <sheetName val="H"/>
      <sheetName val="J"/>
      <sheetName val="K"/>
      <sheetName val="N"/>
      <sheetName val="O"/>
      <sheetName val="M"/>
      <sheetName val="L"/>
      <sheetName val="F100-Trial BS"/>
      <sheetName val="cash-1030"/>
      <sheetName val="Inputs"/>
      <sheetName val="FA Movement Kyrg"/>
      <sheetName val="Лист3"/>
      <sheetName val="#ССЫЛКА"/>
      <sheetName val="Планы"/>
      <sheetName val="TB"/>
      <sheetName val="форма 1П"/>
      <sheetName val="1кв. "/>
      <sheetName val="2кв."/>
      <sheetName val="Форма2"/>
      <sheetName val="FES"/>
      <sheetName val="Prelim Cost"/>
      <sheetName val="CamKum Prod"/>
      <sheetName val="TKI_2001_12_WP_Treasury Managem"/>
      <sheetName val="VLOOKUP"/>
      <sheetName val="INPUTMASTER"/>
      <sheetName val="Баланс"/>
      <sheetName val="1610"/>
      <sheetName val="C_25"/>
      <sheetName val="B_1"/>
      <sheetName val="A_100"/>
      <sheetName val="1кв__"/>
      <sheetName val="2кв_"/>
      <sheetName val="форма_1П"/>
      <sheetName val="Prelim_Cost"/>
      <sheetName val="CamKum_Prod"/>
      <sheetName val="F100-Trial_BS"/>
      <sheetName val="FA_Movement_Kyrg"/>
      <sheetName val="TKI_2001_12_WP_Treasury_Managem"/>
      <sheetName val="Статьи"/>
      <sheetName val="Данные"/>
      <sheetName val="Depr"/>
      <sheetName val="ЦентрЗатр"/>
      <sheetName val="ЕдИзм"/>
      <sheetName val="Предпр"/>
      <sheetName val="Data-in"/>
      <sheetName val="Anlagevermögen"/>
      <sheetName val="Securities"/>
      <sheetName val="8"/>
      <sheetName val="IS"/>
      <sheetName val="BS"/>
      <sheetName val="Лист2"/>
      <sheetName val="БПО"/>
      <sheetName val="тран2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чень предприятий Группы"/>
      <sheetName val="баланс"/>
      <sheetName val="форма 2"/>
      <sheetName val="форма 3"/>
      <sheetName val="форма4"/>
    </sheetNames>
    <sheetDataSet>
      <sheetData sheetId="0">
        <row r="60">
          <cell r="B60" t="str">
            <v>ТОО "Концерн "Цесна Астык"</v>
          </cell>
        </row>
        <row r="61">
          <cell r="B61" t="str">
            <v>ТОО "Акмола-Дирмен"</v>
          </cell>
        </row>
        <row r="62">
          <cell r="B62" t="str">
            <v>ТОО "Хлебозавод "Цесна-Астык"</v>
          </cell>
        </row>
        <row r="63">
          <cell r="B63" t="str">
            <v>ТОО "Жалтырский элеватор"</v>
          </cell>
        </row>
        <row r="64">
          <cell r="B64" t="str">
            <v>ТОО "Элеватор "Цесна-Астык"</v>
          </cell>
        </row>
        <row r="65">
          <cell r="B65" t="str">
            <v>ТОО "Цесна-Мак"</v>
          </cell>
        </row>
        <row r="66">
          <cell r="B66" t="str">
            <v>ТОО "Алма-Цес"</v>
          </cell>
        </row>
        <row r="67">
          <cell r="B67" t="str">
            <v>ТОО "Астык-Логистик"</v>
          </cell>
        </row>
        <row r="68">
          <cell r="B68" t="str">
            <v>ТОО "Агрофирма "Поиск"</v>
          </cell>
        </row>
        <row r="69">
          <cell r="B69" t="str">
            <v>ТОО "Агро-Цес"</v>
          </cell>
        </row>
        <row r="70">
          <cell r="B70" t="str">
            <v>ТОО "Колутон-95"</v>
          </cell>
        </row>
        <row r="71">
          <cell r="B71" t="str">
            <v>ТОО "Алькен 2010"</v>
          </cell>
        </row>
        <row r="72">
          <cell r="B72" t="str">
            <v>ТОО "Интеграцион"</v>
          </cell>
        </row>
        <row r="73">
          <cell r="B73" t="str">
            <v>ТОО "Кунар-Трейд"</v>
          </cell>
        </row>
        <row r="74">
          <cell r="B74" t="str">
            <v xml:space="preserve">ТОО "Parsec Development" </v>
          </cell>
        </row>
        <row r="75">
          <cell r="B75" t="str">
            <v>ТОО "Цесна-Базис"</v>
          </cell>
        </row>
      </sheetData>
      <sheetData sheetId="1"/>
      <sheetData sheetId="2"/>
      <sheetData sheetId="3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 80"/>
      <sheetName val="J 81"/>
      <sheetName val="J 82"/>
      <sheetName val="J 129"/>
      <sheetName val="CHECK KAS"/>
      <sheetName val="CHECK IAS"/>
      <sheetName val="A 100"/>
      <sheetName val="A 110"/>
      <sheetName val="A 120"/>
      <sheetName val="A 130 "/>
      <sheetName val="A 140 "/>
      <sheetName val="A 150"/>
      <sheetName val="A 155"/>
      <sheetName val="A 160 "/>
      <sheetName val="A 200"/>
      <sheetName val="A 210"/>
      <sheetName val="A 220"/>
      <sheetName val="A 230"/>
      <sheetName val="A 240"/>
      <sheetName val="A 250"/>
      <sheetName val="A 255"/>
      <sheetName val="A 260"/>
      <sheetName val="B 1"/>
      <sheetName val="C 1"/>
      <sheetName val="F 1"/>
      <sheetName val="G 1"/>
      <sheetName val="H 1"/>
      <sheetName val="H 2"/>
      <sheetName val="I  "/>
      <sheetName val="K1 "/>
      <sheetName val="K 2"/>
      <sheetName val="Title"/>
      <sheetName val="Entities"/>
      <sheetName val="Лист3"/>
      <sheetName val="Securities"/>
      <sheetName val="A-20"/>
      <sheetName val="SETUP"/>
      <sheetName val="Prelim Co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0837"/>
    <pageSetUpPr autoPageBreaks="0"/>
  </sheetPr>
  <dimension ref="A1:U157"/>
  <sheetViews>
    <sheetView view="pageBreakPreview" topLeftCell="B37" zoomScale="60" zoomScaleNormal="80" workbookViewId="0">
      <selection activeCell="T44" sqref="T44"/>
    </sheetView>
  </sheetViews>
  <sheetFormatPr defaultColWidth="9.109375" defaultRowHeight="18.75" customHeight="1" outlineLevelRow="1" outlineLevelCol="1" x14ac:dyDescent="0.3"/>
  <cols>
    <col min="1" max="1" width="0" style="1" hidden="1" customWidth="1" outlineLevel="1"/>
    <col min="2" max="2" width="116.109375" style="2" customWidth="1" collapsed="1"/>
    <col min="3" max="3" width="24" style="2" customWidth="1"/>
    <col min="4" max="4" width="22.5546875" style="2" customWidth="1"/>
    <col min="5" max="5" width="10.44140625" style="1" hidden="1" customWidth="1" outlineLevel="1"/>
    <col min="6" max="6" width="21.88671875" style="1" hidden="1" customWidth="1" outlineLevel="1"/>
    <col min="7" max="7" width="21.33203125" style="1" bestFit="1" customWidth="1" collapsed="1"/>
    <col min="8" max="8" width="23.109375" style="1" bestFit="1" customWidth="1"/>
    <col min="9" max="9" width="13.33203125" style="1" bestFit="1" customWidth="1"/>
    <col min="10" max="10" width="12.44140625" style="1" hidden="1" customWidth="1" outlineLevel="1"/>
    <col min="11" max="13" width="9.109375" style="1" hidden="1" customWidth="1" outlineLevel="1"/>
    <col min="14" max="14" width="12.44140625" style="1" hidden="1" customWidth="1" outlineLevel="1"/>
    <col min="15" max="15" width="9.109375" style="1" hidden="1" customWidth="1" outlineLevel="1"/>
    <col min="16" max="17" width="14.88671875" style="1" hidden="1" customWidth="1" outlineLevel="1"/>
    <col min="18" max="19" width="9.109375" style="1" hidden="1" customWidth="1" outlineLevel="1"/>
    <col min="20" max="20" width="9.109375" style="1" collapsed="1"/>
    <col min="21" max="16384" width="9.109375" style="1"/>
  </cols>
  <sheetData>
    <row r="1" spans="1:21" ht="18.75" customHeight="1" x14ac:dyDescent="0.3">
      <c r="B1" s="50" t="s">
        <v>69</v>
      </c>
    </row>
    <row r="2" spans="1:21" ht="18.75" customHeight="1" x14ac:dyDescent="0.3">
      <c r="B2" s="51" t="s">
        <v>68</v>
      </c>
      <c r="N2" s="1" t="s">
        <v>67</v>
      </c>
      <c r="P2" s="15">
        <v>43921</v>
      </c>
    </row>
    <row r="3" spans="1:21" ht="18.75" customHeight="1" x14ac:dyDescent="0.3">
      <c r="B3" s="51" t="s">
        <v>66</v>
      </c>
      <c r="C3" s="49"/>
      <c r="N3" s="1" t="s">
        <v>65</v>
      </c>
      <c r="P3" s="15">
        <v>44012</v>
      </c>
    </row>
    <row r="4" spans="1:21" ht="18.75" customHeight="1" x14ac:dyDescent="0.3">
      <c r="B4" s="51" t="s">
        <v>64</v>
      </c>
      <c r="C4" s="49"/>
      <c r="N4" s="1" t="s">
        <v>63</v>
      </c>
      <c r="P4" s="15">
        <v>44104</v>
      </c>
    </row>
    <row r="5" spans="1:21" ht="18.75" customHeight="1" x14ac:dyDescent="0.3">
      <c r="B5" s="50" t="s">
        <v>62</v>
      </c>
      <c r="C5" s="49"/>
      <c r="N5" s="1" t="s">
        <v>61</v>
      </c>
      <c r="P5" s="15">
        <v>44196</v>
      </c>
    </row>
    <row r="9" spans="1:21" ht="18.75" customHeight="1" x14ac:dyDescent="0.3">
      <c r="B9" s="340" t="s">
        <v>60</v>
      </c>
      <c r="C9" s="340"/>
      <c r="D9" s="340"/>
    </row>
    <row r="10" spans="1:21" ht="18.75" customHeight="1" x14ac:dyDescent="0.3">
      <c r="B10" s="340" t="s">
        <v>59</v>
      </c>
      <c r="C10" s="340"/>
      <c r="D10" s="340"/>
    </row>
    <row r="11" spans="1:21" ht="18.75" customHeight="1" x14ac:dyDescent="0.3">
      <c r="B11" s="340" t="s">
        <v>58</v>
      </c>
      <c r="C11" s="340"/>
      <c r="D11" s="340"/>
    </row>
    <row r="12" spans="1:21" ht="18.75" customHeight="1" x14ac:dyDescent="0.3">
      <c r="B12" s="340" t="s">
        <v>65</v>
      </c>
      <c r="C12" s="340"/>
      <c r="D12" s="340"/>
    </row>
    <row r="13" spans="1:21" ht="18.75" customHeight="1" thickBot="1" x14ac:dyDescent="0.35">
      <c r="B13" s="49"/>
      <c r="D13" s="48" t="s">
        <v>311</v>
      </c>
    </row>
    <row r="14" spans="1:21" ht="18.75" customHeight="1" thickBot="1" x14ac:dyDescent="0.35">
      <c r="B14" s="47"/>
      <c r="C14" s="46" t="s">
        <v>301</v>
      </c>
      <c r="D14" s="46" t="s">
        <v>57</v>
      </c>
    </row>
    <row r="15" spans="1:21" ht="18.75" customHeight="1" x14ac:dyDescent="0.3">
      <c r="A15" s="1" t="s">
        <v>56</v>
      </c>
      <c r="B15" s="42" t="s">
        <v>55</v>
      </c>
      <c r="C15" s="45"/>
      <c r="D15" s="45"/>
    </row>
    <row r="16" spans="1:21" ht="18.75" customHeight="1" x14ac:dyDescent="0.3">
      <c r="A16" s="1">
        <v>1</v>
      </c>
      <c r="B16" s="38" t="s">
        <v>54</v>
      </c>
      <c r="C16" s="34">
        <f>ROUND(527682.987,0)</f>
        <v>527683</v>
      </c>
      <c r="D16" s="34">
        <f>ROUND(298046.676,0)</f>
        <v>298047</v>
      </c>
      <c r="E16" s="1">
        <f t="shared" ref="E16:E55" si="0">A16</f>
        <v>1</v>
      </c>
      <c r="F16" s="16"/>
      <c r="G16" s="16"/>
      <c r="H16" s="16"/>
      <c r="I16" s="16"/>
      <c r="T16" s="16"/>
      <c r="U16" s="16"/>
    </row>
    <row r="17" spans="1:21" ht="18.75" customHeight="1" x14ac:dyDescent="0.3">
      <c r="A17" s="1">
        <v>12.1</v>
      </c>
      <c r="B17" s="44" t="s">
        <v>53</v>
      </c>
      <c r="C17" s="34">
        <f>ROUND(8432.906,0)</f>
        <v>8433</v>
      </c>
      <c r="D17" s="34">
        <f>ROUND(13.261,0)</f>
        <v>13</v>
      </c>
      <c r="E17" s="1">
        <f t="shared" si="0"/>
        <v>12.1</v>
      </c>
      <c r="F17" s="16"/>
      <c r="G17" s="16"/>
      <c r="H17" s="16"/>
      <c r="I17" s="16"/>
      <c r="T17" s="16"/>
      <c r="U17" s="16"/>
    </row>
    <row r="18" spans="1:21" ht="18.75" customHeight="1" x14ac:dyDescent="0.3">
      <c r="A18" s="1">
        <v>2</v>
      </c>
      <c r="B18" s="38" t="s">
        <v>52</v>
      </c>
      <c r="C18" s="34">
        <f>ROUND(12820.574,0)</f>
        <v>12821</v>
      </c>
      <c r="D18" s="34">
        <f>ROUND(3548.489,0)</f>
        <v>3548</v>
      </c>
      <c r="E18" s="1">
        <f t="shared" si="0"/>
        <v>2</v>
      </c>
      <c r="F18" s="16"/>
      <c r="G18" s="16"/>
      <c r="H18" s="16"/>
      <c r="I18" s="16"/>
      <c r="T18" s="16"/>
      <c r="U18" s="16"/>
    </row>
    <row r="19" spans="1:21" ht="18" x14ac:dyDescent="0.3">
      <c r="A19" s="1">
        <v>3</v>
      </c>
      <c r="B19" s="44" t="s">
        <v>51</v>
      </c>
      <c r="C19" s="34">
        <f>ROUND(32155.974,0)</f>
        <v>32156</v>
      </c>
      <c r="D19" s="34">
        <f>ROUND(5027.102,0)</f>
        <v>5027</v>
      </c>
      <c r="E19" s="1">
        <f t="shared" si="0"/>
        <v>3</v>
      </c>
      <c r="F19" s="16"/>
      <c r="G19" s="16"/>
      <c r="H19" s="16"/>
      <c r="I19" s="16"/>
      <c r="T19" s="16"/>
      <c r="U19" s="16"/>
    </row>
    <row r="20" spans="1:21" ht="18.75" customHeight="1" x14ac:dyDescent="0.3">
      <c r="A20" s="1">
        <v>4.0999999999999996</v>
      </c>
      <c r="B20" s="44" t="s">
        <v>50</v>
      </c>
      <c r="C20" s="34">
        <f>ROUND(414757.868,0)</f>
        <v>414758</v>
      </c>
      <c r="D20" s="34">
        <f>ROUND(606861.118,0)</f>
        <v>606861</v>
      </c>
      <c r="E20" s="1">
        <f t="shared" si="0"/>
        <v>4.0999999999999996</v>
      </c>
      <c r="F20" s="16"/>
      <c r="G20" s="16"/>
      <c r="H20" s="16"/>
      <c r="I20" s="16"/>
      <c r="T20" s="16"/>
      <c r="U20" s="16"/>
    </row>
    <row r="21" spans="1:21" ht="18.75" customHeight="1" x14ac:dyDescent="0.3">
      <c r="A21" s="1">
        <v>5</v>
      </c>
      <c r="B21" s="38" t="s">
        <v>49</v>
      </c>
      <c r="C21" s="34">
        <f>ROUND(382983.473,0)</f>
        <v>382983</v>
      </c>
      <c r="D21" s="34">
        <f>ROUND(414651.481,0)</f>
        <v>414651</v>
      </c>
      <c r="E21" s="1">
        <f t="shared" si="0"/>
        <v>5</v>
      </c>
      <c r="F21" s="16"/>
      <c r="G21" s="16"/>
      <c r="H21" s="16"/>
      <c r="I21" s="16"/>
      <c r="T21" s="16"/>
      <c r="U21" s="16"/>
    </row>
    <row r="22" spans="1:21" ht="38.25" customHeight="1" x14ac:dyDescent="0.3">
      <c r="A22" s="1">
        <v>3.1</v>
      </c>
      <c r="B22" s="43" t="s">
        <v>48</v>
      </c>
      <c r="C22" s="34">
        <f>ROUND(95864.359,0)</f>
        <v>95864</v>
      </c>
      <c r="D22" s="34">
        <f>ROUND(70240.616,0)</f>
        <v>70241</v>
      </c>
      <c r="E22" s="1">
        <f t="shared" si="0"/>
        <v>3.1</v>
      </c>
      <c r="F22" s="16"/>
      <c r="G22" s="16"/>
      <c r="H22" s="16"/>
      <c r="I22" s="16"/>
      <c r="T22" s="16"/>
      <c r="U22" s="16"/>
    </row>
    <row r="23" spans="1:21" ht="18.75" customHeight="1" x14ac:dyDescent="0.3">
      <c r="A23" s="1">
        <v>9</v>
      </c>
      <c r="B23" s="38" t="s">
        <v>47</v>
      </c>
      <c r="C23" s="34">
        <f>ROUND(3341.509,0)</f>
        <v>3342</v>
      </c>
      <c r="D23" s="34">
        <f>ROUND(3313.235,0)</f>
        <v>3313</v>
      </c>
      <c r="E23" s="1">
        <f t="shared" si="0"/>
        <v>9</v>
      </c>
      <c r="F23" s="16"/>
      <c r="G23" s="16"/>
      <c r="H23" s="16"/>
      <c r="I23" s="16"/>
      <c r="T23" s="16"/>
      <c r="U23" s="16"/>
    </row>
    <row r="24" spans="1:21" ht="18.75" customHeight="1" x14ac:dyDescent="0.3">
      <c r="A24" s="1">
        <v>7</v>
      </c>
      <c r="B24" s="38" t="s">
        <v>46</v>
      </c>
      <c r="C24" s="34">
        <f>ROUND(55106.687,0)</f>
        <v>55107</v>
      </c>
      <c r="D24" s="34">
        <f>ROUND(54271.624,0)</f>
        <v>54272</v>
      </c>
      <c r="E24" s="1">
        <f t="shared" si="0"/>
        <v>7</v>
      </c>
      <c r="F24" s="16"/>
      <c r="G24" s="16"/>
      <c r="H24" s="16"/>
      <c r="I24" s="16"/>
      <c r="T24" s="16"/>
      <c r="U24" s="16"/>
    </row>
    <row r="25" spans="1:21" ht="18.75" customHeight="1" x14ac:dyDescent="0.3">
      <c r="A25" s="1">
        <v>10</v>
      </c>
      <c r="B25" s="38" t="s">
        <v>45</v>
      </c>
      <c r="C25" s="34">
        <f>ROUND(7466.161,0)</f>
        <v>7466</v>
      </c>
      <c r="D25" s="34">
        <f>ROUND(9143.507,0)</f>
        <v>9144</v>
      </c>
      <c r="E25" s="1">
        <f t="shared" si="0"/>
        <v>10</v>
      </c>
      <c r="F25" s="16"/>
      <c r="G25" s="16"/>
      <c r="H25" s="16"/>
      <c r="I25" s="16"/>
      <c r="T25" s="16"/>
      <c r="U25" s="16"/>
    </row>
    <row r="26" spans="1:21" ht="18.75" customHeight="1" x14ac:dyDescent="0.3">
      <c r="A26" s="1">
        <v>8</v>
      </c>
      <c r="B26" s="38" t="s">
        <v>44</v>
      </c>
      <c r="C26" s="34">
        <f>ROUND(5331.385,0)</f>
        <v>5331</v>
      </c>
      <c r="D26" s="34">
        <f>ROUND(5440.512,0)</f>
        <v>5441</v>
      </c>
      <c r="E26" s="1">
        <f t="shared" si="0"/>
        <v>8</v>
      </c>
      <c r="F26" s="16"/>
      <c r="G26" s="16"/>
      <c r="H26" s="16"/>
      <c r="I26" s="16"/>
      <c r="T26" s="16"/>
      <c r="U26" s="16"/>
    </row>
    <row r="27" spans="1:21" ht="18.75" customHeight="1" x14ac:dyDescent="0.3">
      <c r="A27" s="1">
        <v>11</v>
      </c>
      <c r="B27" s="38" t="s">
        <v>43</v>
      </c>
      <c r="C27" s="34">
        <f>ROUND(645.604,0)</f>
        <v>646</v>
      </c>
      <c r="D27" s="34">
        <f>ROUND(643.597,0)</f>
        <v>644</v>
      </c>
      <c r="E27" s="1">
        <f t="shared" si="0"/>
        <v>11</v>
      </c>
      <c r="F27" s="16"/>
      <c r="G27" s="16"/>
      <c r="H27" s="16"/>
      <c r="I27" s="16"/>
      <c r="T27" s="16"/>
      <c r="U27" s="16"/>
    </row>
    <row r="28" spans="1:21" ht="18.75" customHeight="1" x14ac:dyDescent="0.3">
      <c r="A28" s="1">
        <v>12</v>
      </c>
      <c r="B28" s="38" t="s">
        <v>42</v>
      </c>
      <c r="C28" s="34">
        <f>ROUND(2081.711,0)</f>
        <v>2082</v>
      </c>
      <c r="D28" s="34">
        <f>ROUND(2284.445,0)</f>
        <v>2284</v>
      </c>
      <c r="E28" s="1">
        <f t="shared" si="0"/>
        <v>12</v>
      </c>
      <c r="F28" s="16" t="s">
        <v>19</v>
      </c>
      <c r="G28" s="16"/>
      <c r="H28" s="16"/>
      <c r="I28" s="16"/>
      <c r="T28" s="16"/>
      <c r="U28" s="16"/>
    </row>
    <row r="29" spans="1:21" ht="18.75" customHeight="1" thickBot="1" x14ac:dyDescent="0.35">
      <c r="A29" s="1">
        <v>13</v>
      </c>
      <c r="B29" s="38" t="s">
        <v>41</v>
      </c>
      <c r="C29" s="34">
        <f>ROUND(13937.945,0)</f>
        <v>13938</v>
      </c>
      <c r="D29" s="34">
        <f>ROUND(18639.462,0)</f>
        <v>18639</v>
      </c>
      <c r="E29" s="1">
        <f t="shared" si="0"/>
        <v>13</v>
      </c>
      <c r="F29" s="16" t="s">
        <v>19</v>
      </c>
      <c r="G29" s="16"/>
      <c r="H29" s="16"/>
      <c r="I29" s="16"/>
      <c r="T29" s="16"/>
      <c r="U29" s="16"/>
    </row>
    <row r="30" spans="1:21" ht="18.75" customHeight="1" thickBot="1" x14ac:dyDescent="0.35">
      <c r="B30" s="23" t="s">
        <v>40</v>
      </c>
      <c r="C30" s="22">
        <f>SUM(C16:C29)</f>
        <v>1562610</v>
      </c>
      <c r="D30" s="22">
        <f>SUM(D16:D29)</f>
        <v>1492125</v>
      </c>
      <c r="E30" s="1">
        <f t="shared" si="0"/>
        <v>0</v>
      </c>
      <c r="F30" s="16"/>
      <c r="G30" s="21"/>
    </row>
    <row r="31" spans="1:21" ht="18.75" customHeight="1" x14ac:dyDescent="0.3">
      <c r="B31" s="42" t="s">
        <v>39</v>
      </c>
      <c r="C31" s="39"/>
      <c r="D31" s="39"/>
      <c r="E31" s="1">
        <f t="shared" si="0"/>
        <v>0</v>
      </c>
      <c r="G31" s="21"/>
      <c r="H31" s="21"/>
    </row>
    <row r="32" spans="1:21" ht="18.75" customHeight="1" x14ac:dyDescent="0.3">
      <c r="A32" s="1">
        <v>15</v>
      </c>
      <c r="B32" s="38" t="s">
        <v>38</v>
      </c>
      <c r="C32" s="34">
        <f>ROUND(8813.071,0)</f>
        <v>8813</v>
      </c>
      <c r="D32" s="34">
        <f>ROUND(9836.051,0)</f>
        <v>9836</v>
      </c>
      <c r="E32" s="1">
        <f t="shared" si="0"/>
        <v>15</v>
      </c>
      <c r="F32" s="16" t="s">
        <v>19</v>
      </c>
      <c r="G32" s="16"/>
      <c r="H32" s="21"/>
      <c r="T32" s="16"/>
      <c r="U32" s="16"/>
    </row>
    <row r="33" spans="1:21" ht="18.75" customHeight="1" x14ac:dyDescent="0.3">
      <c r="A33" s="1">
        <v>19</v>
      </c>
      <c r="B33" s="38" t="s">
        <v>37</v>
      </c>
      <c r="C33" s="34">
        <f>ROUND(94593.825,0)</f>
        <v>94594</v>
      </c>
      <c r="D33" s="34">
        <f>ROUND(4987.066,0)</f>
        <v>4987</v>
      </c>
      <c r="E33" s="1">
        <f t="shared" si="0"/>
        <v>19</v>
      </c>
      <c r="F33" s="16" t="s">
        <v>19</v>
      </c>
      <c r="G33" s="16"/>
      <c r="H33" s="21"/>
      <c r="T33" s="16"/>
      <c r="U33" s="16"/>
    </row>
    <row r="34" spans="1:21" ht="18.75" customHeight="1" x14ac:dyDescent="0.3">
      <c r="A34" s="1">
        <v>22.1</v>
      </c>
      <c r="B34" s="37" t="s">
        <v>36</v>
      </c>
      <c r="C34" s="34">
        <f>ROUND(6.85,0)</f>
        <v>7</v>
      </c>
      <c r="D34" s="34">
        <f>ROUND(42.077,0)</f>
        <v>42</v>
      </c>
      <c r="E34" s="1">
        <f t="shared" si="0"/>
        <v>22.1</v>
      </c>
      <c r="F34" s="16" t="s">
        <v>19</v>
      </c>
      <c r="G34" s="16"/>
      <c r="H34" s="21"/>
      <c r="T34" s="16"/>
      <c r="U34" s="16"/>
    </row>
    <row r="35" spans="1:21" ht="18.75" customHeight="1" x14ac:dyDescent="0.3">
      <c r="A35" s="1">
        <v>16</v>
      </c>
      <c r="B35" s="38" t="s">
        <v>35</v>
      </c>
      <c r="C35" s="34">
        <f>ROUND(880663.192,0)</f>
        <v>880663</v>
      </c>
      <c r="D35" s="34">
        <f>ROUND(791625.539,0)</f>
        <v>791626</v>
      </c>
      <c r="E35" s="1">
        <f t="shared" si="0"/>
        <v>16</v>
      </c>
      <c r="F35" s="16" t="s">
        <v>19</v>
      </c>
      <c r="G35" s="16"/>
      <c r="H35" s="21"/>
      <c r="T35" s="16"/>
      <c r="U35" s="16"/>
    </row>
    <row r="36" spans="1:21" ht="18.75" customHeight="1" x14ac:dyDescent="0.3">
      <c r="A36" s="1">
        <v>17</v>
      </c>
      <c r="B36" s="38" t="s">
        <v>34</v>
      </c>
      <c r="C36" s="34">
        <f>ROUND(155781.034,0)</f>
        <v>155781</v>
      </c>
      <c r="D36" s="34">
        <f>ROUND(148604,0)</f>
        <v>148604</v>
      </c>
      <c r="E36" s="1">
        <f t="shared" si="0"/>
        <v>17</v>
      </c>
      <c r="F36" s="16" t="s">
        <v>19</v>
      </c>
      <c r="G36" s="16"/>
      <c r="H36" s="21"/>
      <c r="T36" s="16"/>
      <c r="U36" s="16"/>
    </row>
    <row r="37" spans="1:21" ht="18.75" customHeight="1" x14ac:dyDescent="0.3">
      <c r="A37" s="1">
        <v>18</v>
      </c>
      <c r="B37" s="38" t="s">
        <v>33</v>
      </c>
      <c r="C37" s="34">
        <f>ROUND(79262.879,0)</f>
        <v>79263</v>
      </c>
      <c r="D37" s="34">
        <f>ROUND(75277.005,0)</f>
        <v>75277</v>
      </c>
      <c r="E37" s="1">
        <f t="shared" si="0"/>
        <v>18</v>
      </c>
      <c r="F37" s="16" t="s">
        <v>19</v>
      </c>
      <c r="G37" s="16"/>
      <c r="H37" s="21"/>
      <c r="T37" s="16"/>
      <c r="U37" s="16"/>
    </row>
    <row r="38" spans="1:21" ht="18.75" customHeight="1" x14ac:dyDescent="0.3">
      <c r="A38" s="1">
        <v>22.2</v>
      </c>
      <c r="B38" s="38" t="s">
        <v>32</v>
      </c>
      <c r="C38" s="34">
        <f>ROUND(4168.121,0)</f>
        <v>4168</v>
      </c>
      <c r="D38" s="34">
        <f>ROUND(4489.005,0)</f>
        <v>4489</v>
      </c>
      <c r="E38" s="1">
        <f t="shared" si="0"/>
        <v>22.2</v>
      </c>
      <c r="F38" s="16" t="s">
        <v>19</v>
      </c>
      <c r="G38" s="16"/>
      <c r="H38" s="21"/>
      <c r="T38" s="16"/>
      <c r="U38" s="16"/>
    </row>
    <row r="39" spans="1:21" ht="18.75" customHeight="1" x14ac:dyDescent="0.3">
      <c r="A39" s="1">
        <v>22</v>
      </c>
      <c r="B39" s="38" t="s">
        <v>31</v>
      </c>
      <c r="C39" s="34">
        <f>ROUND(18.014,0)+1</f>
        <v>19</v>
      </c>
      <c r="D39" s="34">
        <f>ROUND(24.028,0)</f>
        <v>24</v>
      </c>
      <c r="E39" s="1">
        <f t="shared" si="0"/>
        <v>22</v>
      </c>
      <c r="F39" s="16" t="s">
        <v>19</v>
      </c>
      <c r="G39" s="16"/>
      <c r="H39" s="21"/>
      <c r="T39" s="16"/>
      <c r="U39" s="16"/>
    </row>
    <row r="40" spans="1:21" ht="18.75" customHeight="1" x14ac:dyDescent="0.3">
      <c r="A40" s="1">
        <v>21</v>
      </c>
      <c r="B40" s="38" t="s">
        <v>30</v>
      </c>
      <c r="C40" s="34">
        <f>ROUND(75810.244,0)</f>
        <v>75810</v>
      </c>
      <c r="D40" s="34">
        <f>ROUND(73522.033,0)</f>
        <v>73522</v>
      </c>
      <c r="E40" s="1">
        <f t="shared" si="0"/>
        <v>21</v>
      </c>
      <c r="F40" s="16" t="s">
        <v>19</v>
      </c>
      <c r="G40" s="16"/>
      <c r="H40" s="21"/>
      <c r="T40" s="16"/>
      <c r="U40" s="16"/>
    </row>
    <row r="41" spans="1:21" ht="18.75" customHeight="1" x14ac:dyDescent="0.3">
      <c r="A41" s="1">
        <v>20</v>
      </c>
      <c r="B41" s="38" t="s">
        <v>29</v>
      </c>
      <c r="C41" s="34">
        <f>ROUND(8165.961,0)</f>
        <v>8166</v>
      </c>
      <c r="D41" s="34">
        <f>ROUND(5961.016,0)</f>
        <v>5961</v>
      </c>
      <c r="E41" s="1">
        <f t="shared" si="0"/>
        <v>20</v>
      </c>
      <c r="F41" s="16" t="s">
        <v>19</v>
      </c>
      <c r="G41" s="16"/>
      <c r="H41" s="21"/>
      <c r="T41" s="16"/>
      <c r="U41" s="16"/>
    </row>
    <row r="42" spans="1:21" ht="18.75" customHeight="1" thickBot="1" x14ac:dyDescent="0.35">
      <c r="A42" s="1">
        <v>23</v>
      </c>
      <c r="B42" s="38" t="s">
        <v>28</v>
      </c>
      <c r="C42" s="34">
        <f>ROUND(17139.013,0)</f>
        <v>17139</v>
      </c>
      <c r="D42" s="34">
        <f>ROUND(18450.825,0)</f>
        <v>18451</v>
      </c>
      <c r="E42" s="1">
        <f t="shared" si="0"/>
        <v>23</v>
      </c>
      <c r="F42" s="16" t="s">
        <v>19</v>
      </c>
      <c r="G42" s="16"/>
      <c r="H42" s="21"/>
      <c r="T42" s="16"/>
      <c r="U42" s="16"/>
    </row>
    <row r="43" spans="1:21" ht="18.75" customHeight="1" thickBot="1" x14ac:dyDescent="0.35">
      <c r="B43" s="23" t="s">
        <v>27</v>
      </c>
      <c r="C43" s="22">
        <f>SUM(C32:C42)</f>
        <v>1324423</v>
      </c>
      <c r="D43" s="22">
        <f>SUM(D32:D42)</f>
        <v>1132819</v>
      </c>
      <c r="E43" s="1">
        <f t="shared" si="0"/>
        <v>0</v>
      </c>
      <c r="G43" s="21"/>
      <c r="H43" s="21"/>
    </row>
    <row r="44" spans="1:21" ht="18.75" customHeight="1" x14ac:dyDescent="0.3">
      <c r="B44" s="41" t="s">
        <v>26</v>
      </c>
      <c r="C44" s="40"/>
      <c r="D44" s="39"/>
      <c r="E44" s="1">
        <f t="shared" si="0"/>
        <v>0</v>
      </c>
      <c r="G44" s="21"/>
      <c r="H44" s="21"/>
    </row>
    <row r="45" spans="1:21" ht="18.75" customHeight="1" x14ac:dyDescent="0.3">
      <c r="A45" s="1">
        <v>24</v>
      </c>
      <c r="B45" s="38" t="s">
        <v>25</v>
      </c>
      <c r="C45" s="34">
        <f>ROUND(216540,0)</f>
        <v>216540</v>
      </c>
      <c r="D45" s="36">
        <f>ROUND(216540,0)</f>
        <v>216540</v>
      </c>
      <c r="E45" s="1">
        <f t="shared" si="0"/>
        <v>24</v>
      </c>
      <c r="F45" s="16"/>
      <c r="G45" s="16"/>
      <c r="H45" s="21"/>
      <c r="T45" s="16"/>
      <c r="U45" s="16"/>
    </row>
    <row r="46" spans="1:21" ht="18.75" customHeight="1" x14ac:dyDescent="0.3">
      <c r="A46" s="1">
        <v>25</v>
      </c>
      <c r="B46" s="38" t="s">
        <v>24</v>
      </c>
      <c r="C46" s="34">
        <f>ROUND(630.571,0)</f>
        <v>631</v>
      </c>
      <c r="D46" s="36">
        <f>ROUND(630.571,0)</f>
        <v>631</v>
      </c>
      <c r="E46" s="1">
        <f t="shared" si="0"/>
        <v>25</v>
      </c>
      <c r="F46" s="16"/>
      <c r="G46" s="16"/>
      <c r="H46" s="21"/>
      <c r="T46" s="16"/>
      <c r="U46" s="16"/>
    </row>
    <row r="47" spans="1:21" ht="18.75" customHeight="1" x14ac:dyDescent="0.3">
      <c r="A47" s="1">
        <v>26.1</v>
      </c>
      <c r="B47" s="38" t="s">
        <v>23</v>
      </c>
      <c r="C47" s="34">
        <f>ROUND(1888.323,0)</f>
        <v>1888</v>
      </c>
      <c r="D47" s="36">
        <f>ROUND(1945.152,0)</f>
        <v>1945</v>
      </c>
      <c r="E47" s="1">
        <f t="shared" si="0"/>
        <v>26.1</v>
      </c>
      <c r="F47" s="16"/>
      <c r="G47" s="16"/>
      <c r="H47" s="21"/>
      <c r="T47" s="16"/>
      <c r="U47" s="16"/>
    </row>
    <row r="48" spans="1:21" ht="18.75" customHeight="1" x14ac:dyDescent="0.3">
      <c r="A48" s="1">
        <v>26</v>
      </c>
      <c r="B48" s="38" t="s">
        <v>22</v>
      </c>
      <c r="C48" s="34">
        <f>ROUND(1876.366,0)</f>
        <v>1876</v>
      </c>
      <c r="D48" s="36">
        <f>ROUND(4107.89,0)</f>
        <v>4108</v>
      </c>
      <c r="E48" s="1">
        <f t="shared" si="0"/>
        <v>26</v>
      </c>
      <c r="F48" s="16"/>
      <c r="G48" s="16"/>
      <c r="H48" s="21"/>
      <c r="T48" s="16"/>
      <c r="U48" s="16"/>
    </row>
    <row r="49" spans="1:21" ht="18.75" customHeight="1" x14ac:dyDescent="0.3">
      <c r="A49" s="1">
        <v>27</v>
      </c>
      <c r="B49" s="38" t="s">
        <v>21</v>
      </c>
      <c r="C49" s="34">
        <f>ROUND(-988.432,0)</f>
        <v>-988</v>
      </c>
      <c r="D49" s="36">
        <f>ROUND(649.081,0)</f>
        <v>649</v>
      </c>
      <c r="E49" s="1">
        <f t="shared" si="0"/>
        <v>27</v>
      </c>
      <c r="F49" s="16"/>
      <c r="G49" s="16"/>
      <c r="H49" s="21"/>
      <c r="T49" s="16"/>
      <c r="U49" s="16"/>
    </row>
    <row r="50" spans="1:21" ht="18.75" customHeight="1" x14ac:dyDescent="0.3">
      <c r="A50" s="1">
        <v>26.2</v>
      </c>
      <c r="B50" s="37" t="s">
        <v>20</v>
      </c>
      <c r="C50" s="34">
        <f>ROUND(-137563.655,0)</f>
        <v>-137564</v>
      </c>
      <c r="D50" s="36">
        <f>ROUND((-137563555-100)/1000,0)</f>
        <v>-137564</v>
      </c>
      <c r="E50" s="1">
        <f t="shared" si="0"/>
        <v>26.2</v>
      </c>
      <c r="F50" s="16"/>
      <c r="G50" s="16"/>
      <c r="H50" s="21"/>
      <c r="T50" s="16"/>
      <c r="U50" s="16"/>
    </row>
    <row r="51" spans="1:21" ht="18.75" customHeight="1" thickBot="1" x14ac:dyDescent="0.4">
      <c r="A51" s="1">
        <v>29</v>
      </c>
      <c r="B51" s="35" t="str">
        <f>IF(OR(AND(C51&lt;0,D51&lt;0),AND(C51&lt;0,D51=0),AND(D51&lt;0,C51=0)),P51,IF(OR(AND(C51&gt;0,D51&gt;0),AND(D51&gt;0,C51=0),AND(C51&gt;0,D51=0)),Q51,IF(AND(C51&gt;0,D51&lt;0),R51,S51)))</f>
        <v>Нераспределенная прибыль</v>
      </c>
      <c r="C51" s="328">
        <f>ROUND(155803.766,0)</f>
        <v>155804</v>
      </c>
      <c r="D51" s="33">
        <f>ROUND(272997.441,0)</f>
        <v>272997</v>
      </c>
      <c r="E51" s="1">
        <f t="shared" si="0"/>
        <v>29</v>
      </c>
      <c r="F51" s="16" t="s">
        <v>19</v>
      </c>
      <c r="G51" s="16"/>
      <c r="H51" s="21"/>
      <c r="P51" s="1" t="s">
        <v>308</v>
      </c>
      <c r="Q51" s="1" t="s">
        <v>18</v>
      </c>
      <c r="R51" s="1" t="s">
        <v>309</v>
      </c>
      <c r="S51" s="1" t="s">
        <v>310</v>
      </c>
      <c r="T51" s="16"/>
      <c r="U51" s="16"/>
    </row>
    <row r="52" spans="1:21" ht="18.75" customHeight="1" thickBot="1" x14ac:dyDescent="0.35">
      <c r="B52" s="27" t="s">
        <v>17</v>
      </c>
      <c r="C52" s="32">
        <f>SUM(C45:C51)</f>
        <v>238187</v>
      </c>
      <c r="D52" s="26">
        <f>SUM(D45:D51)</f>
        <v>359306</v>
      </c>
      <c r="E52" s="1">
        <f t="shared" si="0"/>
        <v>0</v>
      </c>
      <c r="F52" s="31"/>
      <c r="G52" s="21"/>
      <c r="H52" s="21"/>
    </row>
    <row r="53" spans="1:21" ht="18.75" customHeight="1" thickBot="1" x14ac:dyDescent="0.35">
      <c r="B53" s="30" t="s">
        <v>16</v>
      </c>
      <c r="C53" s="29">
        <v>0</v>
      </c>
      <c r="D53" s="28">
        <v>0</v>
      </c>
      <c r="E53" s="1">
        <f t="shared" si="0"/>
        <v>0</v>
      </c>
      <c r="F53" s="16"/>
      <c r="G53" s="21"/>
      <c r="H53" s="21"/>
    </row>
    <row r="54" spans="1:21" ht="18.75" customHeight="1" thickBot="1" x14ac:dyDescent="0.35">
      <c r="B54" s="27" t="s">
        <v>15</v>
      </c>
      <c r="C54" s="26">
        <f>SUM(C52:C53)</f>
        <v>238187</v>
      </c>
      <c r="D54" s="26">
        <f>SUM(D52:D53)</f>
        <v>359306</v>
      </c>
      <c r="E54" s="1">
        <f t="shared" si="0"/>
        <v>0</v>
      </c>
      <c r="F54" s="21"/>
      <c r="G54" s="25" t="s">
        <v>14</v>
      </c>
      <c r="H54" s="24"/>
    </row>
    <row r="55" spans="1:21" ht="18.75" customHeight="1" thickBot="1" x14ac:dyDescent="0.35">
      <c r="B55" s="23" t="s">
        <v>13</v>
      </c>
      <c r="C55" s="22">
        <f>SUM(C52,C43)</f>
        <v>1562610</v>
      </c>
      <c r="D55" s="22">
        <f>SUM(D52,D43)</f>
        <v>1492125</v>
      </c>
      <c r="E55" s="1">
        <f t="shared" si="0"/>
        <v>0</v>
      </c>
      <c r="F55" s="21"/>
      <c r="G55" s="20">
        <f>C55-C30</f>
        <v>0</v>
      </c>
      <c r="H55" s="19">
        <f>D55-D30</f>
        <v>0</v>
      </c>
    </row>
    <row r="56" spans="1:21" ht="18.75" customHeight="1" x14ac:dyDescent="0.3">
      <c r="B56" s="18" t="s">
        <v>12</v>
      </c>
    </row>
    <row r="57" spans="1:21" ht="18.75" customHeight="1" x14ac:dyDescent="0.3">
      <c r="B57" s="18"/>
    </row>
    <row r="58" spans="1:21" ht="18.75" customHeight="1" x14ac:dyDescent="0.3">
      <c r="B58" s="2" t="s">
        <v>11</v>
      </c>
      <c r="C58" s="17"/>
      <c r="F58" s="16"/>
      <c r="I58" s="1" t="s">
        <v>10</v>
      </c>
      <c r="P58" s="1" t="s">
        <v>9</v>
      </c>
      <c r="Q58" s="15">
        <f>VLOOKUP(B12,$N$2:$P$5,3,FALSE)</f>
        <v>44012</v>
      </c>
      <c r="R58" s="1" t="s">
        <v>8</v>
      </c>
      <c r="S58" s="14">
        <v>167.42</v>
      </c>
      <c r="T58" s="1" t="s">
        <v>7</v>
      </c>
    </row>
    <row r="59" spans="1:21" ht="18.75" customHeight="1" x14ac:dyDescent="0.3">
      <c r="I59" s="1" t="s">
        <v>6</v>
      </c>
      <c r="J59" s="1" t="str">
        <f>TEXT(Q58,"mmm-dd-yy")</f>
        <v>mmm-dd-yy</v>
      </c>
      <c r="P59" s="1" t="e">
        <f>DATEVALUE(Q58)</f>
        <v>#VALUE!</v>
      </c>
    </row>
    <row r="60" spans="1:21" ht="18.75" customHeight="1" x14ac:dyDescent="0.3">
      <c r="B60" s="12" t="s">
        <v>5</v>
      </c>
      <c r="C60" s="13" t="s">
        <v>4</v>
      </c>
    </row>
    <row r="61" spans="1:21" ht="18.75" customHeight="1" x14ac:dyDescent="0.3">
      <c r="B61" s="12"/>
      <c r="C61" s="5"/>
    </row>
    <row r="63" spans="1:21" ht="18.75" customHeight="1" x14ac:dyDescent="0.3">
      <c r="B63" s="12" t="s">
        <v>3</v>
      </c>
      <c r="C63" s="11" t="s">
        <v>2</v>
      </c>
    </row>
    <row r="64" spans="1:21" ht="18.75" customHeight="1" x14ac:dyDescent="0.3">
      <c r="B64" s="12"/>
      <c r="C64" s="11"/>
    </row>
    <row r="65" spans="2:3" ht="18.75" customHeight="1" x14ac:dyDescent="0.3">
      <c r="C65" s="9"/>
    </row>
    <row r="66" spans="2:3" ht="18.75" customHeight="1" x14ac:dyDescent="0.3">
      <c r="B66" s="10" t="s">
        <v>1</v>
      </c>
      <c r="C66" s="9"/>
    </row>
    <row r="67" spans="2:3" ht="18.75" customHeight="1" x14ac:dyDescent="0.3">
      <c r="B67" s="10" t="s">
        <v>0</v>
      </c>
      <c r="C67" s="9"/>
    </row>
    <row r="68" spans="2:3" ht="18.75" customHeight="1" x14ac:dyDescent="0.3">
      <c r="C68" s="8"/>
    </row>
    <row r="87" spans="2:4" s="6" customFormat="1" ht="18.75" customHeight="1" outlineLevel="1" x14ac:dyDescent="0.3">
      <c r="B87" s="7"/>
      <c r="C87" s="7"/>
      <c r="D87" s="7"/>
    </row>
    <row r="104" spans="2:4" s="6" customFormat="1" ht="39" customHeight="1" x14ac:dyDescent="0.3">
      <c r="B104" s="7"/>
      <c r="C104" s="7"/>
      <c r="D104" s="7"/>
    </row>
    <row r="106" spans="2:4" s="6" customFormat="1" ht="21" customHeight="1" x14ac:dyDescent="0.3">
      <c r="B106" s="7"/>
      <c r="C106" s="7"/>
      <c r="D106" s="7"/>
    </row>
    <row r="109" spans="2:4" s="6" customFormat="1" ht="36" customHeight="1" x14ac:dyDescent="0.3">
      <c r="B109" s="7"/>
      <c r="C109" s="7"/>
      <c r="D109" s="7"/>
    </row>
    <row r="110" spans="2:4" s="6" customFormat="1" ht="24" customHeight="1" x14ac:dyDescent="0.3">
      <c r="B110" s="7"/>
      <c r="C110" s="7"/>
      <c r="D110" s="7"/>
    </row>
    <row r="152" spans="2:4" ht="18.75" customHeight="1" x14ac:dyDescent="0.3">
      <c r="B152" s="5"/>
      <c r="C152" s="5"/>
    </row>
    <row r="157" spans="2:4" s="3" customFormat="1" ht="18.75" customHeight="1" x14ac:dyDescent="0.3">
      <c r="B157" s="4"/>
      <c r="C157" s="4"/>
      <c r="D157" s="4"/>
    </row>
  </sheetData>
  <sheetProtection formatCells="0"/>
  <protectedRanges>
    <protectedRange algorithmName="SHA-512" hashValue="goBvMfK3tJrghtRj1BffkdPJPGaWtjttUiPydefYGvftqaTkSmEpaqndaM5WqpP4rA346u2PS2GQb7HMrswMPQ==" saltValue="v4qq5PBeBrISaihwxmNMnw==" spinCount="100000" sqref="B58" name="Range1"/>
  </protectedRanges>
  <mergeCells count="4">
    <mergeCell ref="B9:D9"/>
    <mergeCell ref="B10:D10"/>
    <mergeCell ref="B11:D11"/>
    <mergeCell ref="B12:D12"/>
  </mergeCells>
  <pageMargins left="0.70866141732283472" right="0.70866141732283472" top="0.74803149606299213" bottom="0.74803149606299213" header="0.31496062992125984" footer="0.31496062992125984"/>
  <pageSetup paperSize="9" scale="45" orientation="portrait" r:id="rId1"/>
  <rowBreaks count="1" manualBreakCount="1">
    <brk id="68" min="1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0837"/>
  </sheetPr>
  <dimension ref="A1:X142"/>
  <sheetViews>
    <sheetView view="pageBreakPreview" zoomScale="60" zoomScaleNormal="100" workbookViewId="0">
      <selection activeCell="D14" sqref="D14"/>
    </sheetView>
  </sheetViews>
  <sheetFormatPr defaultRowHeight="14.4" outlineLevelCol="1" x14ac:dyDescent="0.3"/>
  <cols>
    <col min="1" max="1" width="9.109375" customWidth="1" outlineLevel="1"/>
    <col min="2" max="2" width="125.6640625" customWidth="1"/>
    <col min="3" max="4" width="26.88671875" bestFit="1" customWidth="1"/>
    <col min="8" max="8" width="20.5546875" customWidth="1"/>
    <col min="9" max="9" width="18.44140625" bestFit="1" customWidth="1"/>
    <col min="10" max="10" width="16.6640625" customWidth="1"/>
    <col min="11" max="11" width="13.33203125" style="330" bestFit="1" customWidth="1"/>
    <col min="12" max="12" width="9.88671875" bestFit="1" customWidth="1"/>
    <col min="13" max="13" width="12.5546875" bestFit="1" customWidth="1"/>
    <col min="19" max="23" width="0" hidden="1" customWidth="1" outlineLevel="1"/>
    <col min="24" max="24" width="9.109375" collapsed="1"/>
  </cols>
  <sheetData>
    <row r="1" spans="1:22" ht="18" x14ac:dyDescent="0.3">
      <c r="B1" s="2"/>
      <c r="C1" s="2"/>
      <c r="D1" s="2"/>
    </row>
    <row r="2" spans="1:22" ht="18" x14ac:dyDescent="0.3">
      <c r="B2" s="128" t="s">
        <v>69</v>
      </c>
      <c r="C2" s="2"/>
      <c r="D2" s="2"/>
    </row>
    <row r="3" spans="1:22" ht="18" x14ac:dyDescent="0.3">
      <c r="B3" s="128" t="s">
        <v>68</v>
      </c>
      <c r="C3" s="2"/>
      <c r="D3" s="2"/>
    </row>
    <row r="4" spans="1:22" ht="18" x14ac:dyDescent="0.3">
      <c r="B4" s="128" t="s">
        <v>66</v>
      </c>
      <c r="C4" s="17"/>
      <c r="D4" s="2"/>
    </row>
    <row r="5" spans="1:22" ht="18" x14ac:dyDescent="0.3">
      <c r="B5" s="128" t="s">
        <v>64</v>
      </c>
      <c r="C5" s="17"/>
      <c r="D5" s="2"/>
    </row>
    <row r="6" spans="1:22" ht="18" x14ac:dyDescent="0.3">
      <c r="B6" s="128" t="s">
        <v>62</v>
      </c>
      <c r="C6" s="128"/>
      <c r="D6" s="2"/>
    </row>
    <row r="7" spans="1:22" ht="18" x14ac:dyDescent="0.3">
      <c r="B7" s="128"/>
      <c r="C7" s="128"/>
      <c r="D7" s="2"/>
    </row>
    <row r="8" spans="1:22" ht="18" x14ac:dyDescent="0.3">
      <c r="B8" s="128"/>
      <c r="C8" s="128"/>
      <c r="D8" s="2"/>
    </row>
    <row r="9" spans="1:22" ht="17.399999999999999" x14ac:dyDescent="0.3">
      <c r="B9" s="341" t="s">
        <v>201</v>
      </c>
      <c r="C9" s="341"/>
      <c r="D9" s="341"/>
    </row>
    <row r="10" spans="1:22" ht="17.399999999999999" x14ac:dyDescent="0.3">
      <c r="B10" s="341" t="s">
        <v>59</v>
      </c>
      <c r="C10" s="341"/>
      <c r="D10" s="341"/>
    </row>
    <row r="11" spans="1:22" ht="17.399999999999999" x14ac:dyDescent="0.3">
      <c r="B11" s="341" t="s">
        <v>58</v>
      </c>
      <c r="C11" s="341"/>
      <c r="D11" s="341"/>
    </row>
    <row r="12" spans="1:22" ht="17.399999999999999" x14ac:dyDescent="0.3">
      <c r="B12" s="341" t="s">
        <v>304</v>
      </c>
      <c r="C12" s="341"/>
      <c r="D12" s="341"/>
    </row>
    <row r="13" spans="1:22" ht="18" x14ac:dyDescent="0.3">
      <c r="B13" s="127"/>
      <c r="C13" s="126"/>
      <c r="D13" s="2"/>
    </row>
    <row r="14" spans="1:22" ht="18.600000000000001" thickBot="1" x14ac:dyDescent="0.35">
      <c r="B14" s="125"/>
      <c r="C14" s="48"/>
      <c r="D14" s="48" t="s">
        <v>311</v>
      </c>
    </row>
    <row r="15" spans="1:22" ht="52.8" thickBot="1" x14ac:dyDescent="0.35">
      <c r="A15" s="1" t="s">
        <v>56</v>
      </c>
      <c r="B15" s="124"/>
      <c r="C15" s="123" t="s">
        <v>302</v>
      </c>
      <c r="D15" s="123" t="s">
        <v>303</v>
      </c>
    </row>
    <row r="16" spans="1:22" ht="18" x14ac:dyDescent="0.3">
      <c r="A16" s="2">
        <v>1</v>
      </c>
      <c r="B16" s="120" t="s">
        <v>200</v>
      </c>
      <c r="C16" s="339">
        <f>ROUND(116833.627,0)-103</f>
        <v>116731</v>
      </c>
      <c r="D16" s="94">
        <f>ROUND(45254.488,0)</f>
        <v>45254</v>
      </c>
      <c r="G16" s="118"/>
      <c r="H16" s="80"/>
      <c r="I16" s="80"/>
      <c r="J16" s="80"/>
      <c r="K16" s="80"/>
      <c r="L16" s="91"/>
      <c r="M16" s="91"/>
      <c r="N16" s="2"/>
      <c r="O16" s="2"/>
      <c r="P16" s="2"/>
      <c r="Q16" s="2"/>
      <c r="R16" s="2"/>
      <c r="S16" s="2"/>
      <c r="T16" s="2"/>
      <c r="U16" s="2"/>
      <c r="V16" s="2"/>
    </row>
    <row r="17" spans="1:22" ht="18" x14ac:dyDescent="0.3">
      <c r="A17" s="2">
        <v>2</v>
      </c>
      <c r="B17" s="122" t="s">
        <v>199</v>
      </c>
      <c r="C17" s="339">
        <f>ROUND(3249.321,0)</f>
        <v>3249</v>
      </c>
      <c r="D17" s="94">
        <f>ROUND(250.795,0)</f>
        <v>251</v>
      </c>
      <c r="G17" s="118"/>
      <c r="H17" s="80"/>
      <c r="I17" s="80"/>
      <c r="J17" s="80"/>
      <c r="K17" s="80"/>
      <c r="L17" s="91"/>
      <c r="M17" s="91"/>
      <c r="N17" s="2"/>
      <c r="O17" s="2"/>
      <c r="P17" s="2"/>
      <c r="Q17" s="2"/>
      <c r="R17" s="2"/>
      <c r="S17" s="2"/>
      <c r="T17" s="2"/>
      <c r="U17" s="2"/>
      <c r="V17" s="2"/>
    </row>
    <row r="18" spans="1:22" ht="18" x14ac:dyDescent="0.3">
      <c r="A18" s="2">
        <v>3</v>
      </c>
      <c r="B18" s="122" t="s">
        <v>198</v>
      </c>
      <c r="C18" s="339">
        <f>ROUND(-38008.916,0)+103</f>
        <v>-37906</v>
      </c>
      <c r="D18" s="94">
        <f>ROUND(-28518.043,0)</f>
        <v>-28518</v>
      </c>
      <c r="G18" s="118"/>
      <c r="H18" s="80"/>
      <c r="I18" s="80"/>
      <c r="J18" s="80"/>
      <c r="K18" s="80"/>
      <c r="L18" s="91"/>
      <c r="M18" s="91"/>
      <c r="N18" s="2"/>
      <c r="O18" s="2"/>
      <c r="P18" s="2"/>
      <c r="Q18" s="2"/>
      <c r="R18" s="2"/>
      <c r="S18" s="2"/>
      <c r="T18" s="2"/>
      <c r="U18" s="2"/>
      <c r="V18" s="2"/>
    </row>
    <row r="19" spans="1:22" ht="18.600000000000001" thickBot="1" x14ac:dyDescent="0.35">
      <c r="A19" s="2"/>
      <c r="B19" s="60" t="s">
        <v>197</v>
      </c>
      <c r="C19" s="90">
        <f>SUM(C16:C18)</f>
        <v>82074</v>
      </c>
      <c r="D19" s="90">
        <f>SUM(D16:D18)</f>
        <v>16987</v>
      </c>
      <c r="G19" s="55"/>
      <c r="H19" s="80"/>
      <c r="I19" s="80"/>
      <c r="J19" s="80"/>
      <c r="K19" s="80"/>
      <c r="L19" s="91"/>
      <c r="M19" s="91"/>
      <c r="N19" s="2"/>
      <c r="O19" s="2"/>
      <c r="P19" s="2"/>
      <c r="Q19" s="2"/>
      <c r="R19" s="2"/>
      <c r="S19" s="111" t="s">
        <v>173</v>
      </c>
      <c r="T19" s="110" t="s">
        <v>172</v>
      </c>
      <c r="U19" s="109" t="s">
        <v>171</v>
      </c>
      <c r="V19" s="109" t="s">
        <v>170</v>
      </c>
    </row>
    <row r="20" spans="1:22" ht="19.5" customHeight="1" x14ac:dyDescent="0.35">
      <c r="A20" s="2">
        <v>22.2</v>
      </c>
      <c r="B20" s="105" t="str">
        <f>IF(OR(AND(C20&lt;0,D20&lt;0),AND(C20&lt;0,D20=0),AND(D20&lt;0,C20=0)),Ф.2!S20,IF(OR(AND(C20&gt;0,D20&gt;0),AND(D20&gt;0,C20=0),AND(C20&gt;0,D20=0)),Ф.2!T20,IF(AND(C20&gt;0,D20&lt;0),Ф.2!U20,Ф.2!V20)))</f>
        <v>(Расходы) / доходы по кредитным убыткам</v>
      </c>
      <c r="C20" s="94">
        <f>ROUND(-81453.2,0)</f>
        <v>-81453</v>
      </c>
      <c r="D20" s="94">
        <f>ROUND(48536.1636301774,0)</f>
        <v>48536</v>
      </c>
      <c r="G20" s="55"/>
      <c r="H20" s="80"/>
      <c r="I20" s="80"/>
      <c r="J20" s="80"/>
      <c r="K20" s="80"/>
      <c r="L20" s="91"/>
      <c r="M20" s="91"/>
      <c r="N20" s="2"/>
      <c r="O20" s="2"/>
      <c r="P20" s="2"/>
      <c r="Q20" s="2"/>
      <c r="R20" s="2"/>
      <c r="S20" s="106" t="s">
        <v>196</v>
      </c>
      <c r="T20" s="121" t="s">
        <v>195</v>
      </c>
      <c r="U20" s="121" t="s">
        <v>194</v>
      </c>
      <c r="V20" s="121" t="s">
        <v>193</v>
      </c>
    </row>
    <row r="21" spans="1:22" ht="19.5" customHeight="1" thickBot="1" x14ac:dyDescent="0.35">
      <c r="A21" s="2"/>
      <c r="B21" s="60" t="str">
        <f>IF(OR(AND(C20&lt;0,D20&lt;0),AND(C20&lt;0,D20=0),AND(D20&lt;0,C20=0)),Ф.2!S21,IF(OR(AND(C20&gt;0,D20&gt;0),AND(D20&gt;0,C20=0),AND(C20&gt;0,D20=0)),Ф.2!T21,IF(AND(C20&gt;0,D20&lt;0),Ф.2!U21,Ф.2!V21)))</f>
        <v>Чистый процентный доход после (расходов) / доходов по кредитным убыткам</v>
      </c>
      <c r="C21" s="90">
        <f>SUM(C19:C20)</f>
        <v>621</v>
      </c>
      <c r="D21" s="90">
        <f>SUM(D19:D20)</f>
        <v>65523</v>
      </c>
      <c r="G21" s="55"/>
      <c r="H21" s="2"/>
      <c r="I21" s="80"/>
      <c r="J21" s="80"/>
      <c r="K21" s="80"/>
      <c r="L21" s="91"/>
      <c r="M21" s="91"/>
      <c r="N21" s="2"/>
      <c r="O21" s="2"/>
      <c r="P21" s="2"/>
      <c r="Q21" s="2"/>
      <c r="R21" s="2"/>
      <c r="S21" s="106" t="s">
        <v>192</v>
      </c>
      <c r="T21" s="106" t="s">
        <v>191</v>
      </c>
      <c r="U21" s="106" t="s">
        <v>190</v>
      </c>
      <c r="V21" s="106" t="s">
        <v>189</v>
      </c>
    </row>
    <row r="22" spans="1:22" ht="18" x14ac:dyDescent="0.35">
      <c r="A22" s="2">
        <v>4</v>
      </c>
      <c r="B22" s="120" t="s">
        <v>188</v>
      </c>
      <c r="C22" s="117">
        <f>ROUND(4610.702,0)</f>
        <v>4611</v>
      </c>
      <c r="D22" s="94">
        <f>ROUND(4472.001,0)</f>
        <v>4472</v>
      </c>
      <c r="G22" s="118"/>
      <c r="H22" s="80"/>
      <c r="I22" s="80"/>
      <c r="J22" s="80"/>
      <c r="K22" s="80"/>
      <c r="L22" s="91"/>
      <c r="M22" s="91"/>
      <c r="N22" s="2"/>
      <c r="O22" s="2"/>
      <c r="P22" s="2"/>
      <c r="Q22" s="2"/>
      <c r="R22" s="2"/>
      <c r="S22" s="2"/>
      <c r="T22" s="2"/>
      <c r="U22" s="2"/>
      <c r="V22" s="2"/>
    </row>
    <row r="23" spans="1:22" ht="18.600000000000001" thickBot="1" x14ac:dyDescent="0.4">
      <c r="A23" s="2">
        <v>5</v>
      </c>
      <c r="B23" s="119" t="s">
        <v>187</v>
      </c>
      <c r="C23" s="113">
        <f>ROUND(-3178.528,0)</f>
        <v>-3179</v>
      </c>
      <c r="D23" s="113">
        <f>ROUND(-1928.015,0)</f>
        <v>-1928</v>
      </c>
      <c r="G23" s="118"/>
      <c r="H23" s="80"/>
      <c r="I23" s="80"/>
      <c r="J23" s="80"/>
      <c r="K23" s="80"/>
      <c r="L23" s="91"/>
      <c r="M23" s="91"/>
      <c r="N23" s="2"/>
      <c r="O23" s="2"/>
      <c r="P23" s="2"/>
      <c r="Q23" s="2"/>
      <c r="R23" s="2"/>
      <c r="S23" s="2"/>
      <c r="T23" s="2"/>
      <c r="U23" s="2"/>
      <c r="V23" s="2"/>
    </row>
    <row r="24" spans="1:22" ht="18.600000000000001" thickBot="1" x14ac:dyDescent="0.35">
      <c r="A24" s="2"/>
      <c r="B24" s="60" t="s">
        <v>186</v>
      </c>
      <c r="C24" s="102">
        <f>SUM(C22:C23)</f>
        <v>1432</v>
      </c>
      <c r="D24" s="102">
        <f>SUM(D22:D23)</f>
        <v>2544</v>
      </c>
      <c r="G24" s="55"/>
      <c r="H24" s="2"/>
      <c r="I24" s="80"/>
      <c r="J24" s="80"/>
      <c r="K24" s="80"/>
      <c r="L24" s="91"/>
      <c r="M24" s="91"/>
      <c r="N24" s="2"/>
      <c r="O24" s="2"/>
      <c r="P24" s="2"/>
      <c r="Q24" s="2"/>
      <c r="R24" s="2"/>
      <c r="S24" s="2"/>
      <c r="T24" s="2"/>
      <c r="U24" s="2"/>
      <c r="V24" s="2"/>
    </row>
    <row r="25" spans="1:22" ht="18" x14ac:dyDescent="0.35">
      <c r="A25" s="2">
        <v>6</v>
      </c>
      <c r="B25" s="101" t="s">
        <v>185</v>
      </c>
      <c r="C25" s="117">
        <f>ROUND(6224.279,0)</f>
        <v>6224</v>
      </c>
      <c r="D25" s="94">
        <f>ROUND(2626.031,0)</f>
        <v>2626</v>
      </c>
      <c r="G25" s="66"/>
      <c r="H25" s="80"/>
      <c r="I25" s="80"/>
      <c r="J25" s="80"/>
      <c r="K25" s="80"/>
      <c r="L25" s="91"/>
      <c r="M25" s="91"/>
      <c r="N25" s="2"/>
      <c r="O25" s="2"/>
      <c r="P25" s="2"/>
      <c r="Q25" s="2"/>
      <c r="R25" s="2"/>
      <c r="S25" s="2"/>
      <c r="T25" s="2"/>
      <c r="U25" s="2"/>
      <c r="V25" s="2"/>
    </row>
    <row r="26" spans="1:22" ht="18.600000000000001" thickBot="1" x14ac:dyDescent="0.4">
      <c r="A26" s="2">
        <v>7</v>
      </c>
      <c r="B26" s="98" t="s">
        <v>184</v>
      </c>
      <c r="C26" s="113">
        <f>ROUND(-1027.206,0)</f>
        <v>-1027</v>
      </c>
      <c r="D26" s="113">
        <f>ROUND(-1213.02,0)</f>
        <v>-1213</v>
      </c>
      <c r="G26" s="66"/>
      <c r="H26" s="80"/>
      <c r="I26" s="80"/>
      <c r="J26" s="80"/>
      <c r="K26" s="80"/>
      <c r="L26" s="91"/>
      <c r="M26" s="91"/>
      <c r="N26" s="2"/>
      <c r="O26" s="2"/>
      <c r="P26" s="2"/>
      <c r="Q26" s="2"/>
      <c r="R26" s="2"/>
      <c r="S26" s="2"/>
      <c r="T26" s="2"/>
      <c r="U26" s="2"/>
      <c r="V26" s="2"/>
    </row>
    <row r="27" spans="1:22" ht="18.600000000000001" thickBot="1" x14ac:dyDescent="0.35">
      <c r="A27" s="2"/>
      <c r="B27" s="60" t="s">
        <v>183</v>
      </c>
      <c r="C27" s="102">
        <f>SUM(C25:C26)</f>
        <v>5197</v>
      </c>
      <c r="D27" s="102">
        <f>SUM(D25:D26)</f>
        <v>1413</v>
      </c>
      <c r="G27" s="66"/>
      <c r="H27" s="2"/>
      <c r="I27" s="80"/>
      <c r="J27" s="80"/>
      <c r="K27" s="80"/>
      <c r="L27" s="91"/>
      <c r="M27" s="91"/>
      <c r="N27" s="2"/>
      <c r="O27" s="2"/>
      <c r="P27" s="2"/>
      <c r="Q27" s="2"/>
      <c r="R27" s="2"/>
      <c r="S27" s="2"/>
      <c r="T27" s="2"/>
      <c r="U27" s="2"/>
      <c r="V27" s="2"/>
    </row>
    <row r="28" spans="1:22" ht="18" x14ac:dyDescent="0.35">
      <c r="A28" s="2">
        <v>8</v>
      </c>
      <c r="B28" s="101" t="s">
        <v>182</v>
      </c>
      <c r="C28" s="117">
        <f>ROUND(-2002.765,0)</f>
        <v>-2003</v>
      </c>
      <c r="D28" s="94">
        <f>ROUND(-330.023,0)</f>
        <v>-330</v>
      </c>
      <c r="G28" s="66"/>
      <c r="H28" s="80"/>
      <c r="I28" s="80"/>
      <c r="J28" s="80"/>
      <c r="K28" s="80"/>
      <c r="L28" s="91"/>
      <c r="M28" s="91"/>
      <c r="N28" s="2"/>
      <c r="O28" s="2"/>
      <c r="P28" s="2"/>
      <c r="Q28" s="2"/>
      <c r="R28" s="2"/>
      <c r="S28" s="2"/>
      <c r="T28" s="2"/>
      <c r="U28" s="2"/>
      <c r="V28" s="2"/>
    </row>
    <row r="29" spans="1:22" ht="18.600000000000001" thickBot="1" x14ac:dyDescent="0.4">
      <c r="A29" s="2">
        <v>9</v>
      </c>
      <c r="B29" s="98" t="s">
        <v>181</v>
      </c>
      <c r="C29" s="113">
        <f>ROUND(-62.179,0)</f>
        <v>-62</v>
      </c>
      <c r="D29" s="113">
        <f>ROUND(30.864,0)</f>
        <v>31</v>
      </c>
      <c r="G29" s="66"/>
      <c r="H29" s="80"/>
      <c r="I29" s="80"/>
      <c r="J29" s="80"/>
      <c r="K29" s="80"/>
      <c r="L29" s="91"/>
      <c r="M29" s="91"/>
      <c r="N29" s="2"/>
      <c r="O29" s="2"/>
      <c r="P29" s="2"/>
      <c r="Q29" s="2"/>
      <c r="R29" s="2"/>
      <c r="S29" s="2"/>
      <c r="T29" s="2"/>
      <c r="U29" s="2"/>
      <c r="V29" s="2"/>
    </row>
    <row r="30" spans="1:22" ht="18.600000000000001" thickBot="1" x14ac:dyDescent="0.35">
      <c r="A30" s="2"/>
      <c r="B30" s="60" t="s">
        <v>180</v>
      </c>
      <c r="C30" s="102">
        <f>SUM(C27:C29)</f>
        <v>3132</v>
      </c>
      <c r="D30" s="102">
        <f>SUM(D27:D29)</f>
        <v>1114</v>
      </c>
      <c r="G30" s="55"/>
      <c r="H30" s="2"/>
      <c r="I30" s="80"/>
      <c r="J30" s="80"/>
      <c r="K30" s="80"/>
      <c r="L30" s="91"/>
      <c r="M30" s="91"/>
      <c r="N30" s="2"/>
      <c r="O30" s="2"/>
      <c r="P30" s="2"/>
      <c r="Q30" s="2"/>
      <c r="R30" s="2"/>
      <c r="S30" s="2"/>
      <c r="T30" s="2"/>
      <c r="U30" s="2"/>
      <c r="V30" s="2"/>
    </row>
    <row r="31" spans="1:22" ht="18" x14ac:dyDescent="0.3">
      <c r="A31" s="2">
        <v>10</v>
      </c>
      <c r="B31" s="68" t="s">
        <v>179</v>
      </c>
      <c r="C31" s="100">
        <f>ROUND(-947.115,0)</f>
        <v>-947</v>
      </c>
      <c r="D31" s="94">
        <f>ROUND(-482.279,0)</f>
        <v>-482</v>
      </c>
      <c r="G31" s="66"/>
      <c r="H31" s="80"/>
      <c r="I31" s="80"/>
      <c r="J31" s="80"/>
      <c r="K31" s="80"/>
      <c r="L31" s="91"/>
      <c r="M31" s="91"/>
      <c r="N31" s="2"/>
      <c r="O31" s="2"/>
      <c r="P31" s="2"/>
      <c r="Q31" s="2"/>
      <c r="R31" s="2"/>
      <c r="S31" s="2"/>
      <c r="T31" s="2"/>
      <c r="U31" s="2"/>
      <c r="V31" s="2"/>
    </row>
    <row r="32" spans="1:22" ht="18" x14ac:dyDescent="0.3">
      <c r="A32" s="2">
        <v>11</v>
      </c>
      <c r="B32" s="68" t="s">
        <v>178</v>
      </c>
      <c r="C32" s="78">
        <f>ROUND(199.04,0)</f>
        <v>199</v>
      </c>
      <c r="D32" s="94">
        <f>ROUND(18.48,0)</f>
        <v>18</v>
      </c>
      <c r="G32" s="66"/>
      <c r="H32" s="80"/>
      <c r="I32" s="80"/>
      <c r="J32" s="80"/>
      <c r="K32" s="80"/>
      <c r="L32" s="91"/>
      <c r="M32" s="91"/>
      <c r="N32" s="2"/>
      <c r="O32" s="2"/>
      <c r="P32" s="2"/>
      <c r="Q32" s="2"/>
      <c r="R32" s="2"/>
      <c r="S32" s="2"/>
      <c r="T32" s="2"/>
      <c r="U32" s="2"/>
      <c r="V32" s="2"/>
    </row>
    <row r="33" spans="1:23" ht="18" x14ac:dyDescent="0.3">
      <c r="A33" s="2"/>
      <c r="B33" s="116" t="s">
        <v>177</v>
      </c>
      <c r="C33" s="115">
        <f>ROUND(SUM(C31:C32),0)</f>
        <v>-748</v>
      </c>
      <c r="D33" s="115">
        <f>ROUND(SUM(D31:D32),0)</f>
        <v>-464</v>
      </c>
      <c r="G33" s="66"/>
      <c r="H33" s="2"/>
      <c r="I33" s="80"/>
      <c r="J33" s="80"/>
      <c r="K33" s="80"/>
      <c r="L33" s="91"/>
      <c r="M33" s="91"/>
      <c r="N33" s="2"/>
      <c r="O33" s="2"/>
      <c r="P33" s="2"/>
      <c r="Q33" s="2"/>
      <c r="R33" s="2"/>
      <c r="S33" s="2"/>
      <c r="T33" s="2"/>
      <c r="U33" s="2"/>
      <c r="V33" s="2"/>
    </row>
    <row r="34" spans="1:23" ht="18" x14ac:dyDescent="0.35">
      <c r="A34" s="2">
        <v>12</v>
      </c>
      <c r="B34" s="68" t="s">
        <v>176</v>
      </c>
      <c r="C34" s="114">
        <f>ROUND(-202.665,0)</f>
        <v>-203</v>
      </c>
      <c r="D34" s="94">
        <f>ROUND(-1003.402,0)</f>
        <v>-1003</v>
      </c>
      <c r="G34" s="66"/>
      <c r="H34" s="80"/>
      <c r="I34" s="80"/>
      <c r="J34" s="80"/>
      <c r="K34" s="80"/>
      <c r="L34" s="91"/>
      <c r="M34" s="91"/>
      <c r="N34" s="2"/>
      <c r="O34" s="2"/>
      <c r="P34" s="2"/>
      <c r="Q34" s="2"/>
      <c r="R34" s="2"/>
      <c r="S34" s="2"/>
      <c r="T34" s="2"/>
      <c r="U34" s="2"/>
      <c r="V34" s="2"/>
    </row>
    <row r="35" spans="1:23" ht="18.600000000000001" thickBot="1" x14ac:dyDescent="0.4">
      <c r="A35" s="2">
        <v>13</v>
      </c>
      <c r="B35" s="98" t="s">
        <v>175</v>
      </c>
      <c r="C35" s="113">
        <f>ROUND(-61.783,0)</f>
        <v>-62</v>
      </c>
      <c r="D35" s="113">
        <f>ROUND(1059.38,0)</f>
        <v>1059</v>
      </c>
      <c r="G35" s="66"/>
      <c r="H35" s="80"/>
      <c r="I35" s="80"/>
      <c r="J35" s="80"/>
      <c r="K35" s="80"/>
      <c r="L35" s="91"/>
      <c r="M35" s="91"/>
      <c r="N35" s="2"/>
      <c r="O35" s="2"/>
      <c r="P35" s="2"/>
      <c r="Q35" s="2"/>
      <c r="R35" s="2"/>
      <c r="S35" s="2"/>
      <c r="T35" s="2"/>
      <c r="U35" s="2"/>
      <c r="V35" s="2"/>
    </row>
    <row r="36" spans="1:23" ht="19.5" customHeight="1" thickBot="1" x14ac:dyDescent="0.35">
      <c r="A36" s="2"/>
      <c r="B36" s="112" t="s">
        <v>174</v>
      </c>
      <c r="C36" s="102">
        <f>SUM(C33:C35)</f>
        <v>-1013</v>
      </c>
      <c r="D36" s="102">
        <f>SUM(D33:D35)</f>
        <v>-408</v>
      </c>
      <c r="G36" s="55"/>
      <c r="H36" s="2"/>
      <c r="I36" s="2"/>
      <c r="J36" s="110"/>
      <c r="K36" s="331"/>
      <c r="L36" s="91"/>
      <c r="M36" s="91"/>
      <c r="N36" s="2"/>
      <c r="O36" s="2"/>
      <c r="P36" s="2"/>
      <c r="Q36" s="2"/>
      <c r="R36" s="2"/>
      <c r="S36" s="111" t="s">
        <v>173</v>
      </c>
      <c r="T36" s="110" t="s">
        <v>172</v>
      </c>
      <c r="U36" s="109" t="s">
        <v>171</v>
      </c>
      <c r="V36" s="109" t="s">
        <v>170</v>
      </c>
    </row>
    <row r="37" spans="1:23" ht="19.5" customHeight="1" x14ac:dyDescent="0.3">
      <c r="A37" s="2">
        <v>14.1</v>
      </c>
      <c r="B37" s="101" t="str">
        <f>IF(OR(AND(C37&lt;0,D37&lt;0),AND(C37&lt;0,D37=0),AND(D37&lt;0,C37=0)),Ф.2!S37,IF(OR(AND(C37&gt;0,D37&gt;0),AND(D37&gt;0,C37=0),AND(C37&gt;0,D37=0)),Ф.2!T37,IF(AND(C37&gt;0,D37&lt;0),Ф.2!U37,Ф.2!V37)))</f>
        <v>Доходы/(расходы) по операциям с производными финансовыми инструментами</v>
      </c>
      <c r="C37" s="100">
        <f>ROUND(10941.308,0)</f>
        <v>10941</v>
      </c>
      <c r="D37" s="94">
        <f>ROUND(-11,0)</f>
        <v>-11</v>
      </c>
      <c r="G37" s="66"/>
      <c r="H37" s="80"/>
      <c r="I37" s="80"/>
      <c r="J37" s="80"/>
      <c r="K37" s="332"/>
      <c r="L37" s="91"/>
      <c r="M37" s="91"/>
      <c r="N37" s="2"/>
      <c r="O37" s="2"/>
      <c r="P37" s="2"/>
      <c r="Q37" s="2"/>
      <c r="R37" s="2"/>
      <c r="S37" s="99" t="s">
        <v>169</v>
      </c>
      <c r="T37" s="99" t="s">
        <v>141</v>
      </c>
      <c r="U37" s="99" t="s">
        <v>168</v>
      </c>
      <c r="V37" s="99" t="s">
        <v>167</v>
      </c>
      <c r="W37" s="99"/>
    </row>
    <row r="38" spans="1:23" ht="36.75" customHeight="1" x14ac:dyDescent="0.35">
      <c r="A38" s="2">
        <v>14.2</v>
      </c>
      <c r="B38" s="105" t="str">
        <f>IF(OR(AND(C38&lt;0,D38&lt;0),AND(C38&lt;0,D38=0),AND(D38&lt;0,C38=0)),Ф.2!S38,IF(OR(AND(C38&gt;0,D38&gt;0),AND(D38&gt;0,C38=0),AND(C38&gt;0,D38=0)),Ф.2!T38,IF(AND(C38&gt;0,D38&lt;0),Ф.2!U38,Ф.2!V38)))</f>
        <v>Чистый убыток от изменения справедливой стоимости кредитов, выданных клиентам,
  оцениваемым по справедливой стоимости через прибыль или убыток</v>
      </c>
      <c r="C38" s="104">
        <f>ROUND(-5514.454,0)</f>
        <v>-5514</v>
      </c>
      <c r="D38" s="94">
        <f>ROUND(-433.100630177405,0)</f>
        <v>-433</v>
      </c>
      <c r="G38" s="66"/>
      <c r="H38" s="80"/>
      <c r="I38" s="80"/>
      <c r="J38" s="80"/>
      <c r="K38" s="332"/>
      <c r="L38" s="91"/>
      <c r="M38" s="91"/>
      <c r="N38" s="2"/>
      <c r="O38" s="2"/>
      <c r="P38" s="2"/>
      <c r="Q38" s="2"/>
      <c r="R38" s="2"/>
      <c r="S38" s="106" t="s">
        <v>166</v>
      </c>
      <c r="T38" s="106" t="s">
        <v>165</v>
      </c>
      <c r="U38" s="106" t="s">
        <v>164</v>
      </c>
      <c r="V38" s="106" t="s">
        <v>163</v>
      </c>
    </row>
    <row r="39" spans="1:23" ht="36.75" customHeight="1" x14ac:dyDescent="0.35">
      <c r="A39" s="2">
        <v>14.3</v>
      </c>
      <c r="B39" s="105" t="str">
        <f>IF(OR(AND(C39&lt;0,D39&lt;0),AND(C39&lt;0,D39=0),AND(D39&lt;0,C39=0)),Ф.2!S39,IF(OR(AND(C39&gt;0,D39&gt;0),AND(D39&gt;0,C39=0),AND(C39&gt;0,D39=0)),Ф.2!T39,IF(AND(C39&gt;0,D39&lt;0),Ф.2!U39,Ф.2!V39)))</f>
        <v>Чистый доход от изменения справедливой стоимости кредитов, выданных клиентам,
  оцениваемым по справедливой стоимости через прочий совокупный доход</v>
      </c>
      <c r="C39" s="104">
        <f>ROUND(3.209,0)</f>
        <v>3</v>
      </c>
      <c r="D39" s="94">
        <f>ROUND(0,0)</f>
        <v>0</v>
      </c>
      <c r="G39" s="66"/>
      <c r="H39" s="80"/>
      <c r="I39" s="80"/>
      <c r="J39" s="80"/>
      <c r="K39" s="332"/>
      <c r="L39" s="91"/>
      <c r="M39" s="91"/>
      <c r="N39" s="2"/>
      <c r="O39" s="2"/>
      <c r="P39" s="2"/>
      <c r="Q39" s="2"/>
      <c r="R39" s="2"/>
      <c r="S39" s="106" t="s">
        <v>162</v>
      </c>
      <c r="T39" s="106" t="s">
        <v>161</v>
      </c>
      <c r="U39" s="106" t="s">
        <v>160</v>
      </c>
      <c r="V39" s="106" t="s">
        <v>159</v>
      </c>
    </row>
    <row r="40" spans="1:23" ht="18" x14ac:dyDescent="0.35">
      <c r="A40" s="2">
        <v>14</v>
      </c>
      <c r="B40" s="105" t="str">
        <f>IF(OR(AND(C40&lt;0,D40&lt;0),AND(C40&lt;0,D40=0),AND(D40&lt;0,C40=0)),Ф.2!S40,IF(OR(AND(C40&gt;0,D40&gt;0),AND(D40&gt;0,C40=0),AND(C40&gt;0,D40=0)),Ф.2!T40,IF(AND(C40&gt;0,D40&lt;0),Ф.2!U40,Ф.2!V40)))</f>
        <v>Чистый убыток по операциям с торговыми ценными бумагами</v>
      </c>
      <c r="C40" s="104">
        <f>ROUND(-144.972,0)</f>
        <v>-145</v>
      </c>
      <c r="D40" s="94">
        <f>ROUND(-14.658,0)</f>
        <v>-15</v>
      </c>
      <c r="G40" s="66"/>
      <c r="H40" s="80"/>
      <c r="I40" s="80"/>
      <c r="J40" s="80"/>
      <c r="K40" s="332"/>
      <c r="L40" s="91"/>
      <c r="M40" s="91"/>
      <c r="N40" s="2"/>
      <c r="O40" s="2"/>
      <c r="P40" s="2"/>
      <c r="Q40" s="2"/>
      <c r="R40" s="2"/>
      <c r="S40" s="108" t="s">
        <v>158</v>
      </c>
      <c r="T40" s="99" t="s">
        <v>157</v>
      </c>
      <c r="U40" s="99" t="s">
        <v>156</v>
      </c>
      <c r="V40" s="99" t="s">
        <v>155</v>
      </c>
    </row>
    <row r="41" spans="1:23" ht="34.5" customHeight="1" x14ac:dyDescent="0.35">
      <c r="A41" s="2">
        <v>16</v>
      </c>
      <c r="B41" s="105" t="str">
        <f>IF(OR(AND(C41&lt;0,D41&lt;0),AND(C41&lt;0,D41=0),AND(D41&lt;0,C41=0)),Ф.2!S41,IF(OR(AND(C41&gt;0,D41&gt;0),AND(D41&gt;0,C41=0),AND(C41&gt;0,D41=0)),Ф.2!T41,IF(AND(C41&gt;0,D41&lt;0),Ф.2!U41,Ф.2!V41)))</f>
        <v>Чистый (расход )/ доход в результате прекращения признания инвестиционных ценных бумаг,
  оцениваемых по справедливой стоимости через прочий совокупный доход</v>
      </c>
      <c r="C41" s="104">
        <f>ROUND(-3413.909,0)</f>
        <v>-3414</v>
      </c>
      <c r="D41" s="94">
        <f>ROUND(1100.58,0)</f>
        <v>1101</v>
      </c>
      <c r="F41" s="107"/>
      <c r="G41" s="66"/>
      <c r="H41" s="80"/>
      <c r="I41" s="80"/>
      <c r="J41" s="80"/>
      <c r="K41" s="332"/>
      <c r="L41" s="91"/>
      <c r="M41" s="91"/>
      <c r="N41" s="2"/>
      <c r="O41" s="2"/>
      <c r="P41" s="2"/>
      <c r="Q41" s="2"/>
      <c r="R41" s="2"/>
      <c r="S41" s="106" t="s">
        <v>154</v>
      </c>
      <c r="T41" s="106" t="s">
        <v>153</v>
      </c>
      <c r="U41" s="106" t="s">
        <v>152</v>
      </c>
      <c r="V41" s="106" t="s">
        <v>151</v>
      </c>
    </row>
    <row r="42" spans="1:23" ht="18" x14ac:dyDescent="0.35">
      <c r="A42" s="2">
        <v>15</v>
      </c>
      <c r="B42" s="105" t="str">
        <f>IF(OR(AND(C42&lt;0,D42&lt;0),AND(C42&lt;0,D42=0),AND(D42&lt;0,C42=0)),Ф.2!S42,IF(OR(AND(C42&gt;0,D42&gt;0),AND(D42&gt;0,C42=0),AND(C42&gt;0,D42=0)),Ф.2!T42,IF(AND(C42&gt;0,D42&lt;0),Ф.2!U42,Ф.2!V42)))</f>
        <v>Чистая прибыль от операций с иностранной валютой</v>
      </c>
      <c r="C42" s="104">
        <f>ROUND(1629.982,0)</f>
        <v>1630</v>
      </c>
      <c r="D42" s="94">
        <f>ROUND(4443.696,0)</f>
        <v>4444</v>
      </c>
      <c r="G42" s="66"/>
      <c r="H42" s="80"/>
      <c r="I42" s="80"/>
      <c r="J42" s="80"/>
      <c r="K42" s="332"/>
      <c r="L42" s="91"/>
      <c r="M42" s="91"/>
      <c r="N42" s="2"/>
      <c r="O42" s="2"/>
      <c r="P42" s="2"/>
      <c r="Q42" s="2"/>
      <c r="R42" s="2"/>
      <c r="S42" s="99" t="s">
        <v>150</v>
      </c>
      <c r="T42" s="99" t="s">
        <v>149</v>
      </c>
      <c r="U42" s="99" t="s">
        <v>148</v>
      </c>
      <c r="V42" s="99" t="s">
        <v>147</v>
      </c>
    </row>
    <row r="43" spans="1:23" ht="18.600000000000001" thickBot="1" x14ac:dyDescent="0.4">
      <c r="A43" s="2">
        <v>21.1</v>
      </c>
      <c r="B43" s="35" t="str">
        <f>IF(OR(AND(C43&lt;0,D43&lt;0),AND(C43&lt;0,D43=0),AND(D43&lt;0,C43=0)),Ф.2!S43,IF(OR(AND(C43&gt;0,D43&gt;0),AND(D43&gt;0,C43=0),AND(C43&gt;0,D43=0)),Ф.2!T43,IF(AND(C43&gt;0,D43&lt;0),Ф.2!U43,Ф.2!V43)))</f>
        <v>Прочие доходы</v>
      </c>
      <c r="C43" s="103">
        <f>ROUND(14919.991,0)</f>
        <v>14920</v>
      </c>
      <c r="D43" s="103">
        <f>ROUND(1314.762,0)</f>
        <v>1315</v>
      </c>
      <c r="G43" s="66"/>
      <c r="H43" s="80"/>
      <c r="I43" s="80"/>
      <c r="J43" s="80"/>
      <c r="K43" s="80"/>
      <c r="L43" s="91"/>
      <c r="M43" s="91"/>
      <c r="N43" s="2"/>
      <c r="O43" s="2"/>
      <c r="P43" s="2"/>
      <c r="Q43" s="2"/>
      <c r="R43" s="2"/>
      <c r="S43" s="99" t="s">
        <v>146</v>
      </c>
      <c r="T43" s="99" t="s">
        <v>145</v>
      </c>
      <c r="U43" s="99" t="s">
        <v>144</v>
      </c>
      <c r="V43" s="99" t="s">
        <v>143</v>
      </c>
    </row>
    <row r="44" spans="1:23" ht="18.600000000000001" thickBot="1" x14ac:dyDescent="0.35">
      <c r="A44" s="2"/>
      <c r="B44" s="60" t="s">
        <v>142</v>
      </c>
      <c r="C44" s="102">
        <f>ROUND(SUM(C37:C43),0)</f>
        <v>18421</v>
      </c>
      <c r="D44" s="102">
        <f>ROUND(SUM(D37:D43),0)</f>
        <v>6401</v>
      </c>
      <c r="G44" s="55"/>
      <c r="H44" s="2"/>
      <c r="I44" s="2"/>
      <c r="J44" s="99"/>
      <c r="K44" s="332"/>
      <c r="L44" s="91"/>
      <c r="M44" s="91"/>
      <c r="N44" s="2"/>
      <c r="O44" s="2"/>
      <c r="P44" s="2"/>
      <c r="Q44" s="2"/>
      <c r="R44" s="2"/>
      <c r="S44" s="2" t="s">
        <v>141</v>
      </c>
      <c r="T44" s="2"/>
      <c r="U44" s="2"/>
      <c r="V44" s="2"/>
    </row>
    <row r="45" spans="1:23" ht="18" x14ac:dyDescent="0.3">
      <c r="A45" s="2">
        <v>22.4</v>
      </c>
      <c r="B45" s="101" t="str">
        <f>IF(OR(AND(C45&lt;0,D45&lt;0),AND(C45&lt;0,D45=0),AND(D45&lt;0,C45=0)),Ф.2!S45,IF(OR(AND(C45&gt;0,D45&gt;0),AND(D45&gt;0,C45=0),AND(C45&gt;0,D45=0)),Ф.2!T45,IF(AND(C45&gt;0,D45&lt;0),Ф.2!U45,Ф.2!V45)))</f>
        <v>Расходы от переоценки основных средств и нематериальных активов</v>
      </c>
      <c r="C45" s="100">
        <f>ROUND(-28.861,0)</f>
        <v>-29</v>
      </c>
      <c r="D45" s="94">
        <f>ROUND(0,0)</f>
        <v>0</v>
      </c>
      <c r="G45" s="66"/>
      <c r="H45" s="80"/>
      <c r="I45" s="80"/>
      <c r="J45" s="80"/>
      <c r="K45" s="332"/>
      <c r="L45" s="91"/>
      <c r="M45" s="91"/>
      <c r="N45" s="2"/>
      <c r="O45" s="2"/>
      <c r="P45" s="2"/>
      <c r="Q45" s="2"/>
      <c r="R45" s="2"/>
      <c r="S45" s="99" t="s">
        <v>140</v>
      </c>
      <c r="T45" s="99" t="s">
        <v>139</v>
      </c>
      <c r="U45" s="99" t="s">
        <v>138</v>
      </c>
      <c r="V45" s="99" t="s">
        <v>137</v>
      </c>
    </row>
    <row r="46" spans="1:23" ht="18" x14ac:dyDescent="0.3">
      <c r="A46" s="2">
        <v>22.1</v>
      </c>
      <c r="B46" s="101" t="s">
        <v>307</v>
      </c>
      <c r="C46" s="100">
        <f>ROUND(228.83,0)</f>
        <v>229</v>
      </c>
      <c r="D46" s="94">
        <f>ROUND(5444.889,0)</f>
        <v>5445</v>
      </c>
      <c r="G46" s="66"/>
      <c r="H46" s="80"/>
      <c r="I46" s="80"/>
      <c r="J46" s="80"/>
      <c r="K46" s="332"/>
      <c r="L46" s="91"/>
      <c r="M46" s="91"/>
      <c r="N46" s="2"/>
      <c r="O46" s="2"/>
      <c r="P46" s="2"/>
      <c r="Q46" s="2"/>
      <c r="R46" s="2"/>
      <c r="S46" s="99" t="s">
        <v>136</v>
      </c>
      <c r="T46" s="99" t="s">
        <v>135</v>
      </c>
      <c r="U46" s="2"/>
      <c r="V46" s="2"/>
    </row>
    <row r="47" spans="1:23" ht="18" x14ac:dyDescent="0.3">
      <c r="A47" s="2">
        <v>23</v>
      </c>
      <c r="B47" s="68" t="s">
        <v>134</v>
      </c>
      <c r="C47" s="78">
        <f>ROUND(-14822.043,0)</f>
        <v>-14822</v>
      </c>
      <c r="D47" s="94">
        <f>ROUND(-9341.074,0)</f>
        <v>-9341</v>
      </c>
      <c r="G47" s="66"/>
      <c r="H47" s="80"/>
      <c r="I47" s="80"/>
      <c r="J47" s="80"/>
      <c r="K47" s="80"/>
      <c r="L47" s="91"/>
      <c r="M47" s="91"/>
      <c r="N47" s="2"/>
      <c r="O47" s="2"/>
      <c r="P47" s="2"/>
      <c r="Q47" s="2"/>
      <c r="R47" s="2"/>
      <c r="S47" s="2"/>
      <c r="T47" s="2"/>
      <c r="U47" s="2"/>
      <c r="V47" s="2"/>
    </row>
    <row r="48" spans="1:23" ht="18.600000000000001" thickBot="1" x14ac:dyDescent="0.35">
      <c r="A48" s="2">
        <v>24</v>
      </c>
      <c r="B48" s="98" t="s">
        <v>133</v>
      </c>
      <c r="C48" s="97">
        <f>ROUND(-9118.938,0)</f>
        <v>-9119</v>
      </c>
      <c r="D48" s="97">
        <f>ROUND(-8600.537,0)</f>
        <v>-8601</v>
      </c>
      <c r="G48" s="66"/>
      <c r="H48" s="80"/>
      <c r="I48" s="329"/>
      <c r="J48" s="80"/>
      <c r="K48" s="80"/>
      <c r="L48" s="91"/>
      <c r="M48" s="91"/>
      <c r="N48" s="2"/>
      <c r="O48" s="2"/>
      <c r="P48" s="2"/>
      <c r="Q48" s="2"/>
      <c r="R48" s="2"/>
      <c r="S48" s="2"/>
      <c r="T48" s="2"/>
      <c r="U48" s="2"/>
      <c r="V48" s="2"/>
    </row>
    <row r="49" spans="1:22" ht="18.600000000000001" thickBot="1" x14ac:dyDescent="0.35">
      <c r="A49" s="2"/>
      <c r="B49" s="60" t="s">
        <v>132</v>
      </c>
      <c r="C49" s="90">
        <f>ROUND(SUM(C45:C48),0)</f>
        <v>-23741</v>
      </c>
      <c r="D49" s="90">
        <f>ROUND(SUM(D45:D48),0)</f>
        <v>-12497</v>
      </c>
      <c r="G49" s="55"/>
      <c r="H49" s="2"/>
      <c r="I49" s="2"/>
      <c r="J49" s="2"/>
      <c r="K49" s="80"/>
      <c r="L49" s="91"/>
      <c r="M49" s="91"/>
      <c r="N49" s="2"/>
      <c r="O49" s="2"/>
      <c r="P49" s="2"/>
      <c r="Q49" s="2"/>
      <c r="R49" s="2"/>
      <c r="S49" s="2"/>
      <c r="T49" s="2"/>
      <c r="U49" s="2"/>
      <c r="V49" s="2"/>
    </row>
    <row r="50" spans="1:22" ht="18.600000000000001" thickBot="1" x14ac:dyDescent="0.35">
      <c r="A50" s="2">
        <v>17.3</v>
      </c>
      <c r="B50" s="96" t="s">
        <v>131</v>
      </c>
      <c r="C50" s="95">
        <f>ROUND(0,0)</f>
        <v>0</v>
      </c>
      <c r="D50" s="94">
        <f>ROUND(241414.291,0)</f>
        <v>241414</v>
      </c>
      <c r="G50" s="55"/>
      <c r="H50" s="80"/>
      <c r="I50" s="80"/>
      <c r="J50" s="80"/>
      <c r="K50" s="80"/>
      <c r="L50" s="91"/>
      <c r="M50" s="91"/>
      <c r="N50" s="2"/>
      <c r="O50" s="2"/>
      <c r="P50" s="2"/>
      <c r="Q50" s="2"/>
      <c r="R50" s="2"/>
      <c r="S50" s="2"/>
      <c r="T50" s="2"/>
      <c r="U50" s="2"/>
      <c r="V50" s="2"/>
    </row>
    <row r="51" spans="1:22" ht="18.600000000000001" thickBot="1" x14ac:dyDescent="0.35">
      <c r="A51" s="2"/>
      <c r="B51" s="57" t="str">
        <f>IF(OR(AND(C51&lt;0,D51&lt;0),AND(C51&lt;0,D51=0),AND(D51&lt;0,C51=0)),Ф.2!S51,IF(OR(AND(C51&gt;0,D51&gt;0),AND(D51&gt;0,C51=0),AND(C51&gt;0,D51=0)),Ф.2!T51,IF(AND(C51&gt;0,D51&lt;0),Ф.2!U51,Ф.2!V51)))</f>
        <v>(Убыток)/прибыль до налогообложения</v>
      </c>
      <c r="C51" s="73">
        <f>ROUND(SUM(C49,C44,C36,C30,C24,C21,C50),0)</f>
        <v>-1148</v>
      </c>
      <c r="D51" s="73">
        <f>ROUND(SUM(D49,D44,D36,D30,D24,D21,D50),0)</f>
        <v>304091</v>
      </c>
      <c r="G51" s="55"/>
      <c r="H51" s="2"/>
      <c r="I51" s="2"/>
      <c r="J51" s="2"/>
      <c r="K51" s="80"/>
      <c r="L51" s="91"/>
      <c r="M51" s="91"/>
      <c r="N51" s="2"/>
      <c r="O51" s="2"/>
      <c r="P51" s="2"/>
      <c r="Q51" s="2"/>
      <c r="R51" s="2"/>
      <c r="S51" s="2" t="s">
        <v>130</v>
      </c>
      <c r="T51" s="2" t="s">
        <v>129</v>
      </c>
      <c r="U51" s="2" t="s">
        <v>128</v>
      </c>
      <c r="V51" s="2" t="s">
        <v>127</v>
      </c>
    </row>
    <row r="52" spans="1:22" ht="18.600000000000001" thickBot="1" x14ac:dyDescent="0.35">
      <c r="A52" s="2">
        <v>25</v>
      </c>
      <c r="B52" s="93" t="str">
        <f>IF(OR(AND(C52&lt;0,D52&lt;0),AND(C52&lt;0,D52=0),AND(D52&lt;0,C52=0)),Ф.2!S52,IF(OR(AND(C52&gt;0,D52&gt;0),AND(D52&gt;0,C52=0),AND(C52&gt;0,D52=0)),Ф.2!T52,IF(AND(C52&gt;0,D52&lt;0),Ф.2!U52,Ф.2!V52)))</f>
        <v>Расходы по корпоративному подоходному налогу</v>
      </c>
      <c r="C52" s="92">
        <f>ROUND(-2663.344,0)</f>
        <v>-2663</v>
      </c>
      <c r="D52" s="92">
        <f>ROUND(-10247.8825053,0)</f>
        <v>-10248</v>
      </c>
      <c r="G52" s="66"/>
      <c r="H52" s="65" t="s">
        <v>14</v>
      </c>
      <c r="I52" s="80"/>
      <c r="J52" s="80"/>
      <c r="K52" s="80"/>
      <c r="L52" s="91"/>
      <c r="M52" s="91"/>
      <c r="N52" s="2"/>
      <c r="O52" s="2"/>
      <c r="P52" s="2"/>
      <c r="Q52" s="2"/>
      <c r="R52" s="2"/>
      <c r="S52" s="2" t="s">
        <v>126</v>
      </c>
      <c r="T52" s="2" t="s">
        <v>125</v>
      </c>
      <c r="U52" s="2" t="s">
        <v>124</v>
      </c>
      <c r="V52" s="2" t="s">
        <v>123</v>
      </c>
    </row>
    <row r="53" spans="1:22" ht="18.600000000000001" thickBot="1" x14ac:dyDescent="0.35">
      <c r="A53" s="91"/>
      <c r="B53" s="60" t="str">
        <f>IF(OR(AND(C53&lt;0,D53&lt;0),AND(C53&lt;0,D53=0),AND(D53&lt;0,C53=0)),Ф.2!S53,IF(OR(AND(C53&gt;0,D53&gt;0),AND(D53&gt;0,C53=0),AND(C53&gt;0,D53=0)),Ф.2!T53,IF(AND(C53&gt;0,D53&lt;0),Ф.2!U53,Ф.2!V53)))</f>
        <v>(Убыток) / прибыль за период</v>
      </c>
      <c r="C53" s="90">
        <f>ROUND(SUM(C51:C52),0)</f>
        <v>-3811</v>
      </c>
      <c r="D53" s="90">
        <f>ROUND(SUM(D51:D52),0)</f>
        <v>293843</v>
      </c>
      <c r="G53" s="55"/>
      <c r="H53" s="58">
        <f>Ф.4!H15-Ф.2!C53</f>
        <v>0</v>
      </c>
      <c r="I53" s="2" t="s">
        <v>122</v>
      </c>
      <c r="J53" s="2"/>
      <c r="K53" s="80"/>
      <c r="L53" s="91"/>
      <c r="M53" s="91"/>
      <c r="N53" s="2"/>
      <c r="O53" s="2"/>
      <c r="P53" s="2"/>
      <c r="Q53" s="2"/>
      <c r="R53" s="2"/>
      <c r="S53" s="2" t="s">
        <v>121</v>
      </c>
      <c r="T53" s="2" t="s">
        <v>120</v>
      </c>
      <c r="U53" s="2" t="s">
        <v>119</v>
      </c>
      <c r="V53" s="2" t="s">
        <v>118</v>
      </c>
    </row>
    <row r="54" spans="1:22" ht="18" x14ac:dyDescent="0.3">
      <c r="A54" s="2"/>
      <c r="B54" s="72"/>
      <c r="C54" s="89"/>
      <c r="D54" s="89"/>
      <c r="G54" s="55"/>
      <c r="H54" s="2"/>
      <c r="I54" s="2"/>
      <c r="J54" s="2"/>
      <c r="K54" s="80"/>
      <c r="L54" s="91"/>
      <c r="M54" s="91"/>
      <c r="N54" s="2"/>
      <c r="O54" s="2"/>
      <c r="P54" s="2"/>
      <c r="Q54" s="2"/>
      <c r="R54" s="2"/>
      <c r="S54" s="2"/>
      <c r="T54" s="2"/>
      <c r="U54" s="2"/>
      <c r="V54" s="2"/>
    </row>
    <row r="55" spans="1:22" ht="18" x14ac:dyDescent="0.3">
      <c r="A55" s="2"/>
      <c r="B55" s="72"/>
      <c r="C55" s="89"/>
      <c r="D55" s="89"/>
      <c r="G55" s="55"/>
      <c r="H55" s="2"/>
      <c r="I55" s="2"/>
      <c r="J55" s="2"/>
      <c r="K55" s="80"/>
      <c r="L55" s="91"/>
      <c r="M55" s="91"/>
      <c r="N55" s="2"/>
      <c r="O55" s="2"/>
      <c r="P55" s="2"/>
      <c r="Q55" s="2"/>
      <c r="R55" s="2"/>
      <c r="S55" s="2"/>
      <c r="T55" s="2"/>
      <c r="U55" s="2"/>
      <c r="V55" s="2"/>
    </row>
    <row r="56" spans="1:22" ht="18" x14ac:dyDescent="0.3">
      <c r="A56" s="2"/>
      <c r="B56" s="70" t="str">
        <f>IF(OR(AND(C53&lt;0,D56&lt;0),AND(C53&lt;0,D56=0),AND(D56&lt;0,C53=0)),Ф.2!S56,IF(OR(AND(C53&gt;0,D56&gt;0),AND(D56&gt;0,C53=0),AND(C53&gt;0,D56=0)),Ф.2!T56,IF(AND(C53&gt;0,D56&lt;0),Ф.2!U56,Ф.2!V56)))</f>
        <v>Убыток причитающийся:</v>
      </c>
      <c r="C56" s="88"/>
      <c r="D56" s="88"/>
      <c r="G56" s="55"/>
      <c r="H56" s="2"/>
      <c r="I56" s="2"/>
      <c r="J56" s="2"/>
      <c r="K56" s="80"/>
      <c r="L56" s="91"/>
      <c r="M56" s="91"/>
      <c r="N56" s="2"/>
      <c r="O56" s="2"/>
      <c r="P56" s="2"/>
      <c r="Q56" s="2"/>
      <c r="R56" s="2"/>
      <c r="S56" s="2" t="s">
        <v>117</v>
      </c>
      <c r="T56" s="2" t="s">
        <v>116</v>
      </c>
      <c r="U56" s="2" t="s">
        <v>115</v>
      </c>
      <c r="V56" s="2" t="s">
        <v>114</v>
      </c>
    </row>
    <row r="57" spans="1:22" ht="18" x14ac:dyDescent="0.3">
      <c r="A57" s="2"/>
      <c r="B57" s="68" t="s">
        <v>79</v>
      </c>
      <c r="C57" s="87">
        <f>C53</f>
        <v>-3811</v>
      </c>
      <c r="D57" s="87">
        <f>D53</f>
        <v>293843</v>
      </c>
      <c r="G57" s="66"/>
      <c r="H57" s="2"/>
      <c r="I57" s="80"/>
      <c r="J57" s="80"/>
      <c r="K57" s="80"/>
      <c r="L57" s="91"/>
      <c r="M57" s="91"/>
      <c r="N57" s="2"/>
      <c r="O57" s="2"/>
      <c r="P57" s="2"/>
      <c r="Q57" s="2"/>
      <c r="R57" s="2"/>
      <c r="S57" s="2"/>
      <c r="T57" s="2"/>
      <c r="U57" s="2"/>
      <c r="V57" s="2"/>
    </row>
    <row r="58" spans="1:22" ht="18" x14ac:dyDescent="0.3">
      <c r="A58" s="2"/>
      <c r="B58" s="68" t="s">
        <v>78</v>
      </c>
      <c r="C58" s="87">
        <v>0</v>
      </c>
      <c r="D58" s="87">
        <v>0</v>
      </c>
      <c r="G58" s="66"/>
      <c r="H58" s="2"/>
      <c r="I58" s="2"/>
      <c r="J58" s="2"/>
      <c r="K58" s="80"/>
      <c r="L58" s="91"/>
      <c r="M58" s="91"/>
      <c r="N58" s="2"/>
      <c r="O58" s="2"/>
      <c r="P58" s="2"/>
      <c r="Q58" s="2"/>
      <c r="R58" s="2"/>
      <c r="S58" s="2"/>
      <c r="T58" s="2"/>
      <c r="U58" s="2"/>
      <c r="V58" s="2"/>
    </row>
    <row r="59" spans="1:22" ht="18.600000000000001" thickBot="1" x14ac:dyDescent="0.35">
      <c r="A59" s="2"/>
      <c r="B59" s="86"/>
      <c r="C59" s="85"/>
      <c r="D59" s="85"/>
      <c r="G59" s="55"/>
      <c r="H59" s="2"/>
      <c r="I59" s="2"/>
      <c r="J59" s="2"/>
      <c r="K59" s="80"/>
      <c r="L59" s="91"/>
      <c r="M59" s="91"/>
      <c r="N59" s="2"/>
      <c r="O59" s="2"/>
      <c r="P59" s="2"/>
      <c r="Q59" s="2"/>
      <c r="R59" s="2"/>
      <c r="S59" s="2"/>
      <c r="T59" s="2"/>
      <c r="U59" s="2"/>
      <c r="V59" s="2"/>
    </row>
    <row r="60" spans="1:22" ht="18" x14ac:dyDescent="0.3">
      <c r="A60" s="2"/>
      <c r="B60" s="84" t="s">
        <v>113</v>
      </c>
      <c r="C60" s="83"/>
      <c r="D60" s="83"/>
      <c r="G60" s="55"/>
      <c r="H60" s="2"/>
      <c r="I60" s="2"/>
      <c r="J60" s="2"/>
      <c r="K60" s="80"/>
      <c r="L60" s="91"/>
      <c r="M60" s="91"/>
      <c r="N60" s="2"/>
      <c r="O60" s="2"/>
      <c r="P60" s="2"/>
      <c r="Q60" s="2"/>
      <c r="R60" s="2"/>
      <c r="S60" s="2"/>
      <c r="T60" s="2"/>
      <c r="U60" s="2"/>
      <c r="V60" s="2"/>
    </row>
    <row r="61" spans="1:22" ht="36" customHeight="1" x14ac:dyDescent="0.3">
      <c r="A61" s="2"/>
      <c r="B61" s="77" t="str">
        <f>IF(OR(AND(C66&lt;0,D66&lt;0),AND(C66&lt;0,D66=0),AND(D66&lt;0,C66=0)),Ф.2!S61,IF(OR(AND(C66&gt;0,D66&gt;0),AND(D66&gt;0,C66=0),AND(C66&gt;0,D66=0)),Ф.2!T61,IF(AND(C66&gt;0,D66&lt;0),Ф.2!U61,Ф.2!V61)))</f>
        <v>Прочий совокупный (убыток)/доход, подлежащий реклассификации в состав прибыли или 
 убытка в последующих периодах</v>
      </c>
      <c r="C61" s="82"/>
      <c r="D61" s="82"/>
      <c r="G61" s="75"/>
      <c r="H61" s="2"/>
      <c r="I61" s="2"/>
      <c r="J61" s="2"/>
      <c r="K61" s="80"/>
      <c r="L61" s="91"/>
      <c r="M61" s="91"/>
      <c r="N61" s="2"/>
      <c r="O61" s="2"/>
      <c r="P61" s="2"/>
      <c r="Q61" s="2"/>
      <c r="R61" s="2"/>
      <c r="S61" s="74" t="s">
        <v>112</v>
      </c>
      <c r="T61" s="2" t="s">
        <v>111</v>
      </c>
      <c r="U61" s="2" t="s">
        <v>110</v>
      </c>
      <c r="V61" s="2" t="s">
        <v>109</v>
      </c>
    </row>
    <row r="62" spans="1:22" ht="36" x14ac:dyDescent="0.3">
      <c r="A62" s="2">
        <v>26</v>
      </c>
      <c r="B62" s="79" t="s">
        <v>108</v>
      </c>
      <c r="C62" s="78">
        <f>ROUND(-14085.886,0)</f>
        <v>-14086</v>
      </c>
      <c r="D62" s="78">
        <f>ROUND(1620.099,0)</f>
        <v>1620</v>
      </c>
      <c r="G62" s="66"/>
      <c r="H62" s="2"/>
      <c r="I62" s="80"/>
      <c r="J62" s="80"/>
      <c r="K62" s="80"/>
      <c r="L62" s="91"/>
      <c r="M62" s="91"/>
      <c r="N62" s="2"/>
      <c r="O62" s="2"/>
      <c r="P62" s="2"/>
      <c r="Q62" s="2"/>
      <c r="R62" s="2"/>
      <c r="S62" s="2"/>
      <c r="T62" s="2"/>
      <c r="U62" s="2"/>
      <c r="V62" s="2"/>
    </row>
    <row r="63" spans="1:22" ht="36" x14ac:dyDescent="0.3">
      <c r="A63" s="2">
        <v>26.2</v>
      </c>
      <c r="B63" s="79" t="s">
        <v>107</v>
      </c>
      <c r="C63" s="78">
        <f>ROUND(8440.453,0)</f>
        <v>8440</v>
      </c>
      <c r="D63" s="78">
        <f>ROUND(0,0)</f>
        <v>0</v>
      </c>
      <c r="G63" s="66"/>
      <c r="H63" s="65" t="s">
        <v>14</v>
      </c>
      <c r="I63" s="80"/>
      <c r="J63" s="80"/>
      <c r="K63" s="80"/>
      <c r="L63" s="91"/>
      <c r="M63" s="91"/>
      <c r="N63" s="2"/>
      <c r="O63" s="2"/>
      <c r="P63" s="2"/>
      <c r="Q63" s="2"/>
      <c r="R63" s="2"/>
      <c r="S63" s="2"/>
      <c r="T63" s="2"/>
      <c r="U63" s="2"/>
      <c r="V63" s="2"/>
    </row>
    <row r="64" spans="1:22" ht="44.25" customHeight="1" x14ac:dyDescent="0.3">
      <c r="A64" s="2">
        <v>27</v>
      </c>
      <c r="B64" s="79" t="s">
        <v>106</v>
      </c>
      <c r="C64" s="78">
        <f>ROUND(3413.909,0)</f>
        <v>3414</v>
      </c>
      <c r="D64" s="78">
        <f>ROUND(-1100.58,0)</f>
        <v>-1101</v>
      </c>
      <c r="G64" s="66"/>
      <c r="H64" s="61">
        <f>Ф.2!C41+Ф.2!C64</f>
        <v>0</v>
      </c>
      <c r="I64" s="81">
        <f>Ф.2!D41+Ф.2!D64</f>
        <v>0</v>
      </c>
      <c r="J64" s="80"/>
      <c r="K64" s="80"/>
      <c r="L64" s="91"/>
      <c r="M64" s="91"/>
      <c r="N64" s="2"/>
      <c r="O64" s="2"/>
      <c r="P64" s="2"/>
      <c r="Q64" s="2"/>
      <c r="R64" s="2"/>
      <c r="S64" s="2"/>
      <c r="T64" s="2"/>
      <c r="U64" s="2"/>
      <c r="V64" s="2"/>
    </row>
    <row r="65" spans="1:22" ht="18" x14ac:dyDescent="0.3">
      <c r="A65" s="2">
        <v>28</v>
      </c>
      <c r="B65" s="68" t="s">
        <v>105</v>
      </c>
      <c r="C65" s="78">
        <f>ROUND(-1637.513,0)+1</f>
        <v>-1637</v>
      </c>
      <c r="D65" s="78">
        <f>ROUND(680.022,0)</f>
        <v>680</v>
      </c>
      <c r="G65" s="62"/>
      <c r="H65" s="61">
        <f>Ф.1!D49-Ф.1!C49+C65</f>
        <v>0</v>
      </c>
      <c r="I65" s="81"/>
      <c r="J65" s="80"/>
      <c r="K65" s="80"/>
      <c r="L65" s="91"/>
      <c r="M65" s="91"/>
      <c r="N65" s="2"/>
      <c r="O65" s="2"/>
      <c r="P65" s="2"/>
      <c r="Q65" s="2"/>
      <c r="R65" s="2"/>
      <c r="S65" s="2"/>
      <c r="T65" s="2"/>
      <c r="U65" s="2"/>
      <c r="V65" s="2"/>
    </row>
    <row r="66" spans="1:22" ht="36" x14ac:dyDescent="0.3">
      <c r="A66" s="2"/>
      <c r="B66" s="77" t="str">
        <f>IF(OR(AND(C66&lt;0,D66&lt;0),AND(C66&lt;0,D66=0),AND(D66&lt;0,C66=0)),Ф.2!S66,IF(OR(AND(C66&gt;0,D66&gt;0),AND(D66&gt;0,C66=0),AND(C66&gt;0,D66=0)),Ф.2!T66,IF(AND(C66&gt;0,D66&lt;0),Ф.2!U66,Ф.2!V66)))</f>
        <v>Всего статей прочего совокупного (убытка)/дохода, которые были или могут быть впоследствии 
 реклассифицированы в состав прибыли или убытка</v>
      </c>
      <c r="C66" s="76">
        <f>SUM(C62:C65)</f>
        <v>-3869</v>
      </c>
      <c r="D66" s="76">
        <f>SUM(D62:D65)</f>
        <v>1199</v>
      </c>
      <c r="G66" s="75"/>
      <c r="H66" s="58">
        <f>Ф.1!D48-Ф.1!C48+SUM(C62:C64)</f>
        <v>0</v>
      </c>
      <c r="I66" s="81"/>
      <c r="J66" s="80"/>
      <c r="K66" s="80"/>
      <c r="L66" s="91"/>
      <c r="M66" s="91"/>
      <c r="N66" s="2"/>
      <c r="O66" s="2"/>
      <c r="P66" s="2"/>
      <c r="Q66" s="2"/>
      <c r="R66" s="2"/>
      <c r="S66" s="2" t="s">
        <v>104</v>
      </c>
      <c r="T66" s="2" t="s">
        <v>103</v>
      </c>
      <c r="U66" s="2" t="s">
        <v>102</v>
      </c>
      <c r="V66" s="2" t="s">
        <v>101</v>
      </c>
    </row>
    <row r="67" spans="1:22" ht="18" x14ac:dyDescent="0.3">
      <c r="B67" s="77"/>
      <c r="C67" s="78"/>
      <c r="D67" s="78"/>
      <c r="F67" s="2"/>
      <c r="G67" s="75"/>
      <c r="H67" s="2"/>
      <c r="I67" s="2"/>
      <c r="J67" s="2"/>
      <c r="K67" s="80"/>
      <c r="L67" s="91"/>
      <c r="M67" s="91"/>
      <c r="N67" s="2"/>
      <c r="O67" s="2"/>
      <c r="P67" s="2"/>
      <c r="Q67" s="2"/>
      <c r="R67" s="2"/>
      <c r="S67" s="2"/>
      <c r="T67" s="2"/>
      <c r="U67" s="2"/>
      <c r="V67" s="2"/>
    </row>
    <row r="68" spans="1:22" ht="38.25" customHeight="1" x14ac:dyDescent="0.3">
      <c r="B68" s="77" t="str">
        <f>IF(OR(AND(C71&lt;0,D71&lt;0),AND(C71&lt;0,D71=0),AND(D71&lt;0,C71=0)),Ф.2!S68,IF(OR(AND(C71&gt;0,D71&gt;0),AND(D71&gt;0,C71=0),AND(C71&gt;0,D71=0)),Ф.2!T68,IF(AND(C71&gt;0,D71&lt;0),Ф.2!U68,Ф.2!V68)))</f>
        <v>Прочий совокупный (убыток)/доход, не подлежащий реклассификации в состав прибыли или убытка 
 в последующих периодах:</v>
      </c>
      <c r="C68" s="78"/>
      <c r="D68" s="78"/>
      <c r="F68" s="2"/>
      <c r="G68" s="75"/>
      <c r="H68" s="2"/>
      <c r="I68" s="2"/>
      <c r="J68" s="2"/>
      <c r="K68" s="80"/>
      <c r="L68" s="91"/>
      <c r="M68" s="91"/>
      <c r="N68" s="2"/>
      <c r="O68" s="2"/>
      <c r="P68" s="2"/>
      <c r="Q68" s="2"/>
      <c r="R68" s="2"/>
      <c r="S68" s="74" t="s">
        <v>100</v>
      </c>
      <c r="T68" s="74" t="s">
        <v>99</v>
      </c>
      <c r="U68" s="74" t="s">
        <v>98</v>
      </c>
      <c r="V68" s="74" t="s">
        <v>97</v>
      </c>
    </row>
    <row r="69" spans="1:22" ht="18" x14ac:dyDescent="0.3">
      <c r="A69">
        <v>29</v>
      </c>
      <c r="B69" s="79" t="s">
        <v>96</v>
      </c>
      <c r="C69" s="78">
        <v>0</v>
      </c>
      <c r="D69" s="78">
        <f>ROUND(572.425003919472,0)</f>
        <v>572</v>
      </c>
      <c r="F69" s="2"/>
      <c r="G69" s="75"/>
      <c r="H69" s="2"/>
      <c r="I69" s="2"/>
      <c r="J69" s="2"/>
      <c r="K69" s="80"/>
      <c r="L69" s="91"/>
      <c r="M69" s="91"/>
      <c r="N69" s="2"/>
      <c r="O69" s="2"/>
      <c r="P69" s="2"/>
      <c r="Q69" s="2"/>
      <c r="R69" s="2"/>
      <c r="S69" s="2"/>
      <c r="T69" s="2"/>
      <c r="U69" s="2"/>
      <c r="V69" s="2"/>
    </row>
    <row r="70" spans="1:22" ht="38.25" customHeight="1" thickBot="1" x14ac:dyDescent="0.35">
      <c r="B70" s="77" t="str">
        <f>IF(OR(AND(C73&lt;0,D73&lt;0),AND(C73&lt;0,D73=0),AND(D73&lt;0,C73=0)),Ф.2!S70,IF(OR(AND(C73&gt;0,D73&gt;0),AND(D73&gt;0,C73=0),AND(C73&gt;0,D73=0)),Ф.2!T70,IF(AND(C73&gt;0,D73&lt;0),Ф.2!U70,Ф.2!V70)))</f>
        <v>Всего статей прочего совокупного (убытка)/дохода, не подлежащих реклассификации в состав 
 прибыли или убытка в последующих периодах</v>
      </c>
      <c r="C70" s="76">
        <f>SUM(C66:C69)</f>
        <v>-3869</v>
      </c>
      <c r="D70" s="76">
        <f>SUM(D66:D69)</f>
        <v>1771</v>
      </c>
      <c r="F70" s="2"/>
      <c r="G70" s="75"/>
      <c r="H70" s="2"/>
      <c r="I70" s="2"/>
      <c r="J70" s="2"/>
      <c r="K70" s="80"/>
      <c r="L70" s="91"/>
      <c r="M70" s="91"/>
      <c r="N70" s="2"/>
      <c r="O70" s="2"/>
      <c r="P70" s="2"/>
      <c r="Q70" s="2"/>
      <c r="R70" s="2"/>
      <c r="S70" s="74" t="s">
        <v>95</v>
      </c>
      <c r="T70" s="2" t="s">
        <v>94</v>
      </c>
      <c r="U70" s="74" t="s">
        <v>93</v>
      </c>
      <c r="V70" s="74" t="s">
        <v>92</v>
      </c>
    </row>
    <row r="71" spans="1:22" ht="18.600000000000001" thickBot="1" x14ac:dyDescent="0.35">
      <c r="B71" s="57" t="str">
        <f>IF(OR(AND(C71&lt;0,D71&lt;0),AND(C71&lt;0,D71=0),AND(D71&lt;0,C71=0)),Ф.2!S71,IF(OR(AND(C71&gt;0,D71&gt;0),AND(D71&gt;0,C71=0),AND(C71&gt;0,D71=0)),Ф.2!T71,IF(AND(C71&gt;0,D71&lt;0),Ф.2!U71,Ф.2!V71)))</f>
        <v>Прочий совокупный (убыток) / доход за период</v>
      </c>
      <c r="C71" s="73">
        <f>C70</f>
        <v>-3869</v>
      </c>
      <c r="D71" s="73">
        <f>D70</f>
        <v>1771</v>
      </c>
      <c r="F71" s="2"/>
      <c r="G71" s="55"/>
      <c r="H71" s="2"/>
      <c r="I71" s="2"/>
      <c r="J71" s="2"/>
      <c r="K71" s="80"/>
      <c r="L71" s="91"/>
      <c r="M71" s="91"/>
      <c r="N71" s="2"/>
      <c r="O71" s="2"/>
      <c r="P71" s="2"/>
      <c r="Q71" s="2"/>
      <c r="R71" s="2"/>
      <c r="S71" s="2" t="s">
        <v>91</v>
      </c>
      <c r="T71" s="2" t="s">
        <v>90</v>
      </c>
      <c r="U71" s="2" t="s">
        <v>89</v>
      </c>
      <c r="V71" s="2" t="s">
        <v>88</v>
      </c>
    </row>
    <row r="72" spans="1:22" ht="18.600000000000001" thickBot="1" x14ac:dyDescent="0.35">
      <c r="B72" s="57" t="str">
        <f>IF(OR(AND(C72&lt;0,D72&lt;0),AND(C72&lt;0,D72=0),AND(D72&lt;0,C72=0)),Ф.2!S72,IF(OR(AND(C72&gt;0,D72&gt;0),AND(D72&gt;0,C72=0),AND(C72&gt;0,D72=0)),Ф.2!T72,IF(AND(C72&gt;0,D72&lt;0),Ф.2!U72,Ф.2!V72)))</f>
        <v>Общий совокупный (убыток) / прибыль доход за период</v>
      </c>
      <c r="C72" s="73">
        <f>SUM(C71,C57)</f>
        <v>-7680</v>
      </c>
      <c r="D72" s="73">
        <f>SUM(D71,D57)</f>
        <v>295614</v>
      </c>
      <c r="F72" s="2"/>
      <c r="G72" s="55"/>
      <c r="H72" s="2"/>
      <c r="I72" s="2"/>
      <c r="J72" s="2"/>
      <c r="K72" s="80"/>
      <c r="L72" s="91"/>
      <c r="M72" s="91"/>
      <c r="N72" s="2"/>
      <c r="O72" s="2"/>
      <c r="P72" s="2"/>
      <c r="Q72" s="2"/>
      <c r="R72" s="2"/>
      <c r="S72" s="2" t="s">
        <v>87</v>
      </c>
      <c r="T72" s="2" t="s">
        <v>86</v>
      </c>
      <c r="U72" s="2" t="s">
        <v>85</v>
      </c>
      <c r="V72" s="2" t="s">
        <v>84</v>
      </c>
    </row>
    <row r="73" spans="1:22" ht="18" x14ac:dyDescent="0.3">
      <c r="B73" s="72"/>
      <c r="C73" s="71"/>
      <c r="D73" s="71"/>
      <c r="F73" s="2"/>
      <c r="G73" s="55"/>
      <c r="H73" s="2"/>
      <c r="I73" s="2"/>
      <c r="J73" s="2"/>
      <c r="K73" s="80"/>
      <c r="L73" s="91"/>
      <c r="M73" s="91"/>
      <c r="N73" s="2"/>
      <c r="O73" s="2"/>
      <c r="P73" s="2"/>
      <c r="Q73" s="2"/>
      <c r="R73" s="2"/>
      <c r="S73" s="2"/>
      <c r="T73" s="2"/>
      <c r="U73" s="2"/>
      <c r="V73" s="2"/>
    </row>
    <row r="74" spans="1:22" ht="18" x14ac:dyDescent="0.3">
      <c r="B74" s="70" t="str">
        <f>IF(OR(AND(C72&lt;0,D74&lt;0),AND(C72&lt;0,D74=0),AND(D74&lt;0,C72=0)),Ф.2!S74,IF(OR(AND(C72&gt;0,D74&gt;0),AND(D74&gt;0,C72=0),AND(C72&gt;0,D74=0)),Ф.2!T74,IF(AND(C72&gt;0,D74&lt;0),Ф.2!U74,Ф.2!V74)))</f>
        <v>Итого совокупный убыток причитающийся:</v>
      </c>
      <c r="C74" s="69"/>
      <c r="D74" s="69"/>
      <c r="F74" s="2"/>
      <c r="G74" s="55"/>
      <c r="H74" s="2"/>
      <c r="I74" s="2"/>
      <c r="J74" s="2"/>
      <c r="K74" s="80"/>
      <c r="L74" s="91"/>
      <c r="M74" s="91"/>
      <c r="N74" s="2"/>
      <c r="O74" s="2"/>
      <c r="P74" s="2"/>
      <c r="Q74" s="2"/>
      <c r="R74" s="2"/>
      <c r="S74" s="2" t="s">
        <v>83</v>
      </c>
      <c r="T74" s="2" t="s">
        <v>82</v>
      </c>
      <c r="U74" s="2" t="s">
        <v>81</v>
      </c>
      <c r="V74" s="2" t="s">
        <v>80</v>
      </c>
    </row>
    <row r="75" spans="1:22" ht="18" x14ac:dyDescent="0.3">
      <c r="B75" s="68" t="s">
        <v>79</v>
      </c>
      <c r="C75" s="67">
        <f>ROUND(C72,0)</f>
        <v>-7680</v>
      </c>
      <c r="D75" s="67">
        <f>ROUND(D72,0)</f>
        <v>295614</v>
      </c>
      <c r="F75" s="2"/>
      <c r="G75" s="66"/>
      <c r="H75" s="65" t="s">
        <v>14</v>
      </c>
      <c r="I75" s="2"/>
      <c r="J75" s="2"/>
      <c r="K75" s="80"/>
      <c r="L75" s="91"/>
      <c r="M75" s="91"/>
      <c r="N75" s="2"/>
      <c r="O75" s="2"/>
      <c r="P75" s="2"/>
      <c r="Q75" s="2"/>
      <c r="R75" s="2"/>
      <c r="S75" s="2"/>
      <c r="T75" s="2"/>
      <c r="U75" s="2"/>
      <c r="V75" s="2"/>
    </row>
    <row r="76" spans="1:22" ht="18.600000000000001" thickBot="1" x14ac:dyDescent="0.35">
      <c r="B76" s="64" t="s">
        <v>78</v>
      </c>
      <c r="C76" s="63">
        <f>ROUND(0,0)</f>
        <v>0</v>
      </c>
      <c r="D76" s="63">
        <f>ROUND(0,0)</f>
        <v>0</v>
      </c>
      <c r="F76" s="2"/>
      <c r="G76" s="62"/>
      <c r="H76" s="61"/>
      <c r="I76" s="2"/>
      <c r="J76" s="2"/>
      <c r="K76" s="80"/>
      <c r="L76" s="91"/>
      <c r="M76" s="91"/>
      <c r="N76" s="2"/>
      <c r="O76" s="2"/>
      <c r="P76" s="2"/>
      <c r="Q76" s="2"/>
      <c r="R76" s="2"/>
      <c r="S76" s="2"/>
      <c r="T76" s="2"/>
      <c r="U76" s="2"/>
      <c r="V76" s="2"/>
    </row>
    <row r="77" spans="1:22" ht="18.600000000000001" thickBot="1" x14ac:dyDescent="0.35">
      <c r="B77" s="60" t="str">
        <f>IF(OR(AND(C77&lt;0,D77&lt;0),AND(C77&lt;0,D77=0),AND(D77&lt;0,C77=0)),Ф.2!S77,IF(OR(AND(C77&gt;0,D77&gt;0),AND(D77&gt;0,C77=0),AND(C77&gt;0,D77=0)),Ф.2!T77,IF(AND(C77&gt;0,D77&lt;0),Ф.2!U77,Ф.2!V77)))</f>
        <v>Всего совокупного (убытка) / дохода за период</v>
      </c>
      <c r="C77" s="59">
        <f>SUM(C75:C76)</f>
        <v>-7680</v>
      </c>
      <c r="D77" s="59">
        <f>SUM(D75:D76)</f>
        <v>295614</v>
      </c>
      <c r="F77" s="2"/>
      <c r="G77" s="55"/>
      <c r="H77" s="58">
        <v>0</v>
      </c>
      <c r="I77" s="2"/>
      <c r="J77" s="2"/>
      <c r="K77" s="80"/>
      <c r="L77" s="91"/>
      <c r="M77" s="91"/>
      <c r="N77" s="2"/>
      <c r="O77" s="2"/>
      <c r="P77" s="2"/>
      <c r="Q77" s="2"/>
      <c r="R77" s="2"/>
      <c r="S77" s="2" t="s">
        <v>77</v>
      </c>
      <c r="T77" s="2" t="s">
        <v>76</v>
      </c>
      <c r="U77" s="2" t="s">
        <v>75</v>
      </c>
      <c r="V77" s="2" t="s">
        <v>74</v>
      </c>
    </row>
    <row r="78" spans="1:22" ht="18.600000000000001" thickBot="1" x14ac:dyDescent="0.35">
      <c r="B78" s="57" t="str">
        <f>IF(OR(AND(C78&lt;0,D78&lt;0),AND(C78&lt;0,D78=0),AND(D78&lt;0,C78=0)),Ф.2!S78,IF(OR(AND(C78&gt;0,D78&gt;0),AND(D78&gt;0,C78=0),AND(C78&gt;0,D78=0)),Ф.2!T78,IF(AND(C78&gt;0,D78&lt;0),Ф.2!U78,Ф.2!V78)))</f>
        <v>Базовый и разводненный (убыток) / доход на одну простую акцию (в тенге)</v>
      </c>
      <c r="C78" s="56">
        <v>-28.798932176709172</v>
      </c>
      <c r="D78" s="56">
        <v>3015.0496424611438</v>
      </c>
      <c r="F78" s="2"/>
      <c r="G78" s="55"/>
      <c r="H78" s="2"/>
      <c r="I78" s="2"/>
      <c r="J78" s="2"/>
      <c r="K78" s="80"/>
      <c r="L78" s="91"/>
      <c r="M78" s="91"/>
      <c r="N78" s="2"/>
      <c r="O78" s="2"/>
      <c r="P78" s="2"/>
      <c r="Q78" s="2"/>
      <c r="R78" s="2"/>
      <c r="S78" s="2" t="s">
        <v>73</v>
      </c>
      <c r="T78" s="2" t="s">
        <v>72</v>
      </c>
      <c r="U78" s="2" t="s">
        <v>71</v>
      </c>
      <c r="V78" s="2" t="s">
        <v>70</v>
      </c>
    </row>
    <row r="79" spans="1:22" ht="18" x14ac:dyDescent="0.3">
      <c r="B79" s="54" t="s">
        <v>12</v>
      </c>
      <c r="C79" s="53"/>
      <c r="D79" s="2"/>
      <c r="F79" s="2"/>
      <c r="G79" s="7"/>
      <c r="H79" s="2"/>
      <c r="I79" s="2"/>
      <c r="J79" s="2"/>
      <c r="K79" s="80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</row>
    <row r="80" spans="1:22" ht="18" x14ac:dyDescent="0.3">
      <c r="B80" s="54"/>
      <c r="C80" s="53"/>
      <c r="D80" s="2"/>
      <c r="F80" s="2"/>
      <c r="G80" s="7"/>
      <c r="H80" s="2"/>
      <c r="I80" s="2"/>
      <c r="J80" s="2"/>
      <c r="K80" s="80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</row>
    <row r="81" spans="2:4" ht="18" x14ac:dyDescent="0.3">
      <c r="B81" s="54"/>
      <c r="C81" s="53"/>
      <c r="D81" s="2"/>
    </row>
    <row r="82" spans="2:4" ht="18" x14ac:dyDescent="0.3">
      <c r="B82" s="13" t="s">
        <v>5</v>
      </c>
      <c r="C82" s="11" t="s">
        <v>4</v>
      </c>
      <c r="D82" s="2"/>
    </row>
    <row r="83" spans="2:4" ht="18" x14ac:dyDescent="0.3">
      <c r="B83" s="52"/>
      <c r="C83" s="13"/>
      <c r="D83" s="2"/>
    </row>
    <row r="84" spans="2:4" ht="18" x14ac:dyDescent="0.3">
      <c r="B84" s="2"/>
      <c r="C84" s="11"/>
      <c r="D84" s="2"/>
    </row>
    <row r="85" spans="2:4" ht="18" x14ac:dyDescent="0.3">
      <c r="B85" s="13" t="s">
        <v>3</v>
      </c>
      <c r="C85" s="11" t="s">
        <v>2</v>
      </c>
      <c r="D85" s="2"/>
    </row>
    <row r="86" spans="2:4" ht="18" x14ac:dyDescent="0.3">
      <c r="B86" s="2"/>
      <c r="C86" s="11"/>
      <c r="D86" s="2"/>
    </row>
    <row r="87" spans="2:4" ht="18" x14ac:dyDescent="0.3">
      <c r="B87" s="10" t="s">
        <v>1</v>
      </c>
      <c r="C87" s="2"/>
      <c r="D87" s="2"/>
    </row>
    <row r="88" spans="2:4" ht="18" x14ac:dyDescent="0.3">
      <c r="B88" s="10" t="s">
        <v>0</v>
      </c>
      <c r="C88" s="5"/>
      <c r="D88" s="2"/>
    </row>
    <row r="89" spans="2:4" ht="18" x14ac:dyDescent="0.3">
      <c r="B89" s="10"/>
      <c r="C89" s="2"/>
      <c r="D89" s="2"/>
    </row>
    <row r="90" spans="2:4" ht="18" x14ac:dyDescent="0.3">
      <c r="B90" s="2"/>
      <c r="C90" s="2"/>
      <c r="D90" s="2"/>
    </row>
    <row r="91" spans="2:4" ht="18" x14ac:dyDescent="0.3">
      <c r="B91" s="2"/>
      <c r="C91" s="2"/>
      <c r="D91" s="2"/>
    </row>
    <row r="92" spans="2:4" ht="18" x14ac:dyDescent="0.3">
      <c r="B92" s="2"/>
      <c r="C92" s="2"/>
      <c r="D92" s="2"/>
    </row>
    <row r="93" spans="2:4" ht="18" x14ac:dyDescent="0.3">
      <c r="B93" s="2"/>
      <c r="C93" s="2"/>
      <c r="D93" s="2"/>
    </row>
    <row r="94" spans="2:4" ht="18" x14ac:dyDescent="0.3">
      <c r="B94" s="2"/>
      <c r="C94" s="2"/>
      <c r="D94" s="2"/>
    </row>
    <row r="95" spans="2:4" ht="18" x14ac:dyDescent="0.3">
      <c r="B95" s="2"/>
      <c r="C95" s="2"/>
      <c r="D95" s="2"/>
    </row>
    <row r="96" spans="2:4" ht="18" x14ac:dyDescent="0.3">
      <c r="B96" s="2"/>
      <c r="C96" s="2"/>
      <c r="D96" s="2"/>
    </row>
    <row r="97" spans="2:4" ht="18" x14ac:dyDescent="0.3">
      <c r="B97" s="2"/>
      <c r="C97" s="2"/>
      <c r="D97" s="2"/>
    </row>
    <row r="98" spans="2:4" ht="18" x14ac:dyDescent="0.3">
      <c r="B98" s="2"/>
      <c r="C98" s="2"/>
      <c r="D98" s="2"/>
    </row>
    <row r="99" spans="2:4" ht="18" x14ac:dyDescent="0.3">
      <c r="B99" s="2"/>
      <c r="C99" s="2"/>
      <c r="D99" s="2"/>
    </row>
    <row r="100" spans="2:4" ht="18" x14ac:dyDescent="0.3">
      <c r="B100" s="2"/>
      <c r="C100" s="2"/>
      <c r="D100" s="2"/>
    </row>
    <row r="101" spans="2:4" ht="18" x14ac:dyDescent="0.3">
      <c r="B101" s="2"/>
      <c r="C101" s="2"/>
      <c r="D101" s="2"/>
    </row>
    <row r="102" spans="2:4" ht="18" x14ac:dyDescent="0.3">
      <c r="B102" s="2"/>
      <c r="C102" s="2"/>
      <c r="D102" s="2"/>
    </row>
    <row r="103" spans="2:4" ht="18" x14ac:dyDescent="0.3">
      <c r="B103" s="2"/>
      <c r="C103" s="2"/>
      <c r="D103" s="2"/>
    </row>
    <row r="104" spans="2:4" ht="18" x14ac:dyDescent="0.3">
      <c r="B104" s="2"/>
      <c r="C104" s="2"/>
      <c r="D104" s="2"/>
    </row>
    <row r="105" spans="2:4" ht="18" x14ac:dyDescent="0.3">
      <c r="B105" s="2"/>
      <c r="C105" s="2"/>
      <c r="D105" s="2"/>
    </row>
    <row r="106" spans="2:4" ht="18" x14ac:dyDescent="0.3">
      <c r="B106" s="2"/>
      <c r="C106" s="2"/>
      <c r="D106" s="2"/>
    </row>
    <row r="107" spans="2:4" ht="18" x14ac:dyDescent="0.3">
      <c r="B107" s="2"/>
      <c r="C107" s="2"/>
      <c r="D107" s="2"/>
    </row>
    <row r="108" spans="2:4" ht="18" x14ac:dyDescent="0.3">
      <c r="B108" s="2"/>
      <c r="C108" s="2"/>
      <c r="D108" s="2"/>
    </row>
    <row r="109" spans="2:4" ht="18" x14ac:dyDescent="0.3">
      <c r="B109" s="2"/>
      <c r="C109" s="2"/>
      <c r="D109" s="2"/>
    </row>
    <row r="110" spans="2:4" ht="18" x14ac:dyDescent="0.3">
      <c r="B110" s="2"/>
      <c r="C110" s="2"/>
      <c r="D110" s="2"/>
    </row>
    <row r="111" spans="2:4" ht="18" x14ac:dyDescent="0.3">
      <c r="B111" s="2"/>
      <c r="C111" s="2"/>
      <c r="D111" s="2"/>
    </row>
    <row r="112" spans="2:4" ht="18" x14ac:dyDescent="0.3">
      <c r="B112" s="2"/>
      <c r="C112" s="2"/>
      <c r="D112" s="2"/>
    </row>
    <row r="113" spans="2:4" ht="18" x14ac:dyDescent="0.3">
      <c r="B113" s="2"/>
      <c r="C113" s="2"/>
      <c r="D113" s="2"/>
    </row>
    <row r="114" spans="2:4" ht="18" x14ac:dyDescent="0.3">
      <c r="B114" s="2"/>
      <c r="C114" s="2"/>
      <c r="D114" s="2"/>
    </row>
    <row r="115" spans="2:4" ht="18" x14ac:dyDescent="0.3">
      <c r="B115" s="2"/>
      <c r="C115" s="2"/>
      <c r="D115" s="2"/>
    </row>
    <row r="116" spans="2:4" ht="18" x14ac:dyDescent="0.3">
      <c r="B116" s="2"/>
      <c r="C116" s="2"/>
      <c r="D116" s="2"/>
    </row>
    <row r="117" spans="2:4" ht="18" x14ac:dyDescent="0.3">
      <c r="B117" s="2"/>
      <c r="C117" s="2"/>
      <c r="D117" s="2"/>
    </row>
    <row r="118" spans="2:4" ht="18" x14ac:dyDescent="0.3">
      <c r="B118" s="2"/>
      <c r="C118" s="2"/>
      <c r="D118" s="2"/>
    </row>
    <row r="119" spans="2:4" ht="18" x14ac:dyDescent="0.3">
      <c r="B119" s="2"/>
      <c r="C119" s="2"/>
      <c r="D119" s="2"/>
    </row>
    <row r="120" spans="2:4" ht="18" x14ac:dyDescent="0.3">
      <c r="B120" s="2"/>
      <c r="C120" s="2"/>
      <c r="D120" s="2"/>
    </row>
    <row r="121" spans="2:4" ht="18" x14ac:dyDescent="0.3">
      <c r="B121" s="2"/>
      <c r="C121" s="2"/>
      <c r="D121" s="2"/>
    </row>
    <row r="122" spans="2:4" ht="18" x14ac:dyDescent="0.3">
      <c r="B122" s="2"/>
      <c r="C122" s="2"/>
      <c r="D122" s="2"/>
    </row>
    <row r="123" spans="2:4" ht="18" x14ac:dyDescent="0.3">
      <c r="B123" s="2"/>
      <c r="C123" s="2"/>
      <c r="D123" s="2"/>
    </row>
    <row r="124" spans="2:4" ht="18" x14ac:dyDescent="0.3">
      <c r="B124" s="2"/>
      <c r="C124" s="2"/>
      <c r="D124" s="2"/>
    </row>
    <row r="125" spans="2:4" ht="18" x14ac:dyDescent="0.3">
      <c r="B125" s="2"/>
      <c r="C125" s="2"/>
      <c r="D125" s="2"/>
    </row>
    <row r="126" spans="2:4" ht="18" x14ac:dyDescent="0.3">
      <c r="B126" s="2"/>
      <c r="C126" s="2"/>
      <c r="D126" s="2"/>
    </row>
    <row r="127" spans="2:4" ht="18" x14ac:dyDescent="0.3">
      <c r="B127" s="2"/>
      <c r="C127" s="2"/>
      <c r="D127" s="2"/>
    </row>
    <row r="128" spans="2:4" ht="18" x14ac:dyDescent="0.3">
      <c r="B128" s="2"/>
      <c r="C128" s="2"/>
      <c r="D128" s="2"/>
    </row>
    <row r="129" spans="2:4" ht="18" x14ac:dyDescent="0.3">
      <c r="B129" s="2"/>
      <c r="C129" s="2"/>
      <c r="D129" s="2"/>
    </row>
    <row r="130" spans="2:4" ht="18" x14ac:dyDescent="0.3">
      <c r="B130" s="2"/>
      <c r="C130" s="2"/>
      <c r="D130" s="2"/>
    </row>
    <row r="131" spans="2:4" ht="18" x14ac:dyDescent="0.3">
      <c r="B131" s="2"/>
      <c r="C131" s="2"/>
      <c r="D131" s="2"/>
    </row>
    <row r="132" spans="2:4" ht="18" x14ac:dyDescent="0.3">
      <c r="B132" s="2"/>
      <c r="C132" s="2"/>
      <c r="D132" s="2"/>
    </row>
    <row r="133" spans="2:4" ht="18" x14ac:dyDescent="0.3">
      <c r="B133" s="2"/>
      <c r="C133" s="2"/>
      <c r="D133" s="2"/>
    </row>
    <row r="134" spans="2:4" ht="18" x14ac:dyDescent="0.3">
      <c r="B134" s="2"/>
      <c r="C134" s="2"/>
      <c r="D134" s="2"/>
    </row>
    <row r="135" spans="2:4" ht="18" x14ac:dyDescent="0.3">
      <c r="B135" s="2"/>
      <c r="C135" s="2"/>
      <c r="D135" s="2"/>
    </row>
    <row r="136" spans="2:4" ht="18" x14ac:dyDescent="0.3">
      <c r="B136" s="2"/>
      <c r="C136" s="2"/>
      <c r="D136" s="2"/>
    </row>
    <row r="137" spans="2:4" ht="18" x14ac:dyDescent="0.3">
      <c r="B137" s="2"/>
      <c r="C137" s="2"/>
      <c r="D137" s="2"/>
    </row>
    <row r="138" spans="2:4" ht="18" x14ac:dyDescent="0.3">
      <c r="B138" s="2"/>
      <c r="C138" s="2"/>
      <c r="D138" s="2"/>
    </row>
    <row r="139" spans="2:4" ht="18" x14ac:dyDescent="0.3">
      <c r="B139" s="2"/>
      <c r="C139" s="2"/>
      <c r="D139" s="2"/>
    </row>
    <row r="140" spans="2:4" ht="18" x14ac:dyDescent="0.3">
      <c r="B140" s="2"/>
      <c r="C140" s="2"/>
      <c r="D140" s="2"/>
    </row>
    <row r="141" spans="2:4" ht="18" x14ac:dyDescent="0.3">
      <c r="B141" s="2"/>
      <c r="C141" s="2"/>
      <c r="D141" s="2"/>
    </row>
    <row r="142" spans="2:4" ht="18" x14ac:dyDescent="0.3">
      <c r="B142" s="2"/>
      <c r="C142" s="2"/>
      <c r="D142" s="2"/>
    </row>
  </sheetData>
  <sheetProtection formatCells="0" formatColumns="0" formatRows="0"/>
  <protectedRanges>
    <protectedRange algorithmName="SHA-512" hashValue="WUtQ8PjJ2AZZLOfEmWZcGF66Q73NyoHhB+9fOZXikIl5GxRHSuWb5KV1ac9D0B34098/Z4To6Bc6uNE72OGZgw==" saltValue="zmxsgxEYGH+/31P5ZSk5eQ==" spinCount="100000" sqref="C20:D20 C22:D23 C25:D26 C28:D29 C31:D32 C34:D35 C37:D43 C45:D48 C50:D50 C52:D52 C57:D57 C62:D65 C69:D69 C75:D75 C78:D78 C16:D18" name="Range1"/>
  </protectedRanges>
  <mergeCells count="4">
    <mergeCell ref="B9:D9"/>
    <mergeCell ref="B10:D10"/>
    <mergeCell ref="B11:D11"/>
    <mergeCell ref="B12:D12"/>
  </mergeCells>
  <pageMargins left="0.7" right="0.7" top="0.75" bottom="0.75" header="0.3" footer="0.3"/>
  <pageSetup scale="3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0837"/>
    <pageSetUpPr autoPageBreaks="0"/>
  </sheetPr>
  <dimension ref="A1:T85"/>
  <sheetViews>
    <sheetView view="pageBreakPreview" topLeftCell="B1" zoomScale="60" zoomScaleNormal="60" workbookViewId="0">
      <selection activeCell="A22" sqref="A22"/>
    </sheetView>
  </sheetViews>
  <sheetFormatPr defaultColWidth="9.109375" defaultRowHeight="18" outlineLevelCol="1" x14ac:dyDescent="0.35"/>
  <cols>
    <col min="1" max="1" width="9.109375" style="131" hidden="1" customWidth="1" outlineLevel="1"/>
    <col min="2" max="2" width="118.109375" style="129" customWidth="1" collapsed="1"/>
    <col min="3" max="3" width="29" style="129" customWidth="1"/>
    <col min="4" max="4" width="27.109375" style="129" customWidth="1"/>
    <col min="5" max="5" width="18.6640625" style="130" customWidth="1"/>
    <col min="6" max="6" width="18.6640625" style="129" customWidth="1"/>
    <col min="7" max="7" width="17" style="129" customWidth="1"/>
    <col min="8" max="8" width="18.6640625" style="334" customWidth="1"/>
    <col min="9" max="9" width="16.5546875" style="334" bestFit="1" customWidth="1"/>
    <col min="10" max="16384" width="9.109375" style="129"/>
  </cols>
  <sheetData>
    <row r="1" spans="1:11" x14ac:dyDescent="0.35">
      <c r="B1" s="207" t="s">
        <v>69</v>
      </c>
      <c r="C1" s="204"/>
      <c r="D1" s="212" t="s">
        <v>268</v>
      </c>
      <c r="E1" s="213"/>
      <c r="F1" s="212"/>
      <c r="G1" s="211"/>
      <c r="H1" s="333"/>
    </row>
    <row r="2" spans="1:11" x14ac:dyDescent="0.35">
      <c r="B2" s="207" t="s">
        <v>68</v>
      </c>
      <c r="C2" s="204"/>
      <c r="D2" s="209"/>
      <c r="E2" s="210"/>
      <c r="F2" s="209"/>
      <c r="G2" s="208"/>
      <c r="H2" s="333"/>
    </row>
    <row r="3" spans="1:11" x14ac:dyDescent="0.35">
      <c r="B3" s="207" t="s">
        <v>66</v>
      </c>
      <c r="C3" s="204"/>
      <c r="D3" s="204"/>
      <c r="E3" s="206"/>
      <c r="F3" s="204"/>
      <c r="G3" s="205"/>
      <c r="H3" s="333"/>
    </row>
    <row r="4" spans="1:11" x14ac:dyDescent="0.35">
      <c r="B4" s="207" t="s">
        <v>64</v>
      </c>
      <c r="C4" s="204"/>
      <c r="D4" s="204"/>
      <c r="E4" s="206"/>
      <c r="F4" s="204"/>
      <c r="G4" s="205"/>
      <c r="H4" s="335"/>
    </row>
    <row r="5" spans="1:11" x14ac:dyDescent="0.35">
      <c r="B5" s="207" t="s">
        <v>62</v>
      </c>
      <c r="C5" s="204"/>
      <c r="D5" s="204"/>
      <c r="E5" s="206"/>
      <c r="F5" s="204"/>
      <c r="G5" s="205"/>
      <c r="H5" s="335"/>
    </row>
    <row r="6" spans="1:11" x14ac:dyDescent="0.35">
      <c r="B6" s="196"/>
      <c r="D6" s="137"/>
      <c r="E6" s="138"/>
      <c r="F6" s="137"/>
      <c r="G6" s="136"/>
      <c r="H6" s="336"/>
    </row>
    <row r="7" spans="1:11" x14ac:dyDescent="0.35">
      <c r="B7" s="342" t="s">
        <v>312</v>
      </c>
      <c r="C7" s="342"/>
      <c r="D7" s="342"/>
      <c r="E7" s="203"/>
      <c r="F7" s="202"/>
      <c r="G7" s="201"/>
    </row>
    <row r="8" spans="1:11" x14ac:dyDescent="0.35">
      <c r="B8" s="342" t="s">
        <v>267</v>
      </c>
      <c r="C8" s="342"/>
      <c r="D8" s="342"/>
      <c r="E8" s="203"/>
      <c r="F8" s="202"/>
      <c r="G8" s="201"/>
    </row>
    <row r="9" spans="1:11" x14ac:dyDescent="0.35">
      <c r="B9" s="342" t="s">
        <v>58</v>
      </c>
      <c r="C9" s="342"/>
      <c r="D9" s="342"/>
      <c r="E9" s="203"/>
      <c r="F9" s="202"/>
      <c r="G9" s="201"/>
    </row>
    <row r="10" spans="1:11" x14ac:dyDescent="0.35">
      <c r="B10" s="343" t="s">
        <v>302</v>
      </c>
      <c r="C10" s="342"/>
      <c r="D10" s="342"/>
      <c r="E10" s="203"/>
      <c r="F10" s="202"/>
      <c r="G10" s="201"/>
      <c r="H10" s="336"/>
    </row>
    <row r="11" spans="1:11" x14ac:dyDescent="0.35">
      <c r="B11" s="200" t="s">
        <v>266</v>
      </c>
      <c r="C11" s="198"/>
      <c r="D11" s="198"/>
      <c r="E11" s="199"/>
      <c r="F11" s="198"/>
      <c r="G11" s="197"/>
      <c r="H11" s="337"/>
    </row>
    <row r="12" spans="1:11" ht="18.600000000000001" thickBot="1" x14ac:dyDescent="0.4">
      <c r="B12" s="196"/>
      <c r="D12" s="48" t="s">
        <v>311</v>
      </c>
      <c r="E12" s="195"/>
      <c r="F12" s="194"/>
      <c r="G12" s="193"/>
    </row>
    <row r="13" spans="1:11" ht="60" customHeight="1" x14ac:dyDescent="0.35">
      <c r="A13" s="192" t="s">
        <v>56</v>
      </c>
      <c r="B13" s="191"/>
      <c r="C13" s="190" t="s">
        <v>302</v>
      </c>
      <c r="D13" s="190" t="s">
        <v>303</v>
      </c>
      <c r="F13" s="189"/>
      <c r="G13" s="188"/>
    </row>
    <row r="14" spans="1:11" x14ac:dyDescent="0.35">
      <c r="A14" s="187"/>
      <c r="B14" s="165" t="s">
        <v>265</v>
      </c>
      <c r="C14" s="186"/>
      <c r="D14" s="186"/>
      <c r="G14" s="185"/>
    </row>
    <row r="15" spans="1:11" x14ac:dyDescent="0.35">
      <c r="A15" s="138">
        <v>1</v>
      </c>
      <c r="B15" s="164" t="s">
        <v>264</v>
      </c>
      <c r="C15" s="161">
        <f>ROUND(36217.432,0)</f>
        <v>36217</v>
      </c>
      <c r="D15" s="161">
        <f>ROUND(37916.998,0)</f>
        <v>37917</v>
      </c>
      <c r="F15" s="148"/>
      <c r="G15" s="148"/>
      <c r="J15" s="170"/>
      <c r="K15" s="170"/>
    </row>
    <row r="16" spans="1:11" ht="18.75" customHeight="1" x14ac:dyDescent="0.35">
      <c r="A16" s="138">
        <v>2</v>
      </c>
      <c r="B16" s="164" t="s">
        <v>263</v>
      </c>
      <c r="C16" s="161">
        <f>ROUND(-27023.986,0)</f>
        <v>-27024</v>
      </c>
      <c r="D16" s="161">
        <f>ROUND(-20657.1,0)</f>
        <v>-20657</v>
      </c>
      <c r="F16" s="148"/>
      <c r="G16" s="148"/>
      <c r="J16" s="170"/>
      <c r="K16" s="170"/>
    </row>
    <row r="17" spans="1:20" x14ac:dyDescent="0.35">
      <c r="A17" s="138">
        <v>3</v>
      </c>
      <c r="B17" s="164" t="s">
        <v>262</v>
      </c>
      <c r="C17" s="161">
        <f>ROUND(4556.314,0)</f>
        <v>4556</v>
      </c>
      <c r="D17" s="161">
        <f>ROUND(4411.38,0)</f>
        <v>4411</v>
      </c>
      <c r="F17" s="148"/>
      <c r="G17" s="148"/>
      <c r="J17" s="170"/>
      <c r="K17" s="170"/>
    </row>
    <row r="18" spans="1:20" x14ac:dyDescent="0.35">
      <c r="A18" s="138">
        <v>4</v>
      </c>
      <c r="B18" s="164" t="s">
        <v>261</v>
      </c>
      <c r="C18" s="161">
        <f>ROUND(-3227.561,0)</f>
        <v>-3228</v>
      </c>
      <c r="D18" s="161">
        <f>ROUND(-1723.349,0)</f>
        <v>-1723</v>
      </c>
      <c r="F18" s="148"/>
      <c r="G18" s="148"/>
      <c r="J18" s="170"/>
      <c r="K18" s="170"/>
    </row>
    <row r="19" spans="1:20" x14ac:dyDescent="0.35">
      <c r="A19" s="138">
        <v>5</v>
      </c>
      <c r="B19" s="164" t="s">
        <v>260</v>
      </c>
      <c r="C19" s="161">
        <f>ROUND(5913.98,0)</f>
        <v>5914</v>
      </c>
      <c r="D19" s="161">
        <f>ROUND(2612.547,0)</f>
        <v>2613</v>
      </c>
      <c r="F19" s="148"/>
      <c r="G19" s="148"/>
      <c r="J19" s="170"/>
      <c r="K19" s="170"/>
    </row>
    <row r="20" spans="1:20" x14ac:dyDescent="0.35">
      <c r="A20" s="138">
        <v>6</v>
      </c>
      <c r="B20" s="164" t="s">
        <v>259</v>
      </c>
      <c r="C20" s="161">
        <f>ROUND(-1094.269,0)</f>
        <v>-1094</v>
      </c>
      <c r="D20" s="161">
        <f>ROUND(-883.989,0)</f>
        <v>-884</v>
      </c>
      <c r="F20" s="148"/>
      <c r="G20" s="148"/>
      <c r="J20" s="170"/>
      <c r="K20" s="170"/>
    </row>
    <row r="21" spans="1:20" x14ac:dyDescent="0.35">
      <c r="A21" s="138">
        <v>7</v>
      </c>
      <c r="B21" s="164" t="s">
        <v>258</v>
      </c>
      <c r="C21" s="161">
        <f>ROUND(-754.235,0)</f>
        <v>-754</v>
      </c>
      <c r="D21" s="161">
        <f>ROUND(-460.004,0)</f>
        <v>-460</v>
      </c>
      <c r="F21" s="148"/>
      <c r="G21" s="148"/>
      <c r="J21" s="170"/>
      <c r="K21" s="170"/>
      <c r="Q21" s="111" t="s">
        <v>173</v>
      </c>
      <c r="R21" s="110" t="s">
        <v>172</v>
      </c>
      <c r="S21" s="109" t="s">
        <v>171</v>
      </c>
      <c r="T21" s="109" t="s">
        <v>170</v>
      </c>
    </row>
    <row r="22" spans="1:20" x14ac:dyDescent="0.35">
      <c r="A22" s="138">
        <v>8</v>
      </c>
      <c r="B22" s="164" t="str">
        <f>IF(OR(AND(C22&lt;0,D22&lt;0),AND(C22&lt;0,D22=0),AND(D22&lt;0,C22=0)),Ф.3!Q22,IF(OR(AND(C22&gt;0,D22&gt;0),AND(D22&gt;0,C22=0),AND(C22&gt;0,D22=0)),Ф.3!R22,IF(AND(C22&gt;0,D22&lt;0),Ф.3!S22,Ф.3!T22)))</f>
        <v>Чистый расход по операциям с торговыми ценными бумагами</v>
      </c>
      <c r="C22" s="161">
        <f>ROUND(-3.431,0)</f>
        <v>-3</v>
      </c>
      <c r="D22" s="161">
        <f>ROUND(-6.813,0)</f>
        <v>-7</v>
      </c>
      <c r="F22" s="148"/>
      <c r="G22" s="148"/>
      <c r="J22" s="170"/>
      <c r="K22" s="170"/>
      <c r="Q22" s="129" t="s">
        <v>257</v>
      </c>
      <c r="R22" s="129" t="s">
        <v>157</v>
      </c>
      <c r="S22" s="129" t="s">
        <v>156</v>
      </c>
      <c r="T22" s="129" t="s">
        <v>155</v>
      </c>
    </row>
    <row r="23" spans="1:20" x14ac:dyDescent="0.35">
      <c r="A23" s="138">
        <v>9</v>
      </c>
      <c r="B23" s="164" t="str">
        <f>IF(OR(AND(C23&lt;0,D23&lt;0),AND(C23&lt;0,D23=0),AND(D23&lt;0,C23=0)),Ф.3!Q23,IF(OR(AND(C23&gt;0,D23&gt;0),AND(D23&gt;0,C23=0),AND(C23&gt;0,D23=0)),Ф.3!R23,IF(AND(C23&gt;0,D23&lt;0),Ф.3!S23,Ф.3!T23)))</f>
        <v>Чистые поступления по операциям с иностранной валютой</v>
      </c>
      <c r="C23" s="161">
        <f>ROUND(2630.785,0)</f>
        <v>2631</v>
      </c>
      <c r="D23" s="161">
        <f>ROUND(2265.628,0)</f>
        <v>2266</v>
      </c>
      <c r="F23" s="148"/>
      <c r="G23" s="148"/>
      <c r="J23" s="170"/>
      <c r="K23" s="170"/>
      <c r="Q23" s="129" t="s">
        <v>256</v>
      </c>
      <c r="R23" s="129" t="s">
        <v>255</v>
      </c>
      <c r="S23" s="129" t="s">
        <v>254</v>
      </c>
      <c r="T23" s="129" t="s">
        <v>253</v>
      </c>
    </row>
    <row r="24" spans="1:20" x14ac:dyDescent="0.35">
      <c r="A24" s="138">
        <v>10.1</v>
      </c>
      <c r="B24" s="164" t="s">
        <v>141</v>
      </c>
      <c r="C24" s="161">
        <f>ROUND(2485,0)</f>
        <v>2485</v>
      </c>
      <c r="D24" s="161">
        <f>ROUND(0,0)</f>
        <v>0</v>
      </c>
      <c r="F24" s="148"/>
      <c r="G24" s="148"/>
      <c r="J24" s="170"/>
      <c r="K24" s="170"/>
    </row>
    <row r="25" spans="1:20" x14ac:dyDescent="0.35">
      <c r="A25" s="138">
        <v>11</v>
      </c>
      <c r="B25" s="164" t="s">
        <v>252</v>
      </c>
      <c r="C25" s="161">
        <f>ROUND(1329.082,0)</f>
        <v>1329</v>
      </c>
      <c r="D25" s="161">
        <f>ROUND(1240.346,0)</f>
        <v>1240</v>
      </c>
      <c r="F25" s="148"/>
      <c r="G25" s="148"/>
      <c r="J25" s="170"/>
      <c r="K25" s="170"/>
    </row>
    <row r="26" spans="1:20" x14ac:dyDescent="0.35">
      <c r="A26" s="138">
        <v>12</v>
      </c>
      <c r="B26" s="164" t="s">
        <v>251</v>
      </c>
      <c r="C26" s="161">
        <f>ROUND(-23030.069,0)</f>
        <v>-23030</v>
      </c>
      <c r="D26" s="161">
        <f>ROUND(-17627.958,0)</f>
        <v>-17628</v>
      </c>
      <c r="F26" s="148"/>
      <c r="G26" s="148"/>
      <c r="J26" s="170"/>
      <c r="K26" s="170"/>
    </row>
    <row r="27" spans="1:20" x14ac:dyDescent="0.35">
      <c r="A27" s="138"/>
      <c r="B27" s="164"/>
      <c r="C27" s="161"/>
      <c r="D27" s="161"/>
      <c r="F27" s="148"/>
      <c r="G27" s="163"/>
      <c r="J27" s="170"/>
      <c r="K27" s="170"/>
    </row>
    <row r="28" spans="1:20" x14ac:dyDescent="0.35">
      <c r="A28" s="138"/>
      <c r="B28" s="165" t="s">
        <v>250</v>
      </c>
      <c r="C28" s="161"/>
      <c r="D28" s="161"/>
      <c r="F28" s="148"/>
      <c r="G28" s="163"/>
      <c r="J28" s="170"/>
      <c r="K28" s="170"/>
    </row>
    <row r="29" spans="1:20" x14ac:dyDescent="0.35">
      <c r="A29" s="138">
        <v>13</v>
      </c>
      <c r="B29" s="164" t="s">
        <v>52</v>
      </c>
      <c r="C29" s="161">
        <f>ROUND(-9944.733,0)</f>
        <v>-9945</v>
      </c>
      <c r="D29" s="161">
        <f>ROUND(7824.15,0)</f>
        <v>7824</v>
      </c>
      <c r="F29" s="148"/>
      <c r="G29" s="148"/>
      <c r="J29" s="170"/>
      <c r="K29" s="170"/>
    </row>
    <row r="30" spans="1:20" x14ac:dyDescent="0.35">
      <c r="A30" s="138">
        <v>15</v>
      </c>
      <c r="B30" s="164" t="s">
        <v>51</v>
      </c>
      <c r="C30" s="161">
        <f>ROUND(-25305.3,0)</f>
        <v>-25305</v>
      </c>
      <c r="D30" s="161">
        <f>ROUND(754.081,0)</f>
        <v>754</v>
      </c>
      <c r="F30" s="148"/>
      <c r="G30" s="148"/>
      <c r="J30" s="170"/>
      <c r="K30" s="170"/>
    </row>
    <row r="31" spans="1:20" x14ac:dyDescent="0.35">
      <c r="A31" s="138">
        <v>16</v>
      </c>
      <c r="B31" s="164" t="s">
        <v>49</v>
      </c>
      <c r="C31" s="161">
        <f>ROUND(-1291.847,0)</f>
        <v>-1292</v>
      </c>
      <c r="D31" s="161">
        <f>ROUND(48714.189,0)</f>
        <v>48714</v>
      </c>
      <c r="F31" s="148"/>
      <c r="G31" s="148"/>
      <c r="J31" s="170"/>
      <c r="K31" s="170"/>
    </row>
    <row r="32" spans="1:20" x14ac:dyDescent="0.35">
      <c r="A32" s="138">
        <v>17</v>
      </c>
      <c r="B32" s="164" t="s">
        <v>41</v>
      </c>
      <c r="C32" s="161">
        <f>ROUND(780.777,0)</f>
        <v>781</v>
      </c>
      <c r="D32" s="161">
        <f>ROUND(-1516.278,0)</f>
        <v>-1516</v>
      </c>
      <c r="F32" s="148"/>
      <c r="G32" s="148"/>
      <c r="J32" s="170"/>
      <c r="K32" s="170"/>
    </row>
    <row r="33" spans="1:20" x14ac:dyDescent="0.35">
      <c r="A33" s="138"/>
      <c r="B33" s="165"/>
      <c r="C33" s="161"/>
      <c r="D33" s="161"/>
      <c r="F33" s="148"/>
      <c r="G33" s="163"/>
      <c r="J33" s="170"/>
      <c r="K33" s="170"/>
    </row>
    <row r="34" spans="1:20" x14ac:dyDescent="0.35">
      <c r="A34" s="138"/>
      <c r="B34" s="165" t="s">
        <v>249</v>
      </c>
      <c r="C34" s="161"/>
      <c r="D34" s="161"/>
      <c r="F34" s="148"/>
      <c r="G34" s="163"/>
      <c r="J34" s="170"/>
      <c r="K34" s="170"/>
    </row>
    <row r="35" spans="1:20" x14ac:dyDescent="0.35">
      <c r="A35" s="138">
        <v>19</v>
      </c>
      <c r="B35" s="164" t="s">
        <v>38</v>
      </c>
      <c r="C35" s="161">
        <f>ROUND(-1843.196,0)</f>
        <v>-1843</v>
      </c>
      <c r="D35" s="161">
        <f>ROUND(-19375.479,0)</f>
        <v>-19375</v>
      </c>
      <c r="F35" s="148"/>
      <c r="G35" s="148"/>
      <c r="J35" s="170"/>
      <c r="K35" s="170"/>
    </row>
    <row r="36" spans="1:20" x14ac:dyDescent="0.35">
      <c r="A36" s="138">
        <v>20</v>
      </c>
      <c r="B36" s="164" t="s">
        <v>248</v>
      </c>
      <c r="C36" s="161">
        <f>ROUND(80623.945,0)</f>
        <v>80624</v>
      </c>
      <c r="D36" s="161">
        <f>ROUND(28446.059,0)</f>
        <v>28446</v>
      </c>
      <c r="F36" s="148"/>
      <c r="G36" s="148"/>
      <c r="J36" s="170"/>
      <c r="K36" s="170"/>
    </row>
    <row r="37" spans="1:20" x14ac:dyDescent="0.35">
      <c r="A37" s="138">
        <v>21</v>
      </c>
      <c r="B37" s="164" t="s">
        <v>37</v>
      </c>
      <c r="C37" s="161">
        <f>ROUND(89578.09,0)</f>
        <v>89578</v>
      </c>
      <c r="D37" s="161">
        <f>ROUND(-39755.77,0)</f>
        <v>-39756</v>
      </c>
      <c r="F37" s="148"/>
      <c r="G37" s="148"/>
      <c r="J37" s="170"/>
      <c r="K37" s="170"/>
    </row>
    <row r="38" spans="1:20" x14ac:dyDescent="0.35">
      <c r="A38" s="138">
        <v>22</v>
      </c>
      <c r="B38" s="164" t="s">
        <v>247</v>
      </c>
      <c r="C38" s="161">
        <f>ROUND(4214.5,0)</f>
        <v>4215</v>
      </c>
      <c r="D38" s="161">
        <f>ROUND(-2638.003,0)</f>
        <v>-2638</v>
      </c>
      <c r="F38" s="148"/>
      <c r="G38" s="148"/>
      <c r="J38" s="170"/>
      <c r="K38" s="170"/>
    </row>
    <row r="39" spans="1:20" ht="34.799999999999997" x14ac:dyDescent="0.35">
      <c r="A39" s="138"/>
      <c r="B39" s="184" t="str">
        <f>IF(OR(AND(C39&lt;0,D39&lt;0),AND(C39&lt;0,D39=0),AND(D39&lt;0,C39=0)),Ф.3!Q39,IF(OR(AND(C39&gt;0,D39&gt;0),AND(D39&gt;0,C39=0),AND(C39&gt;0,D39=0)),Ф.3!R39,IF(AND(C39&gt;0,D39&lt;0),Ф.3!S39,Ф.3!T39)))</f>
        <v>Чистое поступление денежных средств от операционной 
 деятельности до уплаты корпоративного подоходного налога</v>
      </c>
      <c r="C39" s="115">
        <f>ROUND(SUM(C15:C38),0)</f>
        <v>134812</v>
      </c>
      <c r="D39" s="115">
        <f>ROUND(SUM(D15:D38),0)</f>
        <v>29541</v>
      </c>
      <c r="F39" s="148"/>
      <c r="G39" s="169"/>
      <c r="J39" s="170"/>
      <c r="K39" s="170"/>
      <c r="Q39" s="129" t="s">
        <v>246</v>
      </c>
      <c r="R39" s="129" t="s">
        <v>245</v>
      </c>
      <c r="S39" s="129" t="s">
        <v>244</v>
      </c>
      <c r="T39" s="129" t="s">
        <v>243</v>
      </c>
    </row>
    <row r="40" spans="1:20" ht="18.600000000000001" thickBot="1" x14ac:dyDescent="0.4">
      <c r="A40" s="138">
        <v>23</v>
      </c>
      <c r="B40" s="159" t="s">
        <v>242</v>
      </c>
      <c r="C40" s="157">
        <f>ROUND(-98.978,0)</f>
        <v>-99</v>
      </c>
      <c r="D40" s="157">
        <f>ROUND(-181,0)</f>
        <v>-181</v>
      </c>
      <c r="F40" s="148"/>
      <c r="G40" s="148"/>
      <c r="J40" s="170"/>
      <c r="K40" s="170"/>
    </row>
    <row r="41" spans="1:20" ht="18.600000000000001" thickBot="1" x14ac:dyDescent="0.4">
      <c r="A41" s="138"/>
      <c r="B41" s="124" t="str">
        <f>IF(OR(AND(C41&lt;0,D41&lt;0),AND(C41&lt;0,D41=0),AND(D41&lt;0,C41=0)),Ф.3!Q41,IF(OR(AND(C41&gt;0,D41&gt;0),AND(D41&gt;0,C41=0),AND(C41&gt;0,D41=0)),Ф.3!R41,IF(AND(C41&gt;0,D41&lt;0),Ф.3!S41,Ф.3!T41)))</f>
        <v>Чистое поступление денежных средств от операционной деятельности</v>
      </c>
      <c r="C41" s="183">
        <f>ROUND(C39+C40,0)</f>
        <v>134713</v>
      </c>
      <c r="D41" s="183">
        <f>ROUND(D39+D40,0)</f>
        <v>29360</v>
      </c>
      <c r="F41" s="148"/>
      <c r="G41" s="163"/>
      <c r="J41" s="170"/>
      <c r="K41" s="170"/>
      <c r="Q41" s="129" t="s">
        <v>241</v>
      </c>
      <c r="R41" s="129" t="s">
        <v>240</v>
      </c>
      <c r="S41" s="129" t="s">
        <v>239</v>
      </c>
      <c r="T41" s="129" t="s">
        <v>238</v>
      </c>
    </row>
    <row r="42" spans="1:20" x14ac:dyDescent="0.35">
      <c r="A42" s="130"/>
      <c r="B42" s="168"/>
      <c r="C42" s="182"/>
      <c r="D42" s="182"/>
      <c r="F42" s="148"/>
      <c r="G42" s="169"/>
      <c r="J42" s="170"/>
      <c r="K42" s="170"/>
    </row>
    <row r="43" spans="1:20" x14ac:dyDescent="0.35">
      <c r="A43" s="138"/>
      <c r="B43" s="165" t="s">
        <v>237</v>
      </c>
      <c r="C43" s="177"/>
      <c r="D43" s="177"/>
      <c r="F43" s="148"/>
      <c r="G43" s="166"/>
      <c r="J43" s="170"/>
      <c r="K43" s="170"/>
    </row>
    <row r="44" spans="1:20" x14ac:dyDescent="0.35">
      <c r="A44" s="138">
        <v>27.1</v>
      </c>
      <c r="B44" s="164" t="s">
        <v>236</v>
      </c>
      <c r="C44" s="161">
        <f>ROUND(0,0)</f>
        <v>0</v>
      </c>
      <c r="D44" s="161">
        <f>ROUND(672696.29,0)</f>
        <v>672696</v>
      </c>
      <c r="F44" s="148"/>
      <c r="G44" s="166"/>
      <c r="J44" s="170"/>
      <c r="K44" s="170"/>
    </row>
    <row r="45" spans="1:20" x14ac:dyDescent="0.35">
      <c r="A45" s="138">
        <v>27</v>
      </c>
      <c r="B45" s="164" t="s">
        <v>235</v>
      </c>
      <c r="C45" s="161">
        <f>ROUND(-502983.722,0)</f>
        <v>-502984</v>
      </c>
      <c r="D45" s="161">
        <f>ROUND(-3001852.48495995,0)</f>
        <v>-3001852</v>
      </c>
      <c r="F45" s="148"/>
      <c r="G45" s="148"/>
      <c r="J45" s="170"/>
      <c r="K45" s="170"/>
    </row>
    <row r="46" spans="1:20" x14ac:dyDescent="0.35">
      <c r="A46" s="138">
        <v>28</v>
      </c>
      <c r="B46" s="164" t="s">
        <v>234</v>
      </c>
      <c r="C46" s="161">
        <f>ROUND(731446.982,0)</f>
        <v>731447</v>
      </c>
      <c r="D46" s="161">
        <f>ROUND(2648734.77613715,0)</f>
        <v>2648735</v>
      </c>
      <c r="F46" s="148"/>
      <c r="G46" s="148"/>
      <c r="J46" s="170"/>
      <c r="K46" s="170"/>
    </row>
    <row r="47" spans="1:20" ht="35.25" customHeight="1" x14ac:dyDescent="0.35">
      <c r="A47" s="138">
        <v>25</v>
      </c>
      <c r="B47" s="181" t="s">
        <v>233</v>
      </c>
      <c r="C47" s="161">
        <f>ROUND(-519668.846,0)</f>
        <v>-519669</v>
      </c>
      <c r="D47" s="161">
        <f>ROUND(-121879.352950649,0)</f>
        <v>-121879</v>
      </c>
      <c r="F47" s="148"/>
      <c r="G47" s="148"/>
      <c r="J47" s="170"/>
      <c r="K47" s="170"/>
    </row>
    <row r="48" spans="1:20" ht="34.5" customHeight="1" x14ac:dyDescent="0.35">
      <c r="A48" s="138">
        <v>26</v>
      </c>
      <c r="B48" s="181" t="s">
        <v>232</v>
      </c>
      <c r="C48" s="161">
        <f>ROUND(505156.532,0)</f>
        <v>505157</v>
      </c>
      <c r="D48" s="161">
        <f>ROUND(56451.664995975,0)</f>
        <v>56452</v>
      </c>
      <c r="F48" s="148"/>
      <c r="G48" s="148"/>
      <c r="J48" s="170"/>
      <c r="K48" s="170"/>
    </row>
    <row r="49" spans="1:20" x14ac:dyDescent="0.35">
      <c r="A49" s="138">
        <v>16.100000000000001</v>
      </c>
      <c r="B49" s="164" t="s">
        <v>231</v>
      </c>
      <c r="C49" s="161">
        <f>ROUND(-22690,0)</f>
        <v>-22690</v>
      </c>
      <c r="D49" s="177">
        <f>ROUND(0,0)</f>
        <v>0</v>
      </c>
      <c r="F49" s="148"/>
      <c r="G49" s="148"/>
      <c r="J49" s="170"/>
      <c r="K49" s="170"/>
    </row>
    <row r="50" spans="1:20" x14ac:dyDescent="0.35">
      <c r="A50" s="138">
        <v>29</v>
      </c>
      <c r="B50" s="164" t="s">
        <v>230</v>
      </c>
      <c r="C50" s="161">
        <f>ROUND(1833.821,0)</f>
        <v>1834</v>
      </c>
      <c r="D50" s="161">
        <f>ROUND(0.74,0)</f>
        <v>1</v>
      </c>
      <c r="F50" s="148"/>
      <c r="G50" s="148"/>
      <c r="J50" s="170"/>
      <c r="K50" s="170"/>
    </row>
    <row r="51" spans="1:20" x14ac:dyDescent="0.35">
      <c r="A51" s="138">
        <v>30</v>
      </c>
      <c r="B51" s="164" t="s">
        <v>229</v>
      </c>
      <c r="C51" s="161">
        <f>ROUND(-1218.815,0)</f>
        <v>-1219</v>
      </c>
      <c r="D51" s="161">
        <f>ROUND(-397.19591,0)</f>
        <v>-397</v>
      </c>
      <c r="F51" s="148"/>
      <c r="G51" s="148"/>
      <c r="J51" s="170"/>
      <c r="K51" s="170"/>
    </row>
    <row r="52" spans="1:20" ht="18.600000000000001" thickBot="1" x14ac:dyDescent="0.4">
      <c r="A52" s="138">
        <v>31</v>
      </c>
      <c r="B52" s="159" t="s">
        <v>228</v>
      </c>
      <c r="C52" s="157">
        <f>ROUND(126.146,0)</f>
        <v>126</v>
      </c>
      <c r="D52" s="157">
        <f>ROUND(3.525,0)</f>
        <v>4</v>
      </c>
      <c r="F52" s="148"/>
      <c r="G52" s="148"/>
      <c r="J52" s="170"/>
      <c r="K52" s="170"/>
    </row>
    <row r="53" spans="1:20" ht="18.600000000000001" thickBot="1" x14ac:dyDescent="0.4">
      <c r="A53" s="138"/>
      <c r="B53" s="180" t="str">
        <f>IF(OR(AND(C53&lt;0,D53&lt;0),AND(C53&lt;0,D53=0),AND(D53&lt;0,C53=0)),Ф.3!Q53,IF(OR(AND(C53&gt;0,D53&gt;0),AND(D53&gt;0,C53=0),AND(C53&gt;0,D53=0)),Ф.3!R53,IF(AND(C53&gt;0,D53&lt;0),Ф.3!S53,Ф.3!T53)))</f>
        <v>Чистое поступление денежных средств от инвестиционной деятельности</v>
      </c>
      <c r="C53" s="153">
        <f>ROUND(SUM(C44:C52),0)</f>
        <v>192002</v>
      </c>
      <c r="D53" s="153">
        <f>ROUND(SUM(D44:D52),0)</f>
        <v>253760</v>
      </c>
      <c r="J53" s="170"/>
      <c r="K53" s="170"/>
      <c r="Q53" s="129" t="s">
        <v>227</v>
      </c>
      <c r="R53" s="129" t="s">
        <v>226</v>
      </c>
      <c r="S53" s="129" t="s">
        <v>225</v>
      </c>
      <c r="T53" s="129" t="s">
        <v>224</v>
      </c>
    </row>
    <row r="54" spans="1:20" x14ac:dyDescent="0.35">
      <c r="A54" s="138"/>
      <c r="B54" s="179"/>
      <c r="C54" s="178"/>
      <c r="D54" s="178"/>
      <c r="J54" s="170"/>
      <c r="K54" s="170"/>
    </row>
    <row r="55" spans="1:20" x14ac:dyDescent="0.35">
      <c r="A55" s="138"/>
      <c r="B55" s="165" t="s">
        <v>223</v>
      </c>
      <c r="C55" s="177"/>
      <c r="D55" s="177"/>
      <c r="J55" s="170"/>
      <c r="K55" s="170"/>
    </row>
    <row r="56" spans="1:20" x14ac:dyDescent="0.35">
      <c r="A56" s="138">
        <v>35</v>
      </c>
      <c r="B56" s="164" t="s">
        <v>222</v>
      </c>
      <c r="C56" s="161">
        <f>ROUND(-5901.438,0)</f>
        <v>-5901</v>
      </c>
      <c r="D56" s="161">
        <f>ROUND(-4993,0)</f>
        <v>-4993</v>
      </c>
      <c r="F56" s="148"/>
      <c r="G56" s="148"/>
      <c r="J56" s="170"/>
      <c r="K56" s="170"/>
    </row>
    <row r="57" spans="1:20" x14ac:dyDescent="0.35">
      <c r="A57" s="138">
        <v>35.1</v>
      </c>
      <c r="B57" s="164" t="s">
        <v>221</v>
      </c>
      <c r="C57" s="161">
        <f>ROUND(20758,0)</f>
        <v>20758</v>
      </c>
      <c r="D57" s="161">
        <f>ROUND(0,0)</f>
        <v>0</v>
      </c>
      <c r="F57" s="148"/>
      <c r="G57" s="148"/>
      <c r="J57" s="170"/>
      <c r="K57" s="170"/>
    </row>
    <row r="58" spans="1:20" x14ac:dyDescent="0.35">
      <c r="A58" s="138">
        <v>38</v>
      </c>
      <c r="B58" s="164" t="s">
        <v>220</v>
      </c>
      <c r="C58" s="161">
        <f>ROUND(0,0)</f>
        <v>0</v>
      </c>
      <c r="D58" s="161">
        <f>ROUND(-6998.811,0)</f>
        <v>-6999</v>
      </c>
      <c r="F58" s="148"/>
      <c r="G58" s="148"/>
      <c r="J58" s="170"/>
      <c r="K58" s="170"/>
    </row>
    <row r="59" spans="1:20" x14ac:dyDescent="0.35">
      <c r="A59" s="138">
        <v>39</v>
      </c>
      <c r="B59" s="164" t="s">
        <v>219</v>
      </c>
      <c r="C59" s="161">
        <f>ROUND(-385.073,0)</f>
        <v>-385</v>
      </c>
      <c r="D59" s="161">
        <f>ROUND(0,0)</f>
        <v>0</v>
      </c>
      <c r="F59" s="176" t="s">
        <v>14</v>
      </c>
      <c r="G59" s="175"/>
      <c r="J59" s="170"/>
      <c r="K59" s="170"/>
    </row>
    <row r="60" spans="1:20" x14ac:dyDescent="0.35">
      <c r="A60" s="138">
        <v>33</v>
      </c>
      <c r="B60" s="164" t="s">
        <v>218</v>
      </c>
      <c r="C60" s="161">
        <f>ROUND(0,0)</f>
        <v>0</v>
      </c>
      <c r="D60" s="161">
        <f>ROUND(70000,0)</f>
        <v>70000</v>
      </c>
      <c r="F60" s="174">
        <v>0</v>
      </c>
      <c r="G60" s="173">
        <v>0</v>
      </c>
      <c r="J60" s="170"/>
      <c r="K60" s="170"/>
    </row>
    <row r="61" spans="1:20" x14ac:dyDescent="0.35">
      <c r="A61" s="138">
        <v>33.1</v>
      </c>
      <c r="B61" s="162" t="s">
        <v>217</v>
      </c>
      <c r="C61" s="161">
        <f>ROUND(0,0)</f>
        <v>0</v>
      </c>
      <c r="D61" s="161">
        <f>ROUND(-7.652,0)</f>
        <v>-8</v>
      </c>
      <c r="F61" s="174"/>
      <c r="G61" s="173"/>
      <c r="J61" s="170"/>
      <c r="K61" s="170"/>
    </row>
    <row r="62" spans="1:20" ht="18.600000000000001" thickBot="1" x14ac:dyDescent="0.4">
      <c r="A62" s="138">
        <v>36</v>
      </c>
      <c r="B62" s="159" t="s">
        <v>216</v>
      </c>
      <c r="C62" s="157">
        <f>ROUND(-113440,0)</f>
        <v>-113440</v>
      </c>
      <c r="D62" s="157">
        <f>ROUND(-2500,0)</f>
        <v>-2500</v>
      </c>
      <c r="F62" s="172">
        <v>0</v>
      </c>
      <c r="G62" s="171"/>
      <c r="J62" s="170"/>
      <c r="K62" s="170"/>
    </row>
    <row r="63" spans="1:20" ht="18.600000000000001" thickBot="1" x14ac:dyDescent="0.4">
      <c r="A63" s="138"/>
      <c r="B63" s="155" t="str">
        <f>IF(OR(AND(C63&lt;0,D63&lt;0),AND(C63&lt;0,D63=0),AND(D63&lt;0,C63=0)),Ф.3!Q63,IF(OR(AND(C63&gt;0,D63&gt;0),AND(D63&gt;0,C63=0),AND(C63&gt;0,D63=0)),Ф.3!R63,IF(AND(C63&gt;0,D63&lt;0),Ф.3!S63,Ф.3!T63)))</f>
        <v>Чистое (использование) / поступление денежных средств (в) / от финансовой деятельности</v>
      </c>
      <c r="C63" s="153">
        <f>ROUND(SUM(C56:C62),0)</f>
        <v>-98968</v>
      </c>
      <c r="D63" s="153">
        <f>ROUND(SUM(D56:D62),0)</f>
        <v>55500</v>
      </c>
      <c r="F63" s="148"/>
      <c r="G63" s="169"/>
      <c r="I63" s="338"/>
      <c r="J63" s="170"/>
      <c r="K63" s="170"/>
      <c r="Q63" s="129" t="s">
        <v>215</v>
      </c>
      <c r="R63" s="129" t="s">
        <v>214</v>
      </c>
      <c r="S63" s="129" t="s">
        <v>213</v>
      </c>
      <c r="T63" s="129" t="s">
        <v>212</v>
      </c>
    </row>
    <row r="64" spans="1:20" x14ac:dyDescent="0.35">
      <c r="A64" s="138"/>
      <c r="B64" s="168"/>
      <c r="C64" s="167"/>
      <c r="D64" s="167"/>
      <c r="F64" s="148"/>
      <c r="G64" s="166"/>
      <c r="I64" s="336"/>
      <c r="J64" s="170"/>
      <c r="K64" s="170"/>
    </row>
    <row r="65" spans="1:20" x14ac:dyDescent="0.35">
      <c r="A65" s="138"/>
      <c r="B65" s="165" t="str">
        <f>IF(OR(AND(C65&lt;0,D65&lt;0),AND(C65&lt;0,D65=0),AND(D65&lt;0,C65=0)),Ф.3!Q65,IF(OR(AND(C65&gt;0,D65&gt;0),AND(D65&gt;0,C65=0),AND(C65&gt;0,D65=0)),Ф.3!R65,IF(AND(C65&gt;0,D65&lt;0),Ф.3!S65,Ф.3!T65)))</f>
        <v>Чистое увеличение денежных средств и их эквивалентов</v>
      </c>
      <c r="C65" s="115">
        <f>ROUND(C63+C53+C41,0)</f>
        <v>227747</v>
      </c>
      <c r="D65" s="115">
        <f>ROUND(D63+D53+D41,0)</f>
        <v>338620</v>
      </c>
      <c r="F65" s="148"/>
      <c r="G65" s="163"/>
      <c r="I65" s="338"/>
      <c r="J65" s="170"/>
      <c r="K65" s="170"/>
      <c r="Q65" s="129" t="s">
        <v>211</v>
      </c>
      <c r="R65" s="129" t="s">
        <v>210</v>
      </c>
      <c r="S65" s="129" t="s">
        <v>209</v>
      </c>
      <c r="T65" s="129" t="s">
        <v>208</v>
      </c>
    </row>
    <row r="66" spans="1:20" x14ac:dyDescent="0.35">
      <c r="A66" s="138">
        <v>40</v>
      </c>
      <c r="B66" s="164" t="s">
        <v>207</v>
      </c>
      <c r="C66" s="161">
        <f>ROUND(1892.421,0)</f>
        <v>1892</v>
      </c>
      <c r="D66" s="161">
        <f>ROUND(3714.515,0)</f>
        <v>3715</v>
      </c>
      <c r="F66" s="148"/>
      <c r="G66" s="163"/>
      <c r="I66" s="338"/>
      <c r="J66" s="170"/>
      <c r="K66" s="170"/>
    </row>
    <row r="67" spans="1:20" x14ac:dyDescent="0.35">
      <c r="A67" s="138">
        <v>41</v>
      </c>
      <c r="B67" s="162" t="s">
        <v>206</v>
      </c>
      <c r="C67" s="161">
        <f>ROUND(-1.997,0)-1</f>
        <v>-3</v>
      </c>
      <c r="D67" s="161">
        <f>ROUND(-2.64,0)</f>
        <v>-3</v>
      </c>
      <c r="F67" s="160" t="s">
        <v>14</v>
      </c>
      <c r="G67" s="156"/>
      <c r="I67" s="338"/>
      <c r="J67" s="170"/>
      <c r="K67" s="170"/>
    </row>
    <row r="68" spans="1:20" ht="18.600000000000001" thickBot="1" x14ac:dyDescent="0.4">
      <c r="A68" s="138">
        <v>42</v>
      </c>
      <c r="B68" s="159" t="s">
        <v>205</v>
      </c>
      <c r="C68" s="158">
        <f>ROUND(298046.676,0)</f>
        <v>298047</v>
      </c>
      <c r="D68" s="157">
        <f>ROUND(54598.688,0)</f>
        <v>54599</v>
      </c>
      <c r="F68" s="152">
        <f>Ф.1!D16-Ф.3!C68</f>
        <v>0</v>
      </c>
      <c r="G68" s="156"/>
      <c r="I68" s="338"/>
      <c r="J68" s="170"/>
      <c r="K68" s="170"/>
    </row>
    <row r="69" spans="1:20" ht="18.600000000000001" thickBot="1" x14ac:dyDescent="0.4">
      <c r="A69" s="130"/>
      <c r="B69" s="155" t="s">
        <v>204</v>
      </c>
      <c r="C69" s="154">
        <f>SUM(C65:C68)</f>
        <v>527683</v>
      </c>
      <c r="D69" s="153">
        <f>SUM(D65:D68)</f>
        <v>396931</v>
      </c>
      <c r="F69" s="152">
        <f>Ф.1!C16-Ф.3!C69</f>
        <v>0</v>
      </c>
      <c r="G69" s="151">
        <v>0</v>
      </c>
      <c r="I69" s="338"/>
      <c r="J69" s="170"/>
      <c r="K69" s="170"/>
    </row>
    <row r="70" spans="1:20" x14ac:dyDescent="0.35">
      <c r="B70" s="150" t="s">
        <v>12</v>
      </c>
      <c r="C70" s="149">
        <v>0</v>
      </c>
      <c r="D70" s="148"/>
      <c r="E70" s="138"/>
      <c r="F70" s="147"/>
    </row>
    <row r="71" spans="1:20" x14ac:dyDescent="0.35">
      <c r="B71" s="146"/>
      <c r="C71" s="145"/>
      <c r="D71" s="145"/>
      <c r="F71" s="145"/>
      <c r="G71" s="144"/>
      <c r="H71" s="336"/>
    </row>
    <row r="72" spans="1:20" x14ac:dyDescent="0.35">
      <c r="B72" s="146"/>
      <c r="C72" s="145"/>
      <c r="D72" s="145"/>
      <c r="F72" s="145"/>
      <c r="G72" s="144"/>
      <c r="H72" s="336"/>
    </row>
    <row r="73" spans="1:20" x14ac:dyDescent="0.35">
      <c r="B73" s="143" t="s">
        <v>5</v>
      </c>
      <c r="C73" s="11" t="s">
        <v>4</v>
      </c>
      <c r="D73" s="140"/>
      <c r="E73" s="142"/>
      <c r="F73" s="140"/>
      <c r="G73" s="141"/>
      <c r="H73" s="338"/>
    </row>
    <row r="74" spans="1:20" x14ac:dyDescent="0.35">
      <c r="B74" s="143"/>
      <c r="C74" s="143"/>
      <c r="D74" s="140"/>
      <c r="E74" s="142"/>
      <c r="F74" s="140"/>
      <c r="G74" s="141"/>
      <c r="H74" s="338"/>
    </row>
    <row r="75" spans="1:20" x14ac:dyDescent="0.35">
      <c r="B75" s="143" t="s">
        <v>203</v>
      </c>
      <c r="C75" s="143"/>
      <c r="D75" s="140"/>
      <c r="E75" s="142"/>
      <c r="F75" s="140"/>
      <c r="G75" s="141"/>
      <c r="H75" s="338"/>
    </row>
    <row r="76" spans="1:20" x14ac:dyDescent="0.35">
      <c r="B76" s="143" t="s">
        <v>3</v>
      </c>
      <c r="C76" s="143" t="s">
        <v>2</v>
      </c>
      <c r="D76" s="140"/>
      <c r="E76" s="142"/>
      <c r="F76" s="140"/>
      <c r="G76" s="141"/>
      <c r="H76" s="338"/>
    </row>
    <row r="77" spans="1:20" x14ac:dyDescent="0.35">
      <c r="B77" s="137"/>
      <c r="C77" s="139"/>
      <c r="D77" s="137"/>
      <c r="E77" s="138"/>
      <c r="F77" s="137"/>
      <c r="G77" s="136"/>
      <c r="H77" s="336"/>
    </row>
    <row r="78" spans="1:20" x14ac:dyDescent="0.35">
      <c r="B78" s="135" t="s">
        <v>202</v>
      </c>
      <c r="G78" s="132"/>
      <c r="H78" s="336"/>
    </row>
    <row r="79" spans="1:20" x14ac:dyDescent="0.35">
      <c r="B79" s="135" t="s">
        <v>0</v>
      </c>
      <c r="G79" s="132"/>
    </row>
    <row r="80" spans="1:20" x14ac:dyDescent="0.35">
      <c r="G80" s="132"/>
    </row>
    <row r="81" spans="1:7" x14ac:dyDescent="0.35">
      <c r="G81" s="132"/>
    </row>
    <row r="82" spans="1:7" x14ac:dyDescent="0.35">
      <c r="G82" s="132"/>
    </row>
    <row r="83" spans="1:7" x14ac:dyDescent="0.35">
      <c r="G83" s="132"/>
    </row>
    <row r="84" spans="1:7" x14ac:dyDescent="0.35">
      <c r="G84" s="132"/>
    </row>
    <row r="85" spans="1:7" ht="6.75" customHeight="1" x14ac:dyDescent="0.35">
      <c r="A85" s="134"/>
      <c r="B85" s="132"/>
      <c r="C85" s="132"/>
      <c r="D85" s="132"/>
      <c r="E85" s="133"/>
      <c r="F85" s="132"/>
      <c r="G85" s="132"/>
    </row>
  </sheetData>
  <sheetProtection formatCells="0" formatColumns="0" formatRows="0"/>
  <protectedRanges>
    <protectedRange algorithmName="SHA-512" hashValue="KX+NDgc/+9/X7/9yMCOVEbniQWWfKp5SjhKjwtrr0y3E+Y90TROvAxXMgjFNU6cRkwNwtUU8jyC2k+ynh77pUQ==" saltValue="U+wtwYSjr8wWAwRtxcF19Q==" spinCount="100000" sqref="C29:D32 C35:D38 C40:D40 C66:D67 C44:D52 C56:D62 C15:D26" name="Range1"/>
  </protectedRanges>
  <mergeCells count="4">
    <mergeCell ref="B7:D7"/>
    <mergeCell ref="B8:D8"/>
    <mergeCell ref="B9:D9"/>
    <mergeCell ref="B10:D10"/>
  </mergeCells>
  <pageMargins left="0.70866141732283472" right="0.70866141732283472" top="0.74803149606299213" bottom="0.74803149606299213" header="0.31496062992125984" footer="0.31496062992125984"/>
  <pageSetup paperSize="9" scale="45" orientation="portrait" r:id="rId1"/>
  <colBreaks count="1" manualBreakCount="1">
    <brk id="1" max="8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0837"/>
    <pageSetUpPr autoPageBreaks="0"/>
  </sheetPr>
  <dimension ref="A1:T78"/>
  <sheetViews>
    <sheetView tabSelected="1" view="pageBreakPreview" zoomScale="50" zoomScaleNormal="70" zoomScaleSheetLayoutView="50" workbookViewId="0">
      <selection activeCell="I11" sqref="I11"/>
    </sheetView>
  </sheetViews>
  <sheetFormatPr defaultRowHeight="12" customHeight="1" outlineLevelRow="1" x14ac:dyDescent="0.3"/>
  <cols>
    <col min="1" max="1" width="93.6640625" style="217" customWidth="1"/>
    <col min="2" max="3" width="23.88671875" style="216" customWidth="1"/>
    <col min="4" max="4" width="29" style="216" bestFit="1" customWidth="1"/>
    <col min="5" max="5" width="31.44140625" style="216" customWidth="1"/>
    <col min="6" max="6" width="27.88671875" style="216" bestFit="1" customWidth="1"/>
    <col min="7" max="7" width="27.88671875" style="216" customWidth="1"/>
    <col min="8" max="8" width="27.44140625" style="216" customWidth="1"/>
    <col min="9" max="9" width="23.88671875" style="214" customWidth="1"/>
    <col min="10" max="10" width="1.44140625" style="214" customWidth="1"/>
    <col min="11" max="11" width="20.44140625" style="215" bestFit="1" customWidth="1"/>
    <col min="12" max="12" width="21" style="215" bestFit="1" customWidth="1"/>
    <col min="13" max="18" width="9.109375" style="214"/>
    <col min="19" max="19" width="12.5546875" style="214" bestFit="1" customWidth="1"/>
    <col min="20" max="246" width="9.109375" style="214"/>
    <col min="247" max="247" width="70.33203125" style="214" customWidth="1"/>
    <col min="248" max="249" width="23.88671875" style="214" customWidth="1"/>
    <col min="250" max="250" width="0" style="214" hidden="1" customWidth="1"/>
    <col min="251" max="251" width="23.88671875" style="214" customWidth="1"/>
    <col min="252" max="252" width="29" style="214" customWidth="1"/>
    <col min="253" max="254" width="0" style="214" hidden="1" customWidth="1"/>
    <col min="255" max="258" width="23.88671875" style="214" customWidth="1"/>
    <col min="259" max="260" width="0" style="214" hidden="1" customWidth="1"/>
    <col min="261" max="261" width="23.88671875" style="214" customWidth="1"/>
    <col min="262" max="263" width="13.6640625" style="214" bestFit="1" customWidth="1"/>
    <col min="264" max="502" width="9.109375" style="214"/>
    <col min="503" max="503" width="70.33203125" style="214" customWidth="1"/>
    <col min="504" max="505" width="23.88671875" style="214" customWidth="1"/>
    <col min="506" max="506" width="0" style="214" hidden="1" customWidth="1"/>
    <col min="507" max="507" width="23.88671875" style="214" customWidth="1"/>
    <col min="508" max="508" width="29" style="214" customWidth="1"/>
    <col min="509" max="510" width="0" style="214" hidden="1" customWidth="1"/>
    <col min="511" max="514" width="23.88671875" style="214" customWidth="1"/>
    <col min="515" max="516" width="0" style="214" hidden="1" customWidth="1"/>
    <col min="517" max="517" width="23.88671875" style="214" customWidth="1"/>
    <col min="518" max="519" width="13.6640625" style="214" bestFit="1" customWidth="1"/>
    <col min="520" max="758" width="9.109375" style="214"/>
    <col min="759" max="759" width="70.33203125" style="214" customWidth="1"/>
    <col min="760" max="761" width="23.88671875" style="214" customWidth="1"/>
    <col min="762" max="762" width="0" style="214" hidden="1" customWidth="1"/>
    <col min="763" max="763" width="23.88671875" style="214" customWidth="1"/>
    <col min="764" max="764" width="29" style="214" customWidth="1"/>
    <col min="765" max="766" width="0" style="214" hidden="1" customWidth="1"/>
    <col min="767" max="770" width="23.88671875" style="214" customWidth="1"/>
    <col min="771" max="772" width="0" style="214" hidden="1" customWidth="1"/>
    <col min="773" max="773" width="23.88671875" style="214" customWidth="1"/>
    <col min="774" max="775" width="13.6640625" style="214" bestFit="1" customWidth="1"/>
    <col min="776" max="1014" width="9.109375" style="214"/>
    <col min="1015" max="1015" width="70.33203125" style="214" customWidth="1"/>
    <col min="1016" max="1017" width="23.88671875" style="214" customWidth="1"/>
    <col min="1018" max="1018" width="0" style="214" hidden="1" customWidth="1"/>
    <col min="1019" max="1019" width="23.88671875" style="214" customWidth="1"/>
    <col min="1020" max="1020" width="29" style="214" customWidth="1"/>
    <col min="1021" max="1022" width="0" style="214" hidden="1" customWidth="1"/>
    <col min="1023" max="1026" width="23.88671875" style="214" customWidth="1"/>
    <col min="1027" max="1028" width="0" style="214" hidden="1" customWidth="1"/>
    <col min="1029" max="1029" width="23.88671875" style="214" customWidth="1"/>
    <col min="1030" max="1031" width="13.6640625" style="214" bestFit="1" customWidth="1"/>
    <col min="1032" max="1270" width="9.109375" style="214"/>
    <col min="1271" max="1271" width="70.33203125" style="214" customWidth="1"/>
    <col min="1272" max="1273" width="23.88671875" style="214" customWidth="1"/>
    <col min="1274" max="1274" width="0" style="214" hidden="1" customWidth="1"/>
    <col min="1275" max="1275" width="23.88671875" style="214" customWidth="1"/>
    <col min="1276" max="1276" width="29" style="214" customWidth="1"/>
    <col min="1277" max="1278" width="0" style="214" hidden="1" customWidth="1"/>
    <col min="1279" max="1282" width="23.88671875" style="214" customWidth="1"/>
    <col min="1283" max="1284" width="0" style="214" hidden="1" customWidth="1"/>
    <col min="1285" max="1285" width="23.88671875" style="214" customWidth="1"/>
    <col min="1286" max="1287" width="13.6640625" style="214" bestFit="1" customWidth="1"/>
    <col min="1288" max="1526" width="9.109375" style="214"/>
    <col min="1527" max="1527" width="70.33203125" style="214" customWidth="1"/>
    <col min="1528" max="1529" width="23.88671875" style="214" customWidth="1"/>
    <col min="1530" max="1530" width="0" style="214" hidden="1" customWidth="1"/>
    <col min="1531" max="1531" width="23.88671875" style="214" customWidth="1"/>
    <col min="1532" max="1532" width="29" style="214" customWidth="1"/>
    <col min="1533" max="1534" width="0" style="214" hidden="1" customWidth="1"/>
    <col min="1535" max="1538" width="23.88671875" style="214" customWidth="1"/>
    <col min="1539" max="1540" width="0" style="214" hidden="1" customWidth="1"/>
    <col min="1541" max="1541" width="23.88671875" style="214" customWidth="1"/>
    <col min="1542" max="1543" width="13.6640625" style="214" bestFit="1" customWidth="1"/>
    <col min="1544" max="1782" width="9.109375" style="214"/>
    <col min="1783" max="1783" width="70.33203125" style="214" customWidth="1"/>
    <col min="1784" max="1785" width="23.88671875" style="214" customWidth="1"/>
    <col min="1786" max="1786" width="0" style="214" hidden="1" customWidth="1"/>
    <col min="1787" max="1787" width="23.88671875" style="214" customWidth="1"/>
    <col min="1788" max="1788" width="29" style="214" customWidth="1"/>
    <col min="1789" max="1790" width="0" style="214" hidden="1" customWidth="1"/>
    <col min="1791" max="1794" width="23.88671875" style="214" customWidth="1"/>
    <col min="1795" max="1796" width="0" style="214" hidden="1" customWidth="1"/>
    <col min="1797" max="1797" width="23.88671875" style="214" customWidth="1"/>
    <col min="1798" max="1799" width="13.6640625" style="214" bestFit="1" customWidth="1"/>
    <col min="1800" max="2038" width="9.109375" style="214"/>
    <col min="2039" max="2039" width="70.33203125" style="214" customWidth="1"/>
    <col min="2040" max="2041" width="23.88671875" style="214" customWidth="1"/>
    <col min="2042" max="2042" width="0" style="214" hidden="1" customWidth="1"/>
    <col min="2043" max="2043" width="23.88671875" style="214" customWidth="1"/>
    <col min="2044" max="2044" width="29" style="214" customWidth="1"/>
    <col min="2045" max="2046" width="0" style="214" hidden="1" customWidth="1"/>
    <col min="2047" max="2050" width="23.88671875" style="214" customWidth="1"/>
    <col min="2051" max="2052" width="0" style="214" hidden="1" customWidth="1"/>
    <col min="2053" max="2053" width="23.88671875" style="214" customWidth="1"/>
    <col min="2054" max="2055" width="13.6640625" style="214" bestFit="1" customWidth="1"/>
    <col min="2056" max="2294" width="9.109375" style="214"/>
    <col min="2295" max="2295" width="70.33203125" style="214" customWidth="1"/>
    <col min="2296" max="2297" width="23.88671875" style="214" customWidth="1"/>
    <col min="2298" max="2298" width="0" style="214" hidden="1" customWidth="1"/>
    <col min="2299" max="2299" width="23.88671875" style="214" customWidth="1"/>
    <col min="2300" max="2300" width="29" style="214" customWidth="1"/>
    <col min="2301" max="2302" width="0" style="214" hidden="1" customWidth="1"/>
    <col min="2303" max="2306" width="23.88671875" style="214" customWidth="1"/>
    <col min="2307" max="2308" width="0" style="214" hidden="1" customWidth="1"/>
    <col min="2309" max="2309" width="23.88671875" style="214" customWidth="1"/>
    <col min="2310" max="2311" width="13.6640625" style="214" bestFit="1" customWidth="1"/>
    <col min="2312" max="2550" width="9.109375" style="214"/>
    <col min="2551" max="2551" width="70.33203125" style="214" customWidth="1"/>
    <col min="2552" max="2553" width="23.88671875" style="214" customWidth="1"/>
    <col min="2554" max="2554" width="0" style="214" hidden="1" customWidth="1"/>
    <col min="2555" max="2555" width="23.88671875" style="214" customWidth="1"/>
    <col min="2556" max="2556" width="29" style="214" customWidth="1"/>
    <col min="2557" max="2558" width="0" style="214" hidden="1" customWidth="1"/>
    <col min="2559" max="2562" width="23.88671875" style="214" customWidth="1"/>
    <col min="2563" max="2564" width="0" style="214" hidden="1" customWidth="1"/>
    <col min="2565" max="2565" width="23.88671875" style="214" customWidth="1"/>
    <col min="2566" max="2567" width="13.6640625" style="214" bestFit="1" customWidth="1"/>
    <col min="2568" max="2806" width="9.109375" style="214"/>
    <col min="2807" max="2807" width="70.33203125" style="214" customWidth="1"/>
    <col min="2808" max="2809" width="23.88671875" style="214" customWidth="1"/>
    <col min="2810" max="2810" width="0" style="214" hidden="1" customWidth="1"/>
    <col min="2811" max="2811" width="23.88671875" style="214" customWidth="1"/>
    <col min="2812" max="2812" width="29" style="214" customWidth="1"/>
    <col min="2813" max="2814" width="0" style="214" hidden="1" customWidth="1"/>
    <col min="2815" max="2818" width="23.88671875" style="214" customWidth="1"/>
    <col min="2819" max="2820" width="0" style="214" hidden="1" customWidth="1"/>
    <col min="2821" max="2821" width="23.88671875" style="214" customWidth="1"/>
    <col min="2822" max="2823" width="13.6640625" style="214" bestFit="1" customWidth="1"/>
    <col min="2824" max="3062" width="9.109375" style="214"/>
    <col min="3063" max="3063" width="70.33203125" style="214" customWidth="1"/>
    <col min="3064" max="3065" width="23.88671875" style="214" customWidth="1"/>
    <col min="3066" max="3066" width="0" style="214" hidden="1" customWidth="1"/>
    <col min="3067" max="3067" width="23.88671875" style="214" customWidth="1"/>
    <col min="3068" max="3068" width="29" style="214" customWidth="1"/>
    <col min="3069" max="3070" width="0" style="214" hidden="1" customWidth="1"/>
    <col min="3071" max="3074" width="23.88671875" style="214" customWidth="1"/>
    <col min="3075" max="3076" width="0" style="214" hidden="1" customWidth="1"/>
    <col min="3077" max="3077" width="23.88671875" style="214" customWidth="1"/>
    <col min="3078" max="3079" width="13.6640625" style="214" bestFit="1" customWidth="1"/>
    <col min="3080" max="3318" width="9.109375" style="214"/>
    <col min="3319" max="3319" width="70.33203125" style="214" customWidth="1"/>
    <col min="3320" max="3321" width="23.88671875" style="214" customWidth="1"/>
    <col min="3322" max="3322" width="0" style="214" hidden="1" customWidth="1"/>
    <col min="3323" max="3323" width="23.88671875" style="214" customWidth="1"/>
    <col min="3324" max="3324" width="29" style="214" customWidth="1"/>
    <col min="3325" max="3326" width="0" style="214" hidden="1" customWidth="1"/>
    <col min="3327" max="3330" width="23.88671875" style="214" customWidth="1"/>
    <col min="3331" max="3332" width="0" style="214" hidden="1" customWidth="1"/>
    <col min="3333" max="3333" width="23.88671875" style="214" customWidth="1"/>
    <col min="3334" max="3335" width="13.6640625" style="214" bestFit="1" customWidth="1"/>
    <col min="3336" max="3574" width="9.109375" style="214"/>
    <col min="3575" max="3575" width="70.33203125" style="214" customWidth="1"/>
    <col min="3576" max="3577" width="23.88671875" style="214" customWidth="1"/>
    <col min="3578" max="3578" width="0" style="214" hidden="1" customWidth="1"/>
    <col min="3579" max="3579" width="23.88671875" style="214" customWidth="1"/>
    <col min="3580" max="3580" width="29" style="214" customWidth="1"/>
    <col min="3581" max="3582" width="0" style="214" hidden="1" customWidth="1"/>
    <col min="3583" max="3586" width="23.88671875" style="214" customWidth="1"/>
    <col min="3587" max="3588" width="0" style="214" hidden="1" customWidth="1"/>
    <col min="3589" max="3589" width="23.88671875" style="214" customWidth="1"/>
    <col min="3590" max="3591" width="13.6640625" style="214" bestFit="1" customWidth="1"/>
    <col min="3592" max="3830" width="9.109375" style="214"/>
    <col min="3831" max="3831" width="70.33203125" style="214" customWidth="1"/>
    <col min="3832" max="3833" width="23.88671875" style="214" customWidth="1"/>
    <col min="3834" max="3834" width="0" style="214" hidden="1" customWidth="1"/>
    <col min="3835" max="3835" width="23.88671875" style="214" customWidth="1"/>
    <col min="3836" max="3836" width="29" style="214" customWidth="1"/>
    <col min="3837" max="3838" width="0" style="214" hidden="1" customWidth="1"/>
    <col min="3839" max="3842" width="23.88671875" style="214" customWidth="1"/>
    <col min="3843" max="3844" width="0" style="214" hidden="1" customWidth="1"/>
    <col min="3845" max="3845" width="23.88671875" style="214" customWidth="1"/>
    <col min="3846" max="3847" width="13.6640625" style="214" bestFit="1" customWidth="1"/>
    <col min="3848" max="4086" width="9.109375" style="214"/>
    <col min="4087" max="4087" width="70.33203125" style="214" customWidth="1"/>
    <col min="4088" max="4089" width="23.88671875" style="214" customWidth="1"/>
    <col min="4090" max="4090" width="0" style="214" hidden="1" customWidth="1"/>
    <col min="4091" max="4091" width="23.88671875" style="214" customWidth="1"/>
    <col min="4092" max="4092" width="29" style="214" customWidth="1"/>
    <col min="4093" max="4094" width="0" style="214" hidden="1" customWidth="1"/>
    <col min="4095" max="4098" width="23.88671875" style="214" customWidth="1"/>
    <col min="4099" max="4100" width="0" style="214" hidden="1" customWidth="1"/>
    <col min="4101" max="4101" width="23.88671875" style="214" customWidth="1"/>
    <col min="4102" max="4103" width="13.6640625" style="214" bestFit="1" customWidth="1"/>
    <col min="4104" max="4342" width="9.109375" style="214"/>
    <col min="4343" max="4343" width="70.33203125" style="214" customWidth="1"/>
    <col min="4344" max="4345" width="23.88671875" style="214" customWidth="1"/>
    <col min="4346" max="4346" width="0" style="214" hidden="1" customWidth="1"/>
    <col min="4347" max="4347" width="23.88671875" style="214" customWidth="1"/>
    <col min="4348" max="4348" width="29" style="214" customWidth="1"/>
    <col min="4349" max="4350" width="0" style="214" hidden="1" customWidth="1"/>
    <col min="4351" max="4354" width="23.88671875" style="214" customWidth="1"/>
    <col min="4355" max="4356" width="0" style="214" hidden="1" customWidth="1"/>
    <col min="4357" max="4357" width="23.88671875" style="214" customWidth="1"/>
    <col min="4358" max="4359" width="13.6640625" style="214" bestFit="1" customWidth="1"/>
    <col min="4360" max="4598" width="9.109375" style="214"/>
    <col min="4599" max="4599" width="70.33203125" style="214" customWidth="1"/>
    <col min="4600" max="4601" width="23.88671875" style="214" customWidth="1"/>
    <col min="4602" max="4602" width="0" style="214" hidden="1" customWidth="1"/>
    <col min="4603" max="4603" width="23.88671875" style="214" customWidth="1"/>
    <col min="4604" max="4604" width="29" style="214" customWidth="1"/>
    <col min="4605" max="4606" width="0" style="214" hidden="1" customWidth="1"/>
    <col min="4607" max="4610" width="23.88671875" style="214" customWidth="1"/>
    <col min="4611" max="4612" width="0" style="214" hidden="1" customWidth="1"/>
    <col min="4613" max="4613" width="23.88671875" style="214" customWidth="1"/>
    <col min="4614" max="4615" width="13.6640625" style="214" bestFit="1" customWidth="1"/>
    <col min="4616" max="4854" width="9.109375" style="214"/>
    <col min="4855" max="4855" width="70.33203125" style="214" customWidth="1"/>
    <col min="4856" max="4857" width="23.88671875" style="214" customWidth="1"/>
    <col min="4858" max="4858" width="0" style="214" hidden="1" customWidth="1"/>
    <col min="4859" max="4859" width="23.88671875" style="214" customWidth="1"/>
    <col min="4860" max="4860" width="29" style="214" customWidth="1"/>
    <col min="4861" max="4862" width="0" style="214" hidden="1" customWidth="1"/>
    <col min="4863" max="4866" width="23.88671875" style="214" customWidth="1"/>
    <col min="4867" max="4868" width="0" style="214" hidden="1" customWidth="1"/>
    <col min="4869" max="4869" width="23.88671875" style="214" customWidth="1"/>
    <col min="4870" max="4871" width="13.6640625" style="214" bestFit="1" customWidth="1"/>
    <col min="4872" max="5110" width="9.109375" style="214"/>
    <col min="5111" max="5111" width="70.33203125" style="214" customWidth="1"/>
    <col min="5112" max="5113" width="23.88671875" style="214" customWidth="1"/>
    <col min="5114" max="5114" width="0" style="214" hidden="1" customWidth="1"/>
    <col min="5115" max="5115" width="23.88671875" style="214" customWidth="1"/>
    <col min="5116" max="5116" width="29" style="214" customWidth="1"/>
    <col min="5117" max="5118" width="0" style="214" hidden="1" customWidth="1"/>
    <col min="5119" max="5122" width="23.88671875" style="214" customWidth="1"/>
    <col min="5123" max="5124" width="0" style="214" hidden="1" customWidth="1"/>
    <col min="5125" max="5125" width="23.88671875" style="214" customWidth="1"/>
    <col min="5126" max="5127" width="13.6640625" style="214" bestFit="1" customWidth="1"/>
    <col min="5128" max="5366" width="9.109375" style="214"/>
    <col min="5367" max="5367" width="70.33203125" style="214" customWidth="1"/>
    <col min="5368" max="5369" width="23.88671875" style="214" customWidth="1"/>
    <col min="5370" max="5370" width="0" style="214" hidden="1" customWidth="1"/>
    <col min="5371" max="5371" width="23.88671875" style="214" customWidth="1"/>
    <col min="5372" max="5372" width="29" style="214" customWidth="1"/>
    <col min="5373" max="5374" width="0" style="214" hidden="1" customWidth="1"/>
    <col min="5375" max="5378" width="23.88671875" style="214" customWidth="1"/>
    <col min="5379" max="5380" width="0" style="214" hidden="1" customWidth="1"/>
    <col min="5381" max="5381" width="23.88671875" style="214" customWidth="1"/>
    <col min="5382" max="5383" width="13.6640625" style="214" bestFit="1" customWidth="1"/>
    <col min="5384" max="5622" width="9.109375" style="214"/>
    <col min="5623" max="5623" width="70.33203125" style="214" customWidth="1"/>
    <col min="5624" max="5625" width="23.88671875" style="214" customWidth="1"/>
    <col min="5626" max="5626" width="0" style="214" hidden="1" customWidth="1"/>
    <col min="5627" max="5627" width="23.88671875" style="214" customWidth="1"/>
    <col min="5628" max="5628" width="29" style="214" customWidth="1"/>
    <col min="5629" max="5630" width="0" style="214" hidden="1" customWidth="1"/>
    <col min="5631" max="5634" width="23.88671875" style="214" customWidth="1"/>
    <col min="5635" max="5636" width="0" style="214" hidden="1" customWidth="1"/>
    <col min="5637" max="5637" width="23.88671875" style="214" customWidth="1"/>
    <col min="5638" max="5639" width="13.6640625" style="214" bestFit="1" customWidth="1"/>
    <col min="5640" max="5878" width="9.109375" style="214"/>
    <col min="5879" max="5879" width="70.33203125" style="214" customWidth="1"/>
    <col min="5880" max="5881" width="23.88671875" style="214" customWidth="1"/>
    <col min="5882" max="5882" width="0" style="214" hidden="1" customWidth="1"/>
    <col min="5883" max="5883" width="23.88671875" style="214" customWidth="1"/>
    <col min="5884" max="5884" width="29" style="214" customWidth="1"/>
    <col min="5885" max="5886" width="0" style="214" hidden="1" customWidth="1"/>
    <col min="5887" max="5890" width="23.88671875" style="214" customWidth="1"/>
    <col min="5891" max="5892" width="0" style="214" hidden="1" customWidth="1"/>
    <col min="5893" max="5893" width="23.88671875" style="214" customWidth="1"/>
    <col min="5894" max="5895" width="13.6640625" style="214" bestFit="1" customWidth="1"/>
    <col min="5896" max="6134" width="9.109375" style="214"/>
    <col min="6135" max="6135" width="70.33203125" style="214" customWidth="1"/>
    <col min="6136" max="6137" width="23.88671875" style="214" customWidth="1"/>
    <col min="6138" max="6138" width="0" style="214" hidden="1" customWidth="1"/>
    <col min="6139" max="6139" width="23.88671875" style="214" customWidth="1"/>
    <col min="6140" max="6140" width="29" style="214" customWidth="1"/>
    <col min="6141" max="6142" width="0" style="214" hidden="1" customWidth="1"/>
    <col min="6143" max="6146" width="23.88671875" style="214" customWidth="1"/>
    <col min="6147" max="6148" width="0" style="214" hidden="1" customWidth="1"/>
    <col min="6149" max="6149" width="23.88671875" style="214" customWidth="1"/>
    <col min="6150" max="6151" width="13.6640625" style="214" bestFit="1" customWidth="1"/>
    <col min="6152" max="6390" width="9.109375" style="214"/>
    <col min="6391" max="6391" width="70.33203125" style="214" customWidth="1"/>
    <col min="6392" max="6393" width="23.88671875" style="214" customWidth="1"/>
    <col min="6394" max="6394" width="0" style="214" hidden="1" customWidth="1"/>
    <col min="6395" max="6395" width="23.88671875" style="214" customWidth="1"/>
    <col min="6396" max="6396" width="29" style="214" customWidth="1"/>
    <col min="6397" max="6398" width="0" style="214" hidden="1" customWidth="1"/>
    <col min="6399" max="6402" width="23.88671875" style="214" customWidth="1"/>
    <col min="6403" max="6404" width="0" style="214" hidden="1" customWidth="1"/>
    <col min="6405" max="6405" width="23.88671875" style="214" customWidth="1"/>
    <col min="6406" max="6407" width="13.6640625" style="214" bestFit="1" customWidth="1"/>
    <col min="6408" max="6646" width="9.109375" style="214"/>
    <col min="6647" max="6647" width="70.33203125" style="214" customWidth="1"/>
    <col min="6648" max="6649" width="23.88671875" style="214" customWidth="1"/>
    <col min="6650" max="6650" width="0" style="214" hidden="1" customWidth="1"/>
    <col min="6651" max="6651" width="23.88671875" style="214" customWidth="1"/>
    <col min="6652" max="6652" width="29" style="214" customWidth="1"/>
    <col min="6653" max="6654" width="0" style="214" hidden="1" customWidth="1"/>
    <col min="6655" max="6658" width="23.88671875" style="214" customWidth="1"/>
    <col min="6659" max="6660" width="0" style="214" hidden="1" customWidth="1"/>
    <col min="6661" max="6661" width="23.88671875" style="214" customWidth="1"/>
    <col min="6662" max="6663" width="13.6640625" style="214" bestFit="1" customWidth="1"/>
    <col min="6664" max="6902" width="9.109375" style="214"/>
    <col min="6903" max="6903" width="70.33203125" style="214" customWidth="1"/>
    <col min="6904" max="6905" width="23.88671875" style="214" customWidth="1"/>
    <col min="6906" max="6906" width="0" style="214" hidden="1" customWidth="1"/>
    <col min="6907" max="6907" width="23.88671875" style="214" customWidth="1"/>
    <col min="6908" max="6908" width="29" style="214" customWidth="1"/>
    <col min="6909" max="6910" width="0" style="214" hidden="1" customWidth="1"/>
    <col min="6911" max="6914" width="23.88671875" style="214" customWidth="1"/>
    <col min="6915" max="6916" width="0" style="214" hidden="1" customWidth="1"/>
    <col min="6917" max="6917" width="23.88671875" style="214" customWidth="1"/>
    <col min="6918" max="6919" width="13.6640625" style="214" bestFit="1" customWidth="1"/>
    <col min="6920" max="7158" width="9.109375" style="214"/>
    <col min="7159" max="7159" width="70.33203125" style="214" customWidth="1"/>
    <col min="7160" max="7161" width="23.88671875" style="214" customWidth="1"/>
    <col min="7162" max="7162" width="0" style="214" hidden="1" customWidth="1"/>
    <col min="7163" max="7163" width="23.88671875" style="214" customWidth="1"/>
    <col min="7164" max="7164" width="29" style="214" customWidth="1"/>
    <col min="7165" max="7166" width="0" style="214" hidden="1" customWidth="1"/>
    <col min="7167" max="7170" width="23.88671875" style="214" customWidth="1"/>
    <col min="7171" max="7172" width="0" style="214" hidden="1" customWidth="1"/>
    <col min="7173" max="7173" width="23.88671875" style="214" customWidth="1"/>
    <col min="7174" max="7175" width="13.6640625" style="214" bestFit="1" customWidth="1"/>
    <col min="7176" max="7414" width="9.109375" style="214"/>
    <col min="7415" max="7415" width="70.33203125" style="214" customWidth="1"/>
    <col min="7416" max="7417" width="23.88671875" style="214" customWidth="1"/>
    <col min="7418" max="7418" width="0" style="214" hidden="1" customWidth="1"/>
    <col min="7419" max="7419" width="23.88671875" style="214" customWidth="1"/>
    <col min="7420" max="7420" width="29" style="214" customWidth="1"/>
    <col min="7421" max="7422" width="0" style="214" hidden="1" customWidth="1"/>
    <col min="7423" max="7426" width="23.88671875" style="214" customWidth="1"/>
    <col min="7427" max="7428" width="0" style="214" hidden="1" customWidth="1"/>
    <col min="7429" max="7429" width="23.88671875" style="214" customWidth="1"/>
    <col min="7430" max="7431" width="13.6640625" style="214" bestFit="1" customWidth="1"/>
    <col min="7432" max="7670" width="9.109375" style="214"/>
    <col min="7671" max="7671" width="70.33203125" style="214" customWidth="1"/>
    <col min="7672" max="7673" width="23.88671875" style="214" customWidth="1"/>
    <col min="7674" max="7674" width="0" style="214" hidden="1" customWidth="1"/>
    <col min="7675" max="7675" width="23.88671875" style="214" customWidth="1"/>
    <col min="7676" max="7676" width="29" style="214" customWidth="1"/>
    <col min="7677" max="7678" width="0" style="214" hidden="1" customWidth="1"/>
    <col min="7679" max="7682" width="23.88671875" style="214" customWidth="1"/>
    <col min="7683" max="7684" width="0" style="214" hidden="1" customWidth="1"/>
    <col min="7685" max="7685" width="23.88671875" style="214" customWidth="1"/>
    <col min="7686" max="7687" width="13.6640625" style="214" bestFit="1" customWidth="1"/>
    <col min="7688" max="7926" width="9.109375" style="214"/>
    <col min="7927" max="7927" width="70.33203125" style="214" customWidth="1"/>
    <col min="7928" max="7929" width="23.88671875" style="214" customWidth="1"/>
    <col min="7930" max="7930" width="0" style="214" hidden="1" customWidth="1"/>
    <col min="7931" max="7931" width="23.88671875" style="214" customWidth="1"/>
    <col min="7932" max="7932" width="29" style="214" customWidth="1"/>
    <col min="7933" max="7934" width="0" style="214" hidden="1" customWidth="1"/>
    <col min="7935" max="7938" width="23.88671875" style="214" customWidth="1"/>
    <col min="7939" max="7940" width="0" style="214" hidden="1" customWidth="1"/>
    <col min="7941" max="7941" width="23.88671875" style="214" customWidth="1"/>
    <col min="7942" max="7943" width="13.6640625" style="214" bestFit="1" customWidth="1"/>
    <col min="7944" max="8182" width="9.109375" style="214"/>
    <col min="8183" max="8183" width="70.33203125" style="214" customWidth="1"/>
    <col min="8184" max="8185" width="23.88671875" style="214" customWidth="1"/>
    <col min="8186" max="8186" width="0" style="214" hidden="1" customWidth="1"/>
    <col min="8187" max="8187" width="23.88671875" style="214" customWidth="1"/>
    <col min="8188" max="8188" width="29" style="214" customWidth="1"/>
    <col min="8189" max="8190" width="0" style="214" hidden="1" customWidth="1"/>
    <col min="8191" max="8194" width="23.88671875" style="214" customWidth="1"/>
    <col min="8195" max="8196" width="0" style="214" hidden="1" customWidth="1"/>
    <col min="8197" max="8197" width="23.88671875" style="214" customWidth="1"/>
    <col min="8198" max="8199" width="13.6640625" style="214" bestFit="1" customWidth="1"/>
    <col min="8200" max="8438" width="9.109375" style="214"/>
    <col min="8439" max="8439" width="70.33203125" style="214" customWidth="1"/>
    <col min="8440" max="8441" width="23.88671875" style="214" customWidth="1"/>
    <col min="8442" max="8442" width="0" style="214" hidden="1" customWidth="1"/>
    <col min="8443" max="8443" width="23.88671875" style="214" customWidth="1"/>
    <col min="8444" max="8444" width="29" style="214" customWidth="1"/>
    <col min="8445" max="8446" width="0" style="214" hidden="1" customWidth="1"/>
    <col min="8447" max="8450" width="23.88671875" style="214" customWidth="1"/>
    <col min="8451" max="8452" width="0" style="214" hidden="1" customWidth="1"/>
    <col min="8453" max="8453" width="23.88671875" style="214" customWidth="1"/>
    <col min="8454" max="8455" width="13.6640625" style="214" bestFit="1" customWidth="1"/>
    <col min="8456" max="8694" width="9.109375" style="214"/>
    <col min="8695" max="8695" width="70.33203125" style="214" customWidth="1"/>
    <col min="8696" max="8697" width="23.88671875" style="214" customWidth="1"/>
    <col min="8698" max="8698" width="0" style="214" hidden="1" customWidth="1"/>
    <col min="8699" max="8699" width="23.88671875" style="214" customWidth="1"/>
    <col min="8700" max="8700" width="29" style="214" customWidth="1"/>
    <col min="8701" max="8702" width="0" style="214" hidden="1" customWidth="1"/>
    <col min="8703" max="8706" width="23.88671875" style="214" customWidth="1"/>
    <col min="8707" max="8708" width="0" style="214" hidden="1" customWidth="1"/>
    <col min="8709" max="8709" width="23.88671875" style="214" customWidth="1"/>
    <col min="8710" max="8711" width="13.6640625" style="214" bestFit="1" customWidth="1"/>
    <col min="8712" max="8950" width="9.109375" style="214"/>
    <col min="8951" max="8951" width="70.33203125" style="214" customWidth="1"/>
    <col min="8952" max="8953" width="23.88671875" style="214" customWidth="1"/>
    <col min="8954" max="8954" width="0" style="214" hidden="1" customWidth="1"/>
    <col min="8955" max="8955" width="23.88671875" style="214" customWidth="1"/>
    <col min="8956" max="8956" width="29" style="214" customWidth="1"/>
    <col min="8957" max="8958" width="0" style="214" hidden="1" customWidth="1"/>
    <col min="8959" max="8962" width="23.88671875" style="214" customWidth="1"/>
    <col min="8963" max="8964" width="0" style="214" hidden="1" customWidth="1"/>
    <col min="8965" max="8965" width="23.88671875" style="214" customWidth="1"/>
    <col min="8966" max="8967" width="13.6640625" style="214" bestFit="1" customWidth="1"/>
    <col min="8968" max="9206" width="9.109375" style="214"/>
    <col min="9207" max="9207" width="70.33203125" style="214" customWidth="1"/>
    <col min="9208" max="9209" width="23.88671875" style="214" customWidth="1"/>
    <col min="9210" max="9210" width="0" style="214" hidden="1" customWidth="1"/>
    <col min="9211" max="9211" width="23.88671875" style="214" customWidth="1"/>
    <col min="9212" max="9212" width="29" style="214" customWidth="1"/>
    <col min="9213" max="9214" width="0" style="214" hidden="1" customWidth="1"/>
    <col min="9215" max="9218" width="23.88671875" style="214" customWidth="1"/>
    <col min="9219" max="9220" width="0" style="214" hidden="1" customWidth="1"/>
    <col min="9221" max="9221" width="23.88671875" style="214" customWidth="1"/>
    <col min="9222" max="9223" width="13.6640625" style="214" bestFit="1" customWidth="1"/>
    <col min="9224" max="9462" width="9.109375" style="214"/>
    <col min="9463" max="9463" width="70.33203125" style="214" customWidth="1"/>
    <col min="9464" max="9465" width="23.88671875" style="214" customWidth="1"/>
    <col min="9466" max="9466" width="0" style="214" hidden="1" customWidth="1"/>
    <col min="9467" max="9467" width="23.88671875" style="214" customWidth="1"/>
    <col min="9468" max="9468" width="29" style="214" customWidth="1"/>
    <col min="9469" max="9470" width="0" style="214" hidden="1" customWidth="1"/>
    <col min="9471" max="9474" width="23.88671875" style="214" customWidth="1"/>
    <col min="9475" max="9476" width="0" style="214" hidden="1" customWidth="1"/>
    <col min="9477" max="9477" width="23.88671875" style="214" customWidth="1"/>
    <col min="9478" max="9479" width="13.6640625" style="214" bestFit="1" customWidth="1"/>
    <col min="9480" max="9718" width="9.109375" style="214"/>
    <col min="9719" max="9719" width="70.33203125" style="214" customWidth="1"/>
    <col min="9720" max="9721" width="23.88671875" style="214" customWidth="1"/>
    <col min="9722" max="9722" width="0" style="214" hidden="1" customWidth="1"/>
    <col min="9723" max="9723" width="23.88671875" style="214" customWidth="1"/>
    <col min="9724" max="9724" width="29" style="214" customWidth="1"/>
    <col min="9725" max="9726" width="0" style="214" hidden="1" customWidth="1"/>
    <col min="9727" max="9730" width="23.88671875" style="214" customWidth="1"/>
    <col min="9731" max="9732" width="0" style="214" hidden="1" customWidth="1"/>
    <col min="9733" max="9733" width="23.88671875" style="214" customWidth="1"/>
    <col min="9734" max="9735" width="13.6640625" style="214" bestFit="1" customWidth="1"/>
    <col min="9736" max="9974" width="9.109375" style="214"/>
    <col min="9975" max="9975" width="70.33203125" style="214" customWidth="1"/>
    <col min="9976" max="9977" width="23.88671875" style="214" customWidth="1"/>
    <col min="9978" max="9978" width="0" style="214" hidden="1" customWidth="1"/>
    <col min="9979" max="9979" width="23.88671875" style="214" customWidth="1"/>
    <col min="9980" max="9980" width="29" style="214" customWidth="1"/>
    <col min="9981" max="9982" width="0" style="214" hidden="1" customWidth="1"/>
    <col min="9983" max="9986" width="23.88671875" style="214" customWidth="1"/>
    <col min="9987" max="9988" width="0" style="214" hidden="1" customWidth="1"/>
    <col min="9989" max="9989" width="23.88671875" style="214" customWidth="1"/>
    <col min="9990" max="9991" width="13.6640625" style="214" bestFit="1" customWidth="1"/>
    <col min="9992" max="10230" width="9.109375" style="214"/>
    <col min="10231" max="10231" width="70.33203125" style="214" customWidth="1"/>
    <col min="10232" max="10233" width="23.88671875" style="214" customWidth="1"/>
    <col min="10234" max="10234" width="0" style="214" hidden="1" customWidth="1"/>
    <col min="10235" max="10235" width="23.88671875" style="214" customWidth="1"/>
    <col min="10236" max="10236" width="29" style="214" customWidth="1"/>
    <col min="10237" max="10238" width="0" style="214" hidden="1" customWidth="1"/>
    <col min="10239" max="10242" width="23.88671875" style="214" customWidth="1"/>
    <col min="10243" max="10244" width="0" style="214" hidden="1" customWidth="1"/>
    <col min="10245" max="10245" width="23.88671875" style="214" customWidth="1"/>
    <col min="10246" max="10247" width="13.6640625" style="214" bestFit="1" customWidth="1"/>
    <col min="10248" max="10486" width="9.109375" style="214"/>
    <col min="10487" max="10487" width="70.33203125" style="214" customWidth="1"/>
    <col min="10488" max="10489" width="23.88671875" style="214" customWidth="1"/>
    <col min="10490" max="10490" width="0" style="214" hidden="1" customWidth="1"/>
    <col min="10491" max="10491" width="23.88671875" style="214" customWidth="1"/>
    <col min="10492" max="10492" width="29" style="214" customWidth="1"/>
    <col min="10493" max="10494" width="0" style="214" hidden="1" customWidth="1"/>
    <col min="10495" max="10498" width="23.88671875" style="214" customWidth="1"/>
    <col min="10499" max="10500" width="0" style="214" hidden="1" customWidth="1"/>
    <col min="10501" max="10501" width="23.88671875" style="214" customWidth="1"/>
    <col min="10502" max="10503" width="13.6640625" style="214" bestFit="1" customWidth="1"/>
    <col min="10504" max="10742" width="9.109375" style="214"/>
    <col min="10743" max="10743" width="70.33203125" style="214" customWidth="1"/>
    <col min="10744" max="10745" width="23.88671875" style="214" customWidth="1"/>
    <col min="10746" max="10746" width="0" style="214" hidden="1" customWidth="1"/>
    <col min="10747" max="10747" width="23.88671875" style="214" customWidth="1"/>
    <col min="10748" max="10748" width="29" style="214" customWidth="1"/>
    <col min="10749" max="10750" width="0" style="214" hidden="1" customWidth="1"/>
    <col min="10751" max="10754" width="23.88671875" style="214" customWidth="1"/>
    <col min="10755" max="10756" width="0" style="214" hidden="1" customWidth="1"/>
    <col min="10757" max="10757" width="23.88671875" style="214" customWidth="1"/>
    <col min="10758" max="10759" width="13.6640625" style="214" bestFit="1" customWidth="1"/>
    <col min="10760" max="10998" width="9.109375" style="214"/>
    <col min="10999" max="10999" width="70.33203125" style="214" customWidth="1"/>
    <col min="11000" max="11001" width="23.88671875" style="214" customWidth="1"/>
    <col min="11002" max="11002" width="0" style="214" hidden="1" customWidth="1"/>
    <col min="11003" max="11003" width="23.88671875" style="214" customWidth="1"/>
    <col min="11004" max="11004" width="29" style="214" customWidth="1"/>
    <col min="11005" max="11006" width="0" style="214" hidden="1" customWidth="1"/>
    <col min="11007" max="11010" width="23.88671875" style="214" customWidth="1"/>
    <col min="11011" max="11012" width="0" style="214" hidden="1" customWidth="1"/>
    <col min="11013" max="11013" width="23.88671875" style="214" customWidth="1"/>
    <col min="11014" max="11015" width="13.6640625" style="214" bestFit="1" customWidth="1"/>
    <col min="11016" max="11254" width="9.109375" style="214"/>
    <col min="11255" max="11255" width="70.33203125" style="214" customWidth="1"/>
    <col min="11256" max="11257" width="23.88671875" style="214" customWidth="1"/>
    <col min="11258" max="11258" width="0" style="214" hidden="1" customWidth="1"/>
    <col min="11259" max="11259" width="23.88671875" style="214" customWidth="1"/>
    <col min="11260" max="11260" width="29" style="214" customWidth="1"/>
    <col min="11261" max="11262" width="0" style="214" hidden="1" customWidth="1"/>
    <col min="11263" max="11266" width="23.88671875" style="214" customWidth="1"/>
    <col min="11267" max="11268" width="0" style="214" hidden="1" customWidth="1"/>
    <col min="11269" max="11269" width="23.88671875" style="214" customWidth="1"/>
    <col min="11270" max="11271" width="13.6640625" style="214" bestFit="1" customWidth="1"/>
    <col min="11272" max="11510" width="9.109375" style="214"/>
    <col min="11511" max="11511" width="70.33203125" style="214" customWidth="1"/>
    <col min="11512" max="11513" width="23.88671875" style="214" customWidth="1"/>
    <col min="11514" max="11514" width="0" style="214" hidden="1" customWidth="1"/>
    <col min="11515" max="11515" width="23.88671875" style="214" customWidth="1"/>
    <col min="11516" max="11516" width="29" style="214" customWidth="1"/>
    <col min="11517" max="11518" width="0" style="214" hidden="1" customWidth="1"/>
    <col min="11519" max="11522" width="23.88671875" style="214" customWidth="1"/>
    <col min="11523" max="11524" width="0" style="214" hidden="1" customWidth="1"/>
    <col min="11525" max="11525" width="23.88671875" style="214" customWidth="1"/>
    <col min="11526" max="11527" width="13.6640625" style="214" bestFit="1" customWidth="1"/>
    <col min="11528" max="11766" width="9.109375" style="214"/>
    <col min="11767" max="11767" width="70.33203125" style="214" customWidth="1"/>
    <col min="11768" max="11769" width="23.88671875" style="214" customWidth="1"/>
    <col min="11770" max="11770" width="0" style="214" hidden="1" customWidth="1"/>
    <col min="11771" max="11771" width="23.88671875" style="214" customWidth="1"/>
    <col min="11772" max="11772" width="29" style="214" customWidth="1"/>
    <col min="11773" max="11774" width="0" style="214" hidden="1" customWidth="1"/>
    <col min="11775" max="11778" width="23.88671875" style="214" customWidth="1"/>
    <col min="11779" max="11780" width="0" style="214" hidden="1" customWidth="1"/>
    <col min="11781" max="11781" width="23.88671875" style="214" customWidth="1"/>
    <col min="11782" max="11783" width="13.6640625" style="214" bestFit="1" customWidth="1"/>
    <col min="11784" max="12022" width="9.109375" style="214"/>
    <col min="12023" max="12023" width="70.33203125" style="214" customWidth="1"/>
    <col min="12024" max="12025" width="23.88671875" style="214" customWidth="1"/>
    <col min="12026" max="12026" width="0" style="214" hidden="1" customWidth="1"/>
    <col min="12027" max="12027" width="23.88671875" style="214" customWidth="1"/>
    <col min="12028" max="12028" width="29" style="214" customWidth="1"/>
    <col min="12029" max="12030" width="0" style="214" hidden="1" customWidth="1"/>
    <col min="12031" max="12034" width="23.88671875" style="214" customWidth="1"/>
    <col min="12035" max="12036" width="0" style="214" hidden="1" customWidth="1"/>
    <col min="12037" max="12037" width="23.88671875" style="214" customWidth="1"/>
    <col min="12038" max="12039" width="13.6640625" style="214" bestFit="1" customWidth="1"/>
    <col min="12040" max="12278" width="9.109375" style="214"/>
    <col min="12279" max="12279" width="70.33203125" style="214" customWidth="1"/>
    <col min="12280" max="12281" width="23.88671875" style="214" customWidth="1"/>
    <col min="12282" max="12282" width="0" style="214" hidden="1" customWidth="1"/>
    <col min="12283" max="12283" width="23.88671875" style="214" customWidth="1"/>
    <col min="12284" max="12284" width="29" style="214" customWidth="1"/>
    <col min="12285" max="12286" width="0" style="214" hidden="1" customWidth="1"/>
    <col min="12287" max="12290" width="23.88671875" style="214" customWidth="1"/>
    <col min="12291" max="12292" width="0" style="214" hidden="1" customWidth="1"/>
    <col min="12293" max="12293" width="23.88671875" style="214" customWidth="1"/>
    <col min="12294" max="12295" width="13.6640625" style="214" bestFit="1" customWidth="1"/>
    <col min="12296" max="12534" width="9.109375" style="214"/>
    <col min="12535" max="12535" width="70.33203125" style="214" customWidth="1"/>
    <col min="12536" max="12537" width="23.88671875" style="214" customWidth="1"/>
    <col min="12538" max="12538" width="0" style="214" hidden="1" customWidth="1"/>
    <col min="12539" max="12539" width="23.88671875" style="214" customWidth="1"/>
    <col min="12540" max="12540" width="29" style="214" customWidth="1"/>
    <col min="12541" max="12542" width="0" style="214" hidden="1" customWidth="1"/>
    <col min="12543" max="12546" width="23.88671875" style="214" customWidth="1"/>
    <col min="12547" max="12548" width="0" style="214" hidden="1" customWidth="1"/>
    <col min="12549" max="12549" width="23.88671875" style="214" customWidth="1"/>
    <col min="12550" max="12551" width="13.6640625" style="214" bestFit="1" customWidth="1"/>
    <col min="12552" max="12790" width="9.109375" style="214"/>
    <col min="12791" max="12791" width="70.33203125" style="214" customWidth="1"/>
    <col min="12792" max="12793" width="23.88671875" style="214" customWidth="1"/>
    <col min="12794" max="12794" width="0" style="214" hidden="1" customWidth="1"/>
    <col min="12795" max="12795" width="23.88671875" style="214" customWidth="1"/>
    <col min="12796" max="12796" width="29" style="214" customWidth="1"/>
    <col min="12797" max="12798" width="0" style="214" hidden="1" customWidth="1"/>
    <col min="12799" max="12802" width="23.88671875" style="214" customWidth="1"/>
    <col min="12803" max="12804" width="0" style="214" hidden="1" customWidth="1"/>
    <col min="12805" max="12805" width="23.88671875" style="214" customWidth="1"/>
    <col min="12806" max="12807" width="13.6640625" style="214" bestFit="1" customWidth="1"/>
    <col min="12808" max="13046" width="9.109375" style="214"/>
    <col min="13047" max="13047" width="70.33203125" style="214" customWidth="1"/>
    <col min="13048" max="13049" width="23.88671875" style="214" customWidth="1"/>
    <col min="13050" max="13050" width="0" style="214" hidden="1" customWidth="1"/>
    <col min="13051" max="13051" width="23.88671875" style="214" customWidth="1"/>
    <col min="13052" max="13052" width="29" style="214" customWidth="1"/>
    <col min="13053" max="13054" width="0" style="214" hidden="1" customWidth="1"/>
    <col min="13055" max="13058" width="23.88671875" style="214" customWidth="1"/>
    <col min="13059" max="13060" width="0" style="214" hidden="1" customWidth="1"/>
    <col min="13061" max="13061" width="23.88671875" style="214" customWidth="1"/>
    <col min="13062" max="13063" width="13.6640625" style="214" bestFit="1" customWidth="1"/>
    <col min="13064" max="13302" width="9.109375" style="214"/>
    <col min="13303" max="13303" width="70.33203125" style="214" customWidth="1"/>
    <col min="13304" max="13305" width="23.88671875" style="214" customWidth="1"/>
    <col min="13306" max="13306" width="0" style="214" hidden="1" customWidth="1"/>
    <col min="13307" max="13307" width="23.88671875" style="214" customWidth="1"/>
    <col min="13308" max="13308" width="29" style="214" customWidth="1"/>
    <col min="13309" max="13310" width="0" style="214" hidden="1" customWidth="1"/>
    <col min="13311" max="13314" width="23.88671875" style="214" customWidth="1"/>
    <col min="13315" max="13316" width="0" style="214" hidden="1" customWidth="1"/>
    <col min="13317" max="13317" width="23.88671875" style="214" customWidth="1"/>
    <col min="13318" max="13319" width="13.6640625" style="214" bestFit="1" customWidth="1"/>
    <col min="13320" max="13558" width="9.109375" style="214"/>
    <col min="13559" max="13559" width="70.33203125" style="214" customWidth="1"/>
    <col min="13560" max="13561" width="23.88671875" style="214" customWidth="1"/>
    <col min="13562" max="13562" width="0" style="214" hidden="1" customWidth="1"/>
    <col min="13563" max="13563" width="23.88671875" style="214" customWidth="1"/>
    <col min="13564" max="13564" width="29" style="214" customWidth="1"/>
    <col min="13565" max="13566" width="0" style="214" hidden="1" customWidth="1"/>
    <col min="13567" max="13570" width="23.88671875" style="214" customWidth="1"/>
    <col min="13571" max="13572" width="0" style="214" hidden="1" customWidth="1"/>
    <col min="13573" max="13573" width="23.88671875" style="214" customWidth="1"/>
    <col min="13574" max="13575" width="13.6640625" style="214" bestFit="1" customWidth="1"/>
    <col min="13576" max="13814" width="9.109375" style="214"/>
    <col min="13815" max="13815" width="70.33203125" style="214" customWidth="1"/>
    <col min="13816" max="13817" width="23.88671875" style="214" customWidth="1"/>
    <col min="13818" max="13818" width="0" style="214" hidden="1" customWidth="1"/>
    <col min="13819" max="13819" width="23.88671875" style="214" customWidth="1"/>
    <col min="13820" max="13820" width="29" style="214" customWidth="1"/>
    <col min="13821" max="13822" width="0" style="214" hidden="1" customWidth="1"/>
    <col min="13823" max="13826" width="23.88671875" style="214" customWidth="1"/>
    <col min="13827" max="13828" width="0" style="214" hidden="1" customWidth="1"/>
    <col min="13829" max="13829" width="23.88671875" style="214" customWidth="1"/>
    <col min="13830" max="13831" width="13.6640625" style="214" bestFit="1" customWidth="1"/>
    <col min="13832" max="14070" width="9.109375" style="214"/>
    <col min="14071" max="14071" width="70.33203125" style="214" customWidth="1"/>
    <col min="14072" max="14073" width="23.88671875" style="214" customWidth="1"/>
    <col min="14074" max="14074" width="0" style="214" hidden="1" customWidth="1"/>
    <col min="14075" max="14075" width="23.88671875" style="214" customWidth="1"/>
    <col min="14076" max="14076" width="29" style="214" customWidth="1"/>
    <col min="14077" max="14078" width="0" style="214" hidden="1" customWidth="1"/>
    <col min="14079" max="14082" width="23.88671875" style="214" customWidth="1"/>
    <col min="14083" max="14084" width="0" style="214" hidden="1" customWidth="1"/>
    <col min="14085" max="14085" width="23.88671875" style="214" customWidth="1"/>
    <col min="14086" max="14087" width="13.6640625" style="214" bestFit="1" customWidth="1"/>
    <col min="14088" max="14326" width="9.109375" style="214"/>
    <col min="14327" max="14327" width="70.33203125" style="214" customWidth="1"/>
    <col min="14328" max="14329" width="23.88671875" style="214" customWidth="1"/>
    <col min="14330" max="14330" width="0" style="214" hidden="1" customWidth="1"/>
    <col min="14331" max="14331" width="23.88671875" style="214" customWidth="1"/>
    <col min="14332" max="14332" width="29" style="214" customWidth="1"/>
    <col min="14333" max="14334" width="0" style="214" hidden="1" customWidth="1"/>
    <col min="14335" max="14338" width="23.88671875" style="214" customWidth="1"/>
    <col min="14339" max="14340" width="0" style="214" hidden="1" customWidth="1"/>
    <col min="14341" max="14341" width="23.88671875" style="214" customWidth="1"/>
    <col min="14342" max="14343" width="13.6640625" style="214" bestFit="1" customWidth="1"/>
    <col min="14344" max="14582" width="9.109375" style="214"/>
    <col min="14583" max="14583" width="70.33203125" style="214" customWidth="1"/>
    <col min="14584" max="14585" width="23.88671875" style="214" customWidth="1"/>
    <col min="14586" max="14586" width="0" style="214" hidden="1" customWidth="1"/>
    <col min="14587" max="14587" width="23.88671875" style="214" customWidth="1"/>
    <col min="14588" max="14588" width="29" style="214" customWidth="1"/>
    <col min="14589" max="14590" width="0" style="214" hidden="1" customWidth="1"/>
    <col min="14591" max="14594" width="23.88671875" style="214" customWidth="1"/>
    <col min="14595" max="14596" width="0" style="214" hidden="1" customWidth="1"/>
    <col min="14597" max="14597" width="23.88671875" style="214" customWidth="1"/>
    <col min="14598" max="14599" width="13.6640625" style="214" bestFit="1" customWidth="1"/>
    <col min="14600" max="14838" width="9.109375" style="214"/>
    <col min="14839" max="14839" width="70.33203125" style="214" customWidth="1"/>
    <col min="14840" max="14841" width="23.88671875" style="214" customWidth="1"/>
    <col min="14842" max="14842" width="0" style="214" hidden="1" customWidth="1"/>
    <col min="14843" max="14843" width="23.88671875" style="214" customWidth="1"/>
    <col min="14844" max="14844" width="29" style="214" customWidth="1"/>
    <col min="14845" max="14846" width="0" style="214" hidden="1" customWidth="1"/>
    <col min="14847" max="14850" width="23.88671875" style="214" customWidth="1"/>
    <col min="14851" max="14852" width="0" style="214" hidden="1" customWidth="1"/>
    <col min="14853" max="14853" width="23.88671875" style="214" customWidth="1"/>
    <col min="14854" max="14855" width="13.6640625" style="214" bestFit="1" customWidth="1"/>
    <col min="14856" max="15094" width="9.109375" style="214"/>
    <col min="15095" max="15095" width="70.33203125" style="214" customWidth="1"/>
    <col min="15096" max="15097" width="23.88671875" style="214" customWidth="1"/>
    <col min="15098" max="15098" width="0" style="214" hidden="1" customWidth="1"/>
    <col min="15099" max="15099" width="23.88671875" style="214" customWidth="1"/>
    <col min="15100" max="15100" width="29" style="214" customWidth="1"/>
    <col min="15101" max="15102" width="0" style="214" hidden="1" customWidth="1"/>
    <col min="15103" max="15106" width="23.88671875" style="214" customWidth="1"/>
    <col min="15107" max="15108" width="0" style="214" hidden="1" customWidth="1"/>
    <col min="15109" max="15109" width="23.88671875" style="214" customWidth="1"/>
    <col min="15110" max="15111" width="13.6640625" style="214" bestFit="1" customWidth="1"/>
    <col min="15112" max="15350" width="9.109375" style="214"/>
    <col min="15351" max="15351" width="70.33203125" style="214" customWidth="1"/>
    <col min="15352" max="15353" width="23.88671875" style="214" customWidth="1"/>
    <col min="15354" max="15354" width="0" style="214" hidden="1" customWidth="1"/>
    <col min="15355" max="15355" width="23.88671875" style="214" customWidth="1"/>
    <col min="15356" max="15356" width="29" style="214" customWidth="1"/>
    <col min="15357" max="15358" width="0" style="214" hidden="1" customWidth="1"/>
    <col min="15359" max="15362" width="23.88671875" style="214" customWidth="1"/>
    <col min="15363" max="15364" width="0" style="214" hidden="1" customWidth="1"/>
    <col min="15365" max="15365" width="23.88671875" style="214" customWidth="1"/>
    <col min="15366" max="15367" width="13.6640625" style="214" bestFit="1" customWidth="1"/>
    <col min="15368" max="15606" width="9.109375" style="214"/>
    <col min="15607" max="15607" width="70.33203125" style="214" customWidth="1"/>
    <col min="15608" max="15609" width="23.88671875" style="214" customWidth="1"/>
    <col min="15610" max="15610" width="0" style="214" hidden="1" customWidth="1"/>
    <col min="15611" max="15611" width="23.88671875" style="214" customWidth="1"/>
    <col min="15612" max="15612" width="29" style="214" customWidth="1"/>
    <col min="15613" max="15614" width="0" style="214" hidden="1" customWidth="1"/>
    <col min="15615" max="15618" width="23.88671875" style="214" customWidth="1"/>
    <col min="15619" max="15620" width="0" style="214" hidden="1" customWidth="1"/>
    <col min="15621" max="15621" width="23.88671875" style="214" customWidth="1"/>
    <col min="15622" max="15623" width="13.6640625" style="214" bestFit="1" customWidth="1"/>
    <col min="15624" max="15862" width="9.109375" style="214"/>
    <col min="15863" max="15863" width="70.33203125" style="214" customWidth="1"/>
    <col min="15864" max="15865" width="23.88671875" style="214" customWidth="1"/>
    <col min="15866" max="15866" width="0" style="214" hidden="1" customWidth="1"/>
    <col min="15867" max="15867" width="23.88671875" style="214" customWidth="1"/>
    <col min="15868" max="15868" width="29" style="214" customWidth="1"/>
    <col min="15869" max="15870" width="0" style="214" hidden="1" customWidth="1"/>
    <col min="15871" max="15874" width="23.88671875" style="214" customWidth="1"/>
    <col min="15875" max="15876" width="0" style="214" hidden="1" customWidth="1"/>
    <col min="15877" max="15877" width="23.88671875" style="214" customWidth="1"/>
    <col min="15878" max="15879" width="13.6640625" style="214" bestFit="1" customWidth="1"/>
    <col min="15880" max="16118" width="9.109375" style="214"/>
    <col min="16119" max="16119" width="70.33203125" style="214" customWidth="1"/>
    <col min="16120" max="16121" width="23.88671875" style="214" customWidth="1"/>
    <col min="16122" max="16122" width="0" style="214" hidden="1" customWidth="1"/>
    <col min="16123" max="16123" width="23.88671875" style="214" customWidth="1"/>
    <col min="16124" max="16124" width="29" style="214" customWidth="1"/>
    <col min="16125" max="16126" width="0" style="214" hidden="1" customWidth="1"/>
    <col min="16127" max="16130" width="23.88671875" style="214" customWidth="1"/>
    <col min="16131" max="16132" width="0" style="214" hidden="1" customWidth="1"/>
    <col min="16133" max="16133" width="23.88671875" style="214" customWidth="1"/>
    <col min="16134" max="16135" width="13.6640625" style="214" bestFit="1" customWidth="1"/>
    <col min="16136" max="16384" width="9.109375" style="214"/>
  </cols>
  <sheetData>
    <row r="1" spans="1:20" ht="18.75" customHeight="1" x14ac:dyDescent="0.3">
      <c r="A1" s="325" t="s">
        <v>69</v>
      </c>
      <c r="B1" s="318"/>
      <c r="C1" s="318"/>
      <c r="D1" s="318"/>
      <c r="E1" s="318"/>
      <c r="F1" s="318"/>
      <c r="G1" s="318"/>
      <c r="H1" s="318"/>
      <c r="I1" s="327" t="s">
        <v>300</v>
      </c>
      <c r="J1" s="326"/>
    </row>
    <row r="2" spans="1:20" ht="18.75" customHeight="1" x14ac:dyDescent="0.3">
      <c r="A2" s="325" t="s">
        <v>68</v>
      </c>
      <c r="B2" s="318"/>
      <c r="C2" s="318"/>
      <c r="D2" s="318"/>
      <c r="E2" s="318"/>
      <c r="F2" s="318"/>
      <c r="G2" s="318"/>
      <c r="H2" s="318"/>
      <c r="I2" s="229"/>
      <c r="J2" s="219"/>
    </row>
    <row r="3" spans="1:20" ht="18.75" customHeight="1" x14ac:dyDescent="0.3">
      <c r="A3" s="325" t="s">
        <v>66</v>
      </c>
      <c r="B3" s="318"/>
      <c r="C3" s="318"/>
      <c r="D3" s="318"/>
      <c r="E3" s="318"/>
      <c r="F3" s="318"/>
      <c r="G3" s="318"/>
      <c r="H3" s="318"/>
      <c r="I3" s="229"/>
      <c r="J3" s="219"/>
    </row>
    <row r="4" spans="1:20" ht="18.75" customHeight="1" x14ac:dyDescent="0.3">
      <c r="A4" s="325" t="s">
        <v>64</v>
      </c>
      <c r="B4" s="319"/>
      <c r="C4" s="318"/>
      <c r="D4" s="318"/>
      <c r="E4" s="318"/>
      <c r="F4" s="318"/>
      <c r="G4" s="318"/>
      <c r="H4" s="318"/>
      <c r="I4" s="229"/>
      <c r="J4" s="219"/>
    </row>
    <row r="5" spans="1:20" ht="18.75" customHeight="1" x14ac:dyDescent="0.3">
      <c r="A5" s="325" t="s">
        <v>62</v>
      </c>
      <c r="B5" s="319"/>
      <c r="C5" s="318"/>
      <c r="D5" s="318"/>
      <c r="E5" s="318"/>
      <c r="F5" s="318"/>
      <c r="G5" s="318"/>
      <c r="H5" s="318"/>
      <c r="I5" s="229"/>
      <c r="J5" s="219"/>
    </row>
    <row r="6" spans="1:20" ht="18.75" customHeight="1" x14ac:dyDescent="0.3">
      <c r="A6" s="324"/>
      <c r="B6" s="323"/>
      <c r="C6" s="318"/>
      <c r="D6" s="318"/>
      <c r="E6" s="318"/>
      <c r="F6" s="318"/>
      <c r="G6" s="318"/>
      <c r="H6" s="318"/>
      <c r="I6" s="229"/>
      <c r="J6" s="219"/>
    </row>
    <row r="7" spans="1:20" s="296" customFormat="1" ht="18.75" customHeight="1" x14ac:dyDescent="0.3">
      <c r="A7" s="346" t="s">
        <v>299</v>
      </c>
      <c r="B7" s="346"/>
      <c r="C7" s="346"/>
      <c r="D7" s="346"/>
      <c r="E7" s="346"/>
      <c r="F7" s="346"/>
      <c r="G7" s="346"/>
      <c r="H7" s="346"/>
      <c r="I7" s="346"/>
      <c r="J7" s="322"/>
      <c r="K7" s="297"/>
      <c r="L7" s="297"/>
    </row>
    <row r="8" spans="1:20" s="296" customFormat="1" ht="18.75" customHeight="1" x14ac:dyDescent="0.3">
      <c r="A8" s="346" t="s">
        <v>267</v>
      </c>
      <c r="B8" s="346"/>
      <c r="C8" s="346"/>
      <c r="D8" s="346"/>
      <c r="E8" s="346"/>
      <c r="F8" s="346"/>
      <c r="G8" s="346"/>
      <c r="H8" s="346"/>
      <c r="I8" s="346"/>
      <c r="J8" s="322"/>
      <c r="K8" s="297"/>
      <c r="L8" s="297"/>
    </row>
    <row r="9" spans="1:20" ht="18.75" customHeight="1" x14ac:dyDescent="0.3">
      <c r="A9" s="345" t="s">
        <v>58</v>
      </c>
      <c r="B9" s="345"/>
      <c r="C9" s="345"/>
      <c r="D9" s="345"/>
      <c r="E9" s="345"/>
      <c r="F9" s="345"/>
      <c r="G9" s="345"/>
      <c r="H9" s="345"/>
      <c r="I9" s="345"/>
      <c r="J9" s="321"/>
    </row>
    <row r="10" spans="1:20" ht="18.75" customHeight="1" x14ac:dyDescent="0.3">
      <c r="A10" s="344" t="s">
        <v>304</v>
      </c>
      <c r="B10" s="344"/>
      <c r="C10" s="344"/>
      <c r="D10" s="344"/>
      <c r="E10" s="344"/>
      <c r="F10" s="344"/>
      <c r="G10" s="344"/>
      <c r="H10" s="344"/>
      <c r="I10" s="344"/>
      <c r="J10" s="320"/>
    </row>
    <row r="11" spans="1:20" ht="18.75" customHeight="1" thickBot="1" x14ac:dyDescent="0.35">
      <c r="A11" s="319"/>
      <c r="B11" s="318"/>
      <c r="C11" s="318"/>
      <c r="D11" s="318"/>
      <c r="E11" s="318"/>
      <c r="F11" s="318"/>
      <c r="G11" s="318"/>
      <c r="H11" s="318"/>
      <c r="I11" s="48" t="s">
        <v>311</v>
      </c>
      <c r="J11" s="317"/>
    </row>
    <row r="12" spans="1:20" ht="71.25" customHeight="1" thickBot="1" x14ac:dyDescent="0.35">
      <c r="A12" s="316"/>
      <c r="B12" s="314" t="s">
        <v>298</v>
      </c>
      <c r="C12" s="315" t="s">
        <v>24</v>
      </c>
      <c r="D12" s="314" t="s">
        <v>297</v>
      </c>
      <c r="E12" s="314" t="s">
        <v>21</v>
      </c>
      <c r="F12" s="314" t="s">
        <v>296</v>
      </c>
      <c r="G12" s="314" t="s">
        <v>20</v>
      </c>
      <c r="H12" s="314" t="s">
        <v>18</v>
      </c>
      <c r="I12" s="313" t="s">
        <v>15</v>
      </c>
      <c r="J12" s="312"/>
      <c r="K12" s="311" t="s">
        <v>14</v>
      </c>
      <c r="L12" s="310"/>
    </row>
    <row r="13" spans="1:20" ht="18.75" customHeight="1" x14ac:dyDescent="0.3">
      <c r="A13" s="309" t="s">
        <v>295</v>
      </c>
      <c r="B13" s="308">
        <f>ROUND(216540,0)</f>
        <v>216540</v>
      </c>
      <c r="C13" s="308">
        <f>ROUND(630.571,0)</f>
        <v>631</v>
      </c>
      <c r="D13" s="308">
        <f>ROUND(4107.89,0)</f>
        <v>4108</v>
      </c>
      <c r="E13" s="308">
        <f>ROUND(649.081,0)</f>
        <v>649</v>
      </c>
      <c r="F13" s="308">
        <f>ROUND(1945.152,0)</f>
        <v>1945</v>
      </c>
      <c r="G13" s="308">
        <f>ROUND((-137563555-100)/1000,0)</f>
        <v>-137564</v>
      </c>
      <c r="H13" s="308">
        <f>ROUND((272997441)/1000,0)</f>
        <v>272997</v>
      </c>
      <c r="I13" s="307">
        <f>SUM(B13:H13)</f>
        <v>359306</v>
      </c>
      <c r="J13" s="251"/>
      <c r="K13" s="306">
        <f>Ф.1!D52-Ф.4!I13</f>
        <v>0</v>
      </c>
      <c r="L13" s="305">
        <f>Ф.1!D51-Ф.4!H13</f>
        <v>0</v>
      </c>
    </row>
    <row r="14" spans="1:20" s="296" customFormat="1" ht="18.75" customHeight="1" x14ac:dyDescent="0.3">
      <c r="A14" s="287" t="s">
        <v>289</v>
      </c>
      <c r="B14" s="299"/>
      <c r="C14" s="299"/>
      <c r="D14" s="299"/>
      <c r="E14" s="299"/>
      <c r="F14" s="299"/>
      <c r="G14" s="299"/>
      <c r="H14" s="299"/>
      <c r="I14" s="298"/>
      <c r="J14" s="241"/>
      <c r="K14" s="304"/>
      <c r="L14" s="303"/>
    </row>
    <row r="15" spans="1:20" ht="18.75" customHeight="1" x14ac:dyDescent="0.3">
      <c r="A15" s="302" t="str">
        <f>IF(H15&lt;0,S15,T15)</f>
        <v>Убыток за период</v>
      </c>
      <c r="B15" s="258">
        <f>ROUND(0,0)</f>
        <v>0</v>
      </c>
      <c r="C15" s="258">
        <f>ROUND(0,0)</f>
        <v>0</v>
      </c>
      <c r="D15" s="258">
        <f>ROUND(0,0)</f>
        <v>0</v>
      </c>
      <c r="E15" s="258">
        <f>ROUND(0,0)</f>
        <v>0</v>
      </c>
      <c r="F15" s="258">
        <f>ROUND(0,0)</f>
        <v>0</v>
      </c>
      <c r="G15" s="258">
        <v>0</v>
      </c>
      <c r="H15" s="258">
        <f>Ф.2!C53</f>
        <v>-3811</v>
      </c>
      <c r="I15" s="280">
        <f>SUM(B15:H15)</f>
        <v>-3811</v>
      </c>
      <c r="J15" s="241"/>
      <c r="K15" s="301">
        <f>Ф.2!C53-Ф.4!H15</f>
        <v>0</v>
      </c>
      <c r="L15" s="300">
        <f>Ф.1!D51-Ф.1!C51+H31+H15+H28</f>
        <v>0</v>
      </c>
      <c r="S15" s="214" t="s">
        <v>121</v>
      </c>
      <c r="T15" s="214" t="s">
        <v>120</v>
      </c>
    </row>
    <row r="16" spans="1:20" s="296" customFormat="1" ht="18.75" customHeight="1" x14ac:dyDescent="0.3">
      <c r="A16" s="288" t="s">
        <v>288</v>
      </c>
      <c r="B16" s="299"/>
      <c r="C16" s="299"/>
      <c r="D16" s="299"/>
      <c r="E16" s="299"/>
      <c r="F16" s="299"/>
      <c r="G16" s="299"/>
      <c r="H16" s="299"/>
      <c r="I16" s="298"/>
      <c r="J16" s="243"/>
      <c r="K16" s="297"/>
      <c r="L16" s="297"/>
    </row>
    <row r="17" spans="1:20" ht="36" x14ac:dyDescent="0.3">
      <c r="A17" s="285" t="s">
        <v>294</v>
      </c>
      <c r="B17" s="284"/>
      <c r="C17" s="284"/>
      <c r="D17" s="284"/>
      <c r="E17" s="284"/>
      <c r="F17" s="284"/>
      <c r="G17" s="284"/>
      <c r="H17" s="284"/>
      <c r="I17" s="280"/>
      <c r="J17" s="251"/>
      <c r="K17" s="290" t="s">
        <v>14</v>
      </c>
    </row>
    <row r="18" spans="1:20" ht="36" x14ac:dyDescent="0.3">
      <c r="A18" s="281" t="s">
        <v>286</v>
      </c>
      <c r="B18" s="258">
        <v>0</v>
      </c>
      <c r="C18" s="258">
        <v>0</v>
      </c>
      <c r="D18" s="258">
        <f>ROUND(-14085.886,0)</f>
        <v>-14086</v>
      </c>
      <c r="E18" s="258">
        <v>0</v>
      </c>
      <c r="F18" s="258">
        <v>0</v>
      </c>
      <c r="G18" s="258">
        <v>0</v>
      </c>
      <c r="H18" s="258">
        <v>0</v>
      </c>
      <c r="I18" s="280">
        <f t="shared" ref="I18:I25" si="0">SUM(B18:H18)</f>
        <v>-14086</v>
      </c>
      <c r="J18" s="251"/>
      <c r="K18" s="277">
        <f>Ф.2!C62-Ф.4!I18</f>
        <v>0</v>
      </c>
    </row>
    <row r="19" spans="1:20" ht="36" x14ac:dyDescent="0.3">
      <c r="A19" s="259" t="s">
        <v>285</v>
      </c>
      <c r="B19" s="258">
        <v>0</v>
      </c>
      <c r="C19" s="258">
        <v>0</v>
      </c>
      <c r="D19" s="258">
        <f>ROUND(8440.453,0)</f>
        <v>8440</v>
      </c>
      <c r="E19" s="258">
        <v>0</v>
      </c>
      <c r="F19" s="258">
        <v>0</v>
      </c>
      <c r="G19" s="258">
        <v>0</v>
      </c>
      <c r="H19" s="258">
        <v>0</v>
      </c>
      <c r="I19" s="280">
        <f t="shared" si="0"/>
        <v>8440</v>
      </c>
      <c r="J19" s="251"/>
      <c r="K19" s="277">
        <f>Ф.2!C63-Ф.4!I19</f>
        <v>0</v>
      </c>
    </row>
    <row r="20" spans="1:20" ht="39" customHeight="1" x14ac:dyDescent="0.3">
      <c r="A20" s="259" t="s">
        <v>293</v>
      </c>
      <c r="B20" s="258">
        <v>0</v>
      </c>
      <c r="C20" s="258">
        <v>0</v>
      </c>
      <c r="D20" s="258">
        <f>ROUND(3413.909,0)</f>
        <v>3414</v>
      </c>
      <c r="E20" s="258">
        <v>0</v>
      </c>
      <c r="F20" s="258">
        <v>0</v>
      </c>
      <c r="G20" s="258">
        <v>0</v>
      </c>
      <c r="H20" s="258">
        <v>0</v>
      </c>
      <c r="I20" s="280">
        <f t="shared" si="0"/>
        <v>3414</v>
      </c>
      <c r="J20" s="251"/>
      <c r="K20" s="277">
        <f>Ф.2!C64-Ф.4!I20</f>
        <v>0</v>
      </c>
    </row>
    <row r="21" spans="1:20" ht="36.6" thickBot="1" x14ac:dyDescent="0.35">
      <c r="A21" s="256" t="s">
        <v>283</v>
      </c>
      <c r="B21" s="255">
        <v>0</v>
      </c>
      <c r="C21" s="255">
        <v>0</v>
      </c>
      <c r="D21" s="255">
        <v>0</v>
      </c>
      <c r="E21" s="268">
        <f>ROUND(-1637.513,0)+1</f>
        <v>-1637</v>
      </c>
      <c r="F21" s="255">
        <v>0</v>
      </c>
      <c r="G21" s="255">
        <v>0</v>
      </c>
      <c r="H21" s="255">
        <v>0</v>
      </c>
      <c r="I21" s="291">
        <f t="shared" si="0"/>
        <v>-1637</v>
      </c>
      <c r="J21" s="251"/>
      <c r="K21" s="277">
        <f>Ф.2!C65-Ф.4!I21</f>
        <v>0</v>
      </c>
    </row>
    <row r="22" spans="1:20" ht="36.6" thickBot="1" x14ac:dyDescent="0.35">
      <c r="A22" s="279" t="s">
        <v>282</v>
      </c>
      <c r="B22" s="278">
        <f t="shared" ref="B22:H22" si="1">SUM(B18:B21)</f>
        <v>0</v>
      </c>
      <c r="C22" s="278">
        <f t="shared" si="1"/>
        <v>0</v>
      </c>
      <c r="D22" s="278">
        <f t="shared" si="1"/>
        <v>-2232</v>
      </c>
      <c r="E22" s="278">
        <f t="shared" si="1"/>
        <v>-1637</v>
      </c>
      <c r="F22" s="278">
        <f t="shared" si="1"/>
        <v>0</v>
      </c>
      <c r="G22" s="278">
        <f t="shared" si="1"/>
        <v>0</v>
      </c>
      <c r="H22" s="278">
        <f t="shared" si="1"/>
        <v>0</v>
      </c>
      <c r="I22" s="278">
        <f t="shared" si="0"/>
        <v>-3869</v>
      </c>
      <c r="J22" s="251"/>
      <c r="K22" s="277">
        <f>Ф.2!C66-Ф.4!I22</f>
        <v>0</v>
      </c>
    </row>
    <row r="23" spans="1:20" ht="39.75" hidden="1" customHeight="1" outlineLevel="1" x14ac:dyDescent="0.3">
      <c r="A23" s="285" t="s">
        <v>292</v>
      </c>
      <c r="B23" s="258">
        <v>0</v>
      </c>
      <c r="C23" s="258">
        <v>0</v>
      </c>
      <c r="D23" s="258">
        <v>0</v>
      </c>
      <c r="E23" s="258">
        <v>0</v>
      </c>
      <c r="F23" s="258">
        <v>0</v>
      </c>
      <c r="G23" s="258">
        <v>0</v>
      </c>
      <c r="H23" s="258">
        <v>0</v>
      </c>
      <c r="I23" s="280">
        <f t="shared" si="0"/>
        <v>0</v>
      </c>
      <c r="J23" s="251"/>
      <c r="K23" s="294"/>
    </row>
    <row r="24" spans="1:20" ht="39.75" hidden="1" customHeight="1" outlineLevel="1" x14ac:dyDescent="0.3">
      <c r="A24" s="295" t="s">
        <v>280</v>
      </c>
      <c r="B24" s="258">
        <v>0</v>
      </c>
      <c r="C24" s="258">
        <v>0</v>
      </c>
      <c r="D24" s="258">
        <v>0</v>
      </c>
      <c r="E24" s="258">
        <v>0</v>
      </c>
      <c r="F24" s="258">
        <v>0</v>
      </c>
      <c r="G24" s="258">
        <v>0</v>
      </c>
      <c r="H24" s="258">
        <v>0</v>
      </c>
      <c r="I24" s="280">
        <f t="shared" si="0"/>
        <v>0</v>
      </c>
      <c r="J24" s="251"/>
      <c r="K24" s="294"/>
    </row>
    <row r="25" spans="1:20" ht="39.75" hidden="1" customHeight="1" outlineLevel="1" thickBot="1" x14ac:dyDescent="0.35">
      <c r="A25" s="269" t="s">
        <v>279</v>
      </c>
      <c r="B25" s="268">
        <v>0</v>
      </c>
      <c r="C25" s="268">
        <v>0</v>
      </c>
      <c r="D25" s="268">
        <v>0</v>
      </c>
      <c r="E25" s="268">
        <v>0</v>
      </c>
      <c r="F25" s="268">
        <v>0</v>
      </c>
      <c r="G25" s="268">
        <v>0</v>
      </c>
      <c r="H25" s="268">
        <v>0</v>
      </c>
      <c r="I25" s="267">
        <f t="shared" si="0"/>
        <v>0</v>
      </c>
      <c r="J25" s="251"/>
      <c r="K25" s="294"/>
    </row>
    <row r="26" spans="1:20" ht="18" collapsed="1" thickBot="1" x14ac:dyDescent="0.35">
      <c r="A26" s="266" t="str">
        <f>IF(H26&lt;0,S26,T26)</f>
        <v>Итого совокупный убыток за период</v>
      </c>
      <c r="B26" s="265">
        <f t="shared" ref="B26:I26" si="2">SUM(B25,B22,B15)</f>
        <v>0</v>
      </c>
      <c r="C26" s="265">
        <f t="shared" si="2"/>
        <v>0</v>
      </c>
      <c r="D26" s="265">
        <f t="shared" si="2"/>
        <v>-2232</v>
      </c>
      <c r="E26" s="265">
        <f t="shared" si="2"/>
        <v>-1637</v>
      </c>
      <c r="F26" s="265">
        <f t="shared" si="2"/>
        <v>0</v>
      </c>
      <c r="G26" s="265">
        <f t="shared" si="2"/>
        <v>0</v>
      </c>
      <c r="H26" s="265">
        <f t="shared" si="2"/>
        <v>-3811</v>
      </c>
      <c r="I26" s="265">
        <f t="shared" si="2"/>
        <v>-7680</v>
      </c>
      <c r="J26" s="251"/>
      <c r="K26" s="293">
        <f>Ф.2!C77-Ф.4!I26</f>
        <v>0</v>
      </c>
      <c r="L26" s="292"/>
      <c r="S26" s="214" t="s">
        <v>278</v>
      </c>
      <c r="T26" s="214" t="s">
        <v>277</v>
      </c>
    </row>
    <row r="27" spans="1:20" ht="20.25" customHeight="1" x14ac:dyDescent="0.3">
      <c r="A27" s="261" t="s">
        <v>276</v>
      </c>
      <c r="B27" s="260"/>
      <c r="C27" s="260"/>
      <c r="D27" s="260"/>
      <c r="E27" s="260"/>
      <c r="F27" s="260"/>
      <c r="G27" s="260"/>
      <c r="H27" s="260"/>
      <c r="I27" s="260"/>
      <c r="J27" s="251"/>
      <c r="K27" s="214"/>
      <c r="L27" s="292"/>
    </row>
    <row r="28" spans="1:20" s="247" customFormat="1" ht="18" x14ac:dyDescent="0.3">
      <c r="A28" s="259" t="s">
        <v>291</v>
      </c>
      <c r="B28" s="258">
        <f t="shared" ref="B28:E31" si="3">ROUND(0,0)</f>
        <v>0</v>
      </c>
      <c r="C28" s="258">
        <f t="shared" si="3"/>
        <v>0</v>
      </c>
      <c r="D28" s="258">
        <f t="shared" si="3"/>
        <v>0</v>
      </c>
      <c r="E28" s="258">
        <f t="shared" si="3"/>
        <v>0</v>
      </c>
      <c r="F28" s="258">
        <f>ROUND(-56.829,0)</f>
        <v>-57</v>
      </c>
      <c r="G28" s="258">
        <f>ROUND(0,0)</f>
        <v>0</v>
      </c>
      <c r="H28" s="258">
        <f>-F28</f>
        <v>57</v>
      </c>
      <c r="I28" s="257">
        <f>SUM(B28:H28)</f>
        <v>0</v>
      </c>
      <c r="J28" s="243"/>
      <c r="K28" s="248"/>
      <c r="L28" s="292"/>
    </row>
    <row r="29" spans="1:20" s="247" customFormat="1" ht="18" hidden="1" outlineLevel="1" x14ac:dyDescent="0.3">
      <c r="A29" s="259" t="s">
        <v>274</v>
      </c>
      <c r="B29" s="258">
        <f t="shared" si="3"/>
        <v>0</v>
      </c>
      <c r="C29" s="258">
        <f t="shared" si="3"/>
        <v>0</v>
      </c>
      <c r="D29" s="258">
        <f t="shared" si="3"/>
        <v>0</v>
      </c>
      <c r="E29" s="258">
        <f t="shared" si="3"/>
        <v>0</v>
      </c>
      <c r="F29" s="258">
        <f>ROUND(0,0)</f>
        <v>0</v>
      </c>
      <c r="G29" s="258">
        <f>ROUND(0,0)</f>
        <v>0</v>
      </c>
      <c r="H29" s="258">
        <f>ROUND(0,0)</f>
        <v>0</v>
      </c>
      <c r="I29" s="257">
        <f>SUM(B29:H29)</f>
        <v>0</v>
      </c>
      <c r="J29" s="243"/>
      <c r="K29" s="248"/>
      <c r="L29" s="292"/>
    </row>
    <row r="30" spans="1:20" s="247" customFormat="1" ht="18" hidden="1" outlineLevel="1" x14ac:dyDescent="0.3">
      <c r="A30" s="259" t="s">
        <v>273</v>
      </c>
      <c r="B30" s="258">
        <f t="shared" si="3"/>
        <v>0</v>
      </c>
      <c r="C30" s="258">
        <f t="shared" si="3"/>
        <v>0</v>
      </c>
      <c r="D30" s="258">
        <f t="shared" si="3"/>
        <v>0</v>
      </c>
      <c r="E30" s="258">
        <f t="shared" si="3"/>
        <v>0</v>
      </c>
      <c r="F30" s="258">
        <f>ROUND(0,0)</f>
        <v>0</v>
      </c>
      <c r="G30" s="258">
        <f>ROUND(0,0)</f>
        <v>0</v>
      </c>
      <c r="H30" s="258">
        <f>ROUND(0,0)</f>
        <v>0</v>
      </c>
      <c r="I30" s="257">
        <f>SUM(B30:H30)</f>
        <v>0</v>
      </c>
      <c r="J30" s="243"/>
      <c r="K30" s="248"/>
      <c r="L30" s="248"/>
    </row>
    <row r="31" spans="1:20" s="247" customFormat="1" ht="18.75" customHeight="1" collapsed="1" thickBot="1" x14ac:dyDescent="0.35">
      <c r="A31" s="256" t="s">
        <v>216</v>
      </c>
      <c r="B31" s="255">
        <f t="shared" si="3"/>
        <v>0</v>
      </c>
      <c r="C31" s="255">
        <f t="shared" si="3"/>
        <v>0</v>
      </c>
      <c r="D31" s="255">
        <f t="shared" si="3"/>
        <v>0</v>
      </c>
      <c r="E31" s="255">
        <f t="shared" si="3"/>
        <v>0</v>
      </c>
      <c r="F31" s="255">
        <f>ROUND(0,0)</f>
        <v>0</v>
      </c>
      <c r="G31" s="255">
        <f>ROUND(0,0)</f>
        <v>0</v>
      </c>
      <c r="H31" s="255">
        <f>ROUND(-113439.915,0)+1</f>
        <v>-113439</v>
      </c>
      <c r="I31" s="291">
        <f>SUM(B31:H31)</f>
        <v>-113439</v>
      </c>
      <c r="J31" s="243"/>
      <c r="L31" s="248"/>
    </row>
    <row r="32" spans="1:20" s="247" customFormat="1" ht="18.75" customHeight="1" thickBot="1" x14ac:dyDescent="0.35">
      <c r="A32" s="253" t="s">
        <v>271</v>
      </c>
      <c r="B32" s="252">
        <f t="shared" ref="B32:H32" si="4">SUM(B28:B31)</f>
        <v>0</v>
      </c>
      <c r="C32" s="252">
        <f t="shared" si="4"/>
        <v>0</v>
      </c>
      <c r="D32" s="252">
        <f t="shared" si="4"/>
        <v>0</v>
      </c>
      <c r="E32" s="252">
        <f t="shared" si="4"/>
        <v>0</v>
      </c>
      <c r="F32" s="252">
        <f t="shared" si="4"/>
        <v>-57</v>
      </c>
      <c r="G32" s="252">
        <f t="shared" si="4"/>
        <v>0</v>
      </c>
      <c r="H32" s="252">
        <f t="shared" si="4"/>
        <v>-113382</v>
      </c>
      <c r="I32" s="252">
        <f>SUM(B32:H32)</f>
        <v>-113439</v>
      </c>
      <c r="J32" s="243"/>
      <c r="K32" s="290" t="s">
        <v>14</v>
      </c>
      <c r="L32" s="248"/>
    </row>
    <row r="33" spans="1:20" s="247" customFormat="1" ht="18.600000000000001" thickBot="1" x14ac:dyDescent="0.35">
      <c r="A33" s="253" t="s">
        <v>306</v>
      </c>
      <c r="B33" s="252">
        <f t="shared" ref="B33:I33" si="5">SUM(B26,B13,B32)</f>
        <v>216540</v>
      </c>
      <c r="C33" s="252">
        <f t="shared" si="5"/>
        <v>631</v>
      </c>
      <c r="D33" s="252">
        <f t="shared" si="5"/>
        <v>1876</v>
      </c>
      <c r="E33" s="252">
        <f t="shared" si="5"/>
        <v>-988</v>
      </c>
      <c r="F33" s="252">
        <f t="shared" si="5"/>
        <v>1888</v>
      </c>
      <c r="G33" s="252">
        <f t="shared" si="5"/>
        <v>-137564</v>
      </c>
      <c r="H33" s="252">
        <f t="shared" si="5"/>
        <v>155804</v>
      </c>
      <c r="I33" s="252">
        <f t="shared" si="5"/>
        <v>238187</v>
      </c>
      <c r="J33" s="243"/>
      <c r="K33" s="289">
        <f>Ф.1!C52-Ф.4!I33</f>
        <v>0</v>
      </c>
      <c r="L33" s="248"/>
    </row>
    <row r="34" spans="1:20" s="247" customFormat="1" ht="18" x14ac:dyDescent="0.3">
      <c r="A34" s="250"/>
      <c r="B34" s="249"/>
      <c r="C34" s="249"/>
      <c r="D34" s="249"/>
      <c r="E34" s="249"/>
      <c r="F34" s="249"/>
      <c r="G34" s="249"/>
      <c r="H34" s="249"/>
      <c r="I34" s="249"/>
      <c r="J34" s="243"/>
      <c r="K34" s="248"/>
      <c r="L34" s="248"/>
    </row>
    <row r="35" spans="1:20" s="247" customFormat="1" ht="18" x14ac:dyDescent="0.3">
      <c r="A35" s="288" t="s">
        <v>290</v>
      </c>
      <c r="B35" s="257">
        <f>ROUND(9280.001,0)</f>
        <v>9280</v>
      </c>
      <c r="C35" s="257">
        <f>ROUND((74500-100)/1000,0)</f>
        <v>74</v>
      </c>
      <c r="D35" s="257">
        <f>ROUND(-0.395,0)</f>
        <v>0</v>
      </c>
      <c r="E35" s="257">
        <f>ROUND(0,0)</f>
        <v>0</v>
      </c>
      <c r="F35" s="257">
        <f>ROUND(1108.043,0)</f>
        <v>1108</v>
      </c>
      <c r="G35" s="257">
        <v>0</v>
      </c>
      <c r="H35" s="257">
        <f>ROUND(3181.272,0)</f>
        <v>3181</v>
      </c>
      <c r="I35" s="280">
        <f>SUM(B35:H35)</f>
        <v>13643</v>
      </c>
      <c r="J35" s="251"/>
      <c r="K35" s="215"/>
      <c r="L35" s="215"/>
    </row>
    <row r="36" spans="1:20" s="247" customFormat="1" ht="18" x14ac:dyDescent="0.3">
      <c r="A36" s="287" t="s">
        <v>289</v>
      </c>
      <c r="B36" s="258"/>
      <c r="C36" s="258"/>
      <c r="D36" s="258"/>
      <c r="E36" s="258"/>
      <c r="F36" s="258"/>
      <c r="G36" s="258"/>
      <c r="H36" s="257"/>
      <c r="I36" s="280"/>
      <c r="J36" s="241"/>
      <c r="K36" s="282" t="s">
        <v>14</v>
      </c>
      <c r="L36" s="215"/>
    </row>
    <row r="37" spans="1:20" s="247" customFormat="1" ht="18" x14ac:dyDescent="0.3">
      <c r="A37" s="281" t="str">
        <f>IF(H37&lt;0,S37,T37)</f>
        <v>Прибыль за период</v>
      </c>
      <c r="B37" s="258">
        <f t="shared" ref="B37:G37" si="6">ROUND(0,0)</f>
        <v>0</v>
      </c>
      <c r="C37" s="258">
        <f t="shared" si="6"/>
        <v>0</v>
      </c>
      <c r="D37" s="258">
        <f t="shared" si="6"/>
        <v>0</v>
      </c>
      <c r="E37" s="258">
        <f t="shared" si="6"/>
        <v>0</v>
      </c>
      <c r="F37" s="258">
        <f t="shared" si="6"/>
        <v>0</v>
      </c>
      <c r="G37" s="258">
        <f t="shared" si="6"/>
        <v>0</v>
      </c>
      <c r="H37" s="258">
        <f>ROUND(293843.3864947,0)</f>
        <v>293843</v>
      </c>
      <c r="I37" s="280">
        <f>SUM(B37:H37)</f>
        <v>293843</v>
      </c>
      <c r="J37" s="241"/>
      <c r="K37" s="270">
        <f>Ф.2!D53-Ф.4!H37</f>
        <v>0</v>
      </c>
      <c r="L37" s="215"/>
      <c r="S37" s="214" t="s">
        <v>121</v>
      </c>
      <c r="T37" s="214" t="s">
        <v>120</v>
      </c>
    </row>
    <row r="38" spans="1:20" s="247" customFormat="1" ht="18" x14ac:dyDescent="0.3">
      <c r="A38" s="286" t="s">
        <v>288</v>
      </c>
      <c r="B38" s="258"/>
      <c r="C38" s="258"/>
      <c r="D38" s="258"/>
      <c r="E38" s="258"/>
      <c r="F38" s="258"/>
      <c r="G38" s="258"/>
      <c r="H38" s="257"/>
      <c r="I38" s="280"/>
      <c r="J38" s="241"/>
      <c r="K38" s="215"/>
      <c r="L38" s="215"/>
    </row>
    <row r="39" spans="1:20" s="247" customFormat="1" ht="36" x14ac:dyDescent="0.3">
      <c r="A39" s="285" t="s">
        <v>287</v>
      </c>
      <c r="B39" s="284"/>
      <c r="C39" s="284"/>
      <c r="D39" s="284"/>
      <c r="E39" s="284"/>
      <c r="F39" s="284"/>
      <c r="G39" s="284"/>
      <c r="H39" s="284"/>
      <c r="I39" s="283"/>
      <c r="J39" s="264"/>
      <c r="K39" s="282" t="s">
        <v>14</v>
      </c>
      <c r="L39" s="262"/>
    </row>
    <row r="40" spans="1:20" s="247" customFormat="1" ht="36" x14ac:dyDescent="0.3">
      <c r="A40" s="281" t="s">
        <v>286</v>
      </c>
      <c r="B40" s="258">
        <v>0</v>
      </c>
      <c r="C40" s="258">
        <v>0</v>
      </c>
      <c r="D40" s="258">
        <f>ROUND(1620.099,0)</f>
        <v>1620</v>
      </c>
      <c r="E40" s="258">
        <f>ROUND(0,0)</f>
        <v>0</v>
      </c>
      <c r="F40" s="258">
        <v>0</v>
      </c>
      <c r="G40" s="258">
        <v>0</v>
      </c>
      <c r="H40" s="258">
        <v>0</v>
      </c>
      <c r="I40" s="280">
        <f>SUM(B40:H40)</f>
        <v>1620</v>
      </c>
      <c r="J40" s="243"/>
      <c r="K40" s="277">
        <f>Ф.2!D62-Ф.4!D40</f>
        <v>0</v>
      </c>
      <c r="L40" s="248"/>
    </row>
    <row r="41" spans="1:20" s="247" customFormat="1" ht="36" x14ac:dyDescent="0.3">
      <c r="A41" s="259" t="s">
        <v>285</v>
      </c>
      <c r="B41" s="258">
        <v>0</v>
      </c>
      <c r="C41" s="258">
        <v>0</v>
      </c>
      <c r="D41" s="258">
        <f>ROUND(0,0)</f>
        <v>0</v>
      </c>
      <c r="E41" s="258">
        <f>ROUND(0,0)</f>
        <v>0</v>
      </c>
      <c r="F41" s="258">
        <v>0</v>
      </c>
      <c r="G41" s="258">
        <v>0</v>
      </c>
      <c r="H41" s="258">
        <v>0</v>
      </c>
      <c r="I41" s="257">
        <f>SUM(B41:H41)</f>
        <v>0</v>
      </c>
      <c r="J41" s="243"/>
      <c r="K41" s="277">
        <f>Ф.2!D63-Ф.4!D41</f>
        <v>0</v>
      </c>
      <c r="L41" s="248"/>
    </row>
    <row r="42" spans="1:20" s="247" customFormat="1" ht="37.5" customHeight="1" x14ac:dyDescent="0.3">
      <c r="A42" s="259" t="s">
        <v>284</v>
      </c>
      <c r="B42" s="258">
        <v>0</v>
      </c>
      <c r="C42" s="258">
        <v>0</v>
      </c>
      <c r="D42" s="258">
        <f>ROUND(-1100.58,0)</f>
        <v>-1101</v>
      </c>
      <c r="E42" s="258">
        <f>ROUND(0,0)</f>
        <v>0</v>
      </c>
      <c r="F42" s="258">
        <v>0</v>
      </c>
      <c r="G42" s="258">
        <v>0</v>
      </c>
      <c r="H42" s="258">
        <v>0</v>
      </c>
      <c r="I42" s="257">
        <f>SUM(B42:H42)</f>
        <v>-1101</v>
      </c>
      <c r="J42" s="243"/>
      <c r="K42" s="277">
        <f>Ф.2!D64-Ф.4!D42</f>
        <v>0</v>
      </c>
      <c r="L42" s="248"/>
    </row>
    <row r="43" spans="1:20" s="247" customFormat="1" ht="36.6" thickBot="1" x14ac:dyDescent="0.35">
      <c r="A43" s="256" t="s">
        <v>283</v>
      </c>
      <c r="B43" s="255">
        <v>0</v>
      </c>
      <c r="C43" s="255">
        <v>0</v>
      </c>
      <c r="D43" s="255">
        <f>ROUND(0,0)</f>
        <v>0</v>
      </c>
      <c r="E43" s="268">
        <f>ROUND(680.022,0)</f>
        <v>680</v>
      </c>
      <c r="F43" s="255">
        <v>0</v>
      </c>
      <c r="G43" s="255">
        <v>0</v>
      </c>
      <c r="H43" s="255">
        <v>0</v>
      </c>
      <c r="I43" s="267">
        <f>SUM(B43:H43)</f>
        <v>680</v>
      </c>
      <c r="J43" s="243"/>
      <c r="K43" s="277">
        <f>Ф.2!D65-Ф.4!E43</f>
        <v>0</v>
      </c>
      <c r="L43" s="248"/>
    </row>
    <row r="44" spans="1:20" s="247" customFormat="1" ht="36" x14ac:dyDescent="0.3">
      <c r="A44" s="279" t="s">
        <v>282</v>
      </c>
      <c r="B44" s="278">
        <f t="shared" ref="B44:I44" si="7">SUM(B40:B43)</f>
        <v>0</v>
      </c>
      <c r="C44" s="278">
        <f t="shared" si="7"/>
        <v>0</v>
      </c>
      <c r="D44" s="278">
        <f t="shared" si="7"/>
        <v>519</v>
      </c>
      <c r="E44" s="278">
        <f t="shared" si="7"/>
        <v>680</v>
      </c>
      <c r="F44" s="278">
        <f t="shared" si="7"/>
        <v>0</v>
      </c>
      <c r="G44" s="278">
        <f t="shared" si="7"/>
        <v>0</v>
      </c>
      <c r="H44" s="278">
        <f t="shared" si="7"/>
        <v>0</v>
      </c>
      <c r="I44" s="278">
        <f t="shared" si="7"/>
        <v>1199</v>
      </c>
      <c r="J44" s="243"/>
      <c r="K44" s="277">
        <f>Ф.2!D66-Ф.4!I44</f>
        <v>0</v>
      </c>
      <c r="L44" s="248"/>
    </row>
    <row r="45" spans="1:20" s="247" customFormat="1" ht="36" x14ac:dyDescent="0.3">
      <c r="A45" s="276" t="s">
        <v>281</v>
      </c>
      <c r="B45" s="275"/>
      <c r="C45" s="275"/>
      <c r="D45" s="275"/>
      <c r="E45" s="275"/>
      <c r="F45" s="275"/>
      <c r="G45" s="275"/>
      <c r="H45" s="275"/>
      <c r="I45" s="275"/>
      <c r="J45" s="243"/>
      <c r="K45" s="274"/>
      <c r="L45" s="248"/>
    </row>
    <row r="46" spans="1:20" s="247" customFormat="1" ht="18" x14ac:dyDescent="0.3">
      <c r="A46" s="273" t="s">
        <v>280</v>
      </c>
      <c r="B46" s="272">
        <v>0</v>
      </c>
      <c r="C46" s="272">
        <v>0</v>
      </c>
      <c r="D46" s="272">
        <v>0</v>
      </c>
      <c r="E46" s="272">
        <v>0</v>
      </c>
      <c r="F46" s="272">
        <f>ROUND(572.425003919472,0)</f>
        <v>572</v>
      </c>
      <c r="G46" s="272">
        <v>0</v>
      </c>
      <c r="H46" s="272">
        <v>0</v>
      </c>
      <c r="I46" s="271">
        <f>SUM(B46:H46)</f>
        <v>572</v>
      </c>
      <c r="J46" s="243"/>
      <c r="K46" s="270">
        <f>Ф.2!D69-Ф.4!I46</f>
        <v>0</v>
      </c>
      <c r="L46" s="248"/>
    </row>
    <row r="47" spans="1:20" s="247" customFormat="1" ht="36.6" thickBot="1" x14ac:dyDescent="0.35">
      <c r="A47" s="269" t="s">
        <v>279</v>
      </c>
      <c r="B47" s="268">
        <f t="shared" ref="B47:H47" si="8">B46</f>
        <v>0</v>
      </c>
      <c r="C47" s="268">
        <f t="shared" si="8"/>
        <v>0</v>
      </c>
      <c r="D47" s="268">
        <f t="shared" si="8"/>
        <v>0</v>
      </c>
      <c r="E47" s="268">
        <f t="shared" si="8"/>
        <v>0</v>
      </c>
      <c r="F47" s="268">
        <f t="shared" si="8"/>
        <v>572</v>
      </c>
      <c r="G47" s="268">
        <f t="shared" si="8"/>
        <v>0</v>
      </c>
      <c r="H47" s="268">
        <f t="shared" si="8"/>
        <v>0</v>
      </c>
      <c r="I47" s="267">
        <f>SUM(B47:H47)</f>
        <v>572</v>
      </c>
      <c r="J47" s="243"/>
      <c r="K47" s="248"/>
      <c r="L47" s="248"/>
    </row>
    <row r="48" spans="1:20" s="247" customFormat="1" ht="18.600000000000001" thickBot="1" x14ac:dyDescent="0.35">
      <c r="A48" s="266" t="str">
        <f>IF(H48&lt;0,S48,T48)</f>
        <v>Итого совокупный доход за период</v>
      </c>
      <c r="B48" s="265">
        <f t="shared" ref="B48:I48" si="9">SUM(B47,B44,B37)</f>
        <v>0</v>
      </c>
      <c r="C48" s="265">
        <f t="shared" si="9"/>
        <v>0</v>
      </c>
      <c r="D48" s="265">
        <f t="shared" si="9"/>
        <v>519</v>
      </c>
      <c r="E48" s="265">
        <f t="shared" si="9"/>
        <v>680</v>
      </c>
      <c r="F48" s="265">
        <f t="shared" si="9"/>
        <v>572</v>
      </c>
      <c r="G48" s="265">
        <f t="shared" si="9"/>
        <v>0</v>
      </c>
      <c r="H48" s="265">
        <f t="shared" si="9"/>
        <v>293843</v>
      </c>
      <c r="I48" s="265">
        <f t="shared" si="9"/>
        <v>295614</v>
      </c>
      <c r="J48" s="264"/>
      <c r="K48" s="263">
        <f>Ф.2!D72-Ф.4!I48</f>
        <v>0</v>
      </c>
      <c r="L48" s="262"/>
      <c r="S48" s="214" t="s">
        <v>278</v>
      </c>
      <c r="T48" s="214" t="s">
        <v>277</v>
      </c>
    </row>
    <row r="49" spans="1:12" s="247" customFormat="1" ht="20.25" customHeight="1" x14ac:dyDescent="0.3">
      <c r="A49" s="261" t="s">
        <v>276</v>
      </c>
      <c r="B49" s="260"/>
      <c r="C49" s="260"/>
      <c r="D49" s="260"/>
      <c r="E49" s="260"/>
      <c r="F49" s="260"/>
      <c r="G49" s="260"/>
      <c r="H49" s="260"/>
      <c r="I49" s="260"/>
      <c r="J49" s="241"/>
      <c r="K49" s="215"/>
      <c r="L49" s="215"/>
    </row>
    <row r="50" spans="1:12" s="247" customFormat="1" ht="18" x14ac:dyDescent="0.3">
      <c r="A50" s="259" t="s">
        <v>275</v>
      </c>
      <c r="B50" s="258">
        <f>ROUND(146287.485,0)</f>
        <v>146287</v>
      </c>
      <c r="C50" s="258">
        <f>ROUND(630.571,0)</f>
        <v>631</v>
      </c>
      <c r="D50" s="258">
        <v>0</v>
      </c>
      <c r="E50" s="258">
        <v>0</v>
      </c>
      <c r="F50" s="258">
        <f>ROUND(0,0)</f>
        <v>0</v>
      </c>
      <c r="G50" s="258">
        <f>-SUM(B50:C50)</f>
        <v>-146918</v>
      </c>
      <c r="H50" s="258">
        <f>ROUND(0,0)</f>
        <v>0</v>
      </c>
      <c r="I50" s="257">
        <f>SUM(B50:H50)</f>
        <v>0</v>
      </c>
      <c r="J50" s="251"/>
      <c r="K50" s="215"/>
      <c r="L50" s="215"/>
    </row>
    <row r="51" spans="1:12" s="247" customFormat="1" ht="18" x14ac:dyDescent="0.3">
      <c r="A51" s="259" t="s">
        <v>274</v>
      </c>
      <c r="B51" s="258">
        <f>ROUND(-9280.001,0)</f>
        <v>-9280</v>
      </c>
      <c r="C51" s="258">
        <f>ROUND(-74.4,0)</f>
        <v>-74</v>
      </c>
      <c r="D51" s="258">
        <v>0</v>
      </c>
      <c r="E51" s="258">
        <v>0</v>
      </c>
      <c r="F51" s="258">
        <f>ROUND(0,0)</f>
        <v>0</v>
      </c>
      <c r="G51" s="258">
        <f>-SUM(B51:C51)</f>
        <v>9354</v>
      </c>
      <c r="H51" s="258">
        <f>ROUND(0,0)</f>
        <v>0</v>
      </c>
      <c r="I51" s="257">
        <f>SUM(B51:H51)</f>
        <v>0</v>
      </c>
      <c r="J51" s="251"/>
      <c r="K51" s="215"/>
      <c r="L51" s="215"/>
    </row>
    <row r="52" spans="1:12" s="247" customFormat="1" ht="18" x14ac:dyDescent="0.3">
      <c r="A52" s="259" t="s">
        <v>273</v>
      </c>
      <c r="B52" s="258">
        <f>ROUND(69982.064,0)</f>
        <v>69982</v>
      </c>
      <c r="C52" s="258">
        <f>ROUND(0,0)</f>
        <v>0</v>
      </c>
      <c r="D52" s="258">
        <v>0</v>
      </c>
      <c r="E52" s="258">
        <v>0</v>
      </c>
      <c r="F52" s="258">
        <f>ROUND(0,0)</f>
        <v>0</v>
      </c>
      <c r="G52" s="258"/>
      <c r="H52" s="258">
        <f>ROUND(0,0)</f>
        <v>0</v>
      </c>
      <c r="I52" s="257">
        <f>SUM(B52:H52)</f>
        <v>69982</v>
      </c>
      <c r="J52" s="251"/>
      <c r="K52" s="215"/>
      <c r="L52" s="215"/>
    </row>
    <row r="53" spans="1:12" s="247" customFormat="1" ht="18.600000000000001" thickBot="1" x14ac:dyDescent="0.35">
      <c r="A53" s="256" t="s">
        <v>272</v>
      </c>
      <c r="B53" s="255">
        <f>ROUND(0,0)</f>
        <v>0</v>
      </c>
      <c r="C53" s="255">
        <f>ROUND(0,0)</f>
        <v>0</v>
      </c>
      <c r="D53" s="255">
        <v>0</v>
      </c>
      <c r="E53" s="255">
        <v>0</v>
      </c>
      <c r="F53" s="255">
        <v>0</v>
      </c>
      <c r="G53" s="255">
        <v>0</v>
      </c>
      <c r="H53" s="255">
        <v>-2500</v>
      </c>
      <c r="I53" s="254">
        <f>SUM(B53:H53)</f>
        <v>-2500</v>
      </c>
      <c r="J53" s="251"/>
      <c r="K53" s="215"/>
      <c r="L53" s="215"/>
    </row>
    <row r="54" spans="1:12" s="247" customFormat="1" ht="18.600000000000001" thickBot="1" x14ac:dyDescent="0.35">
      <c r="A54" s="253" t="s">
        <v>271</v>
      </c>
      <c r="B54" s="252">
        <f t="shared" ref="B54:H54" si="10">SUM(B50:B53)</f>
        <v>206989</v>
      </c>
      <c r="C54" s="252">
        <f t="shared" si="10"/>
        <v>557</v>
      </c>
      <c r="D54" s="252">
        <f t="shared" si="10"/>
        <v>0</v>
      </c>
      <c r="E54" s="252">
        <f t="shared" si="10"/>
        <v>0</v>
      </c>
      <c r="F54" s="252">
        <f t="shared" si="10"/>
        <v>0</v>
      </c>
      <c r="G54" s="252">
        <f t="shared" si="10"/>
        <v>-137564</v>
      </c>
      <c r="H54" s="252">
        <f t="shared" si="10"/>
        <v>-2500</v>
      </c>
      <c r="I54" s="252">
        <f>SUM(B54:H54)</f>
        <v>67482</v>
      </c>
      <c r="J54" s="251"/>
      <c r="K54" s="215"/>
      <c r="L54" s="215"/>
    </row>
    <row r="55" spans="1:12" s="247" customFormat="1" ht="18.600000000000001" thickBot="1" x14ac:dyDescent="0.35">
      <c r="A55" s="253" t="s">
        <v>305</v>
      </c>
      <c r="B55" s="252">
        <f t="shared" ref="B55:I55" si="11">SUM(B48,B35,B54)</f>
        <v>216269</v>
      </c>
      <c r="C55" s="252">
        <f t="shared" si="11"/>
        <v>631</v>
      </c>
      <c r="D55" s="252">
        <f t="shared" si="11"/>
        <v>519</v>
      </c>
      <c r="E55" s="252">
        <f t="shared" si="11"/>
        <v>680</v>
      </c>
      <c r="F55" s="252">
        <f t="shared" si="11"/>
        <v>1680</v>
      </c>
      <c r="G55" s="252">
        <f t="shared" si="11"/>
        <v>-137564</v>
      </c>
      <c r="H55" s="252">
        <f t="shared" si="11"/>
        <v>294524</v>
      </c>
      <c r="I55" s="252">
        <f t="shared" si="11"/>
        <v>376739</v>
      </c>
      <c r="J55" s="251"/>
      <c r="K55" s="215"/>
      <c r="L55" s="215"/>
    </row>
    <row r="56" spans="1:12" s="247" customFormat="1" ht="18" x14ac:dyDescent="0.3">
      <c r="A56" s="250"/>
      <c r="B56" s="249"/>
      <c r="C56" s="249"/>
      <c r="D56" s="249"/>
      <c r="E56" s="249"/>
      <c r="F56" s="249"/>
      <c r="G56" s="249"/>
      <c r="H56" s="249"/>
      <c r="I56" s="249"/>
      <c r="J56" s="243"/>
      <c r="K56" s="248"/>
      <c r="L56" s="248"/>
    </row>
    <row r="57" spans="1:12" ht="18.75" customHeight="1" x14ac:dyDescent="0.3">
      <c r="A57" s="246" t="s">
        <v>12</v>
      </c>
      <c r="B57" s="245"/>
      <c r="C57" s="245"/>
      <c r="D57" s="245"/>
      <c r="E57" s="245"/>
      <c r="F57" s="245"/>
      <c r="G57" s="245"/>
      <c r="H57" s="245"/>
      <c r="I57" s="245"/>
      <c r="J57" s="243"/>
    </row>
    <row r="58" spans="1:12" ht="18.75" customHeight="1" x14ac:dyDescent="0.3">
      <c r="A58" s="244"/>
      <c r="B58" s="242"/>
      <c r="C58" s="242"/>
      <c r="D58" s="242"/>
      <c r="E58" s="242"/>
      <c r="F58" s="242"/>
      <c r="G58" s="242"/>
      <c r="H58" s="242"/>
      <c r="I58" s="242"/>
      <c r="J58" s="243"/>
    </row>
    <row r="59" spans="1:12" ht="18.75" customHeight="1" x14ac:dyDescent="0.3">
      <c r="A59" s="244"/>
      <c r="B59" s="242"/>
      <c r="C59" s="242"/>
      <c r="D59" s="242"/>
      <c r="E59" s="242"/>
      <c r="F59" s="242"/>
      <c r="G59" s="242"/>
      <c r="H59" s="242"/>
      <c r="I59" s="242"/>
      <c r="J59" s="243"/>
    </row>
    <row r="60" spans="1:12" ht="18.75" customHeight="1" x14ac:dyDescent="0.3">
      <c r="A60" s="236" t="s">
        <v>5</v>
      </c>
      <c r="B60" s="231"/>
      <c r="C60" s="231" t="s">
        <v>4</v>
      </c>
      <c r="D60" s="242"/>
      <c r="E60" s="242"/>
      <c r="F60" s="242"/>
      <c r="G60" s="242"/>
      <c r="H60" s="242"/>
      <c r="I60" s="242"/>
      <c r="J60" s="241"/>
    </row>
    <row r="61" spans="1:12" s="237" customFormat="1" ht="18.75" customHeight="1" x14ac:dyDescent="0.3">
      <c r="A61" s="236"/>
      <c r="B61" s="231"/>
      <c r="C61" s="231"/>
      <c r="D61" s="235"/>
      <c r="E61" s="235"/>
      <c r="F61" s="235"/>
      <c r="G61" s="235"/>
      <c r="H61" s="235"/>
      <c r="I61" s="235"/>
      <c r="J61" s="240"/>
      <c r="K61" s="238"/>
      <c r="L61" s="238"/>
    </row>
    <row r="62" spans="1:12" s="237" customFormat="1" ht="18.75" customHeight="1" x14ac:dyDescent="0.3">
      <c r="A62" s="236" t="s">
        <v>203</v>
      </c>
      <c r="B62" s="231"/>
      <c r="C62" s="231"/>
      <c r="D62" s="235"/>
      <c r="E62" s="235"/>
      <c r="F62" s="235"/>
      <c r="G62" s="235"/>
      <c r="H62" s="235"/>
      <c r="I62" s="235"/>
      <c r="J62" s="239"/>
      <c r="K62" s="238"/>
      <c r="L62" s="238"/>
    </row>
    <row r="63" spans="1:12" ht="18.75" customHeight="1" x14ac:dyDescent="0.3">
      <c r="A63" s="236" t="s">
        <v>3</v>
      </c>
      <c r="B63" s="230"/>
      <c r="C63" s="231" t="s">
        <v>2</v>
      </c>
      <c r="D63" s="230"/>
      <c r="E63" s="230"/>
      <c r="F63" s="230"/>
      <c r="G63" s="230"/>
      <c r="H63" s="235"/>
      <c r="I63" s="229"/>
      <c r="J63" s="233"/>
    </row>
    <row r="64" spans="1:12" ht="18.75" customHeight="1" x14ac:dyDescent="0.3">
      <c r="A64" s="234"/>
      <c r="B64" s="234"/>
      <c r="C64" s="234"/>
      <c r="D64" s="230"/>
      <c r="E64" s="230"/>
      <c r="F64" s="230"/>
      <c r="G64" s="230"/>
      <c r="H64" s="230"/>
      <c r="I64" s="229"/>
      <c r="J64" s="233"/>
    </row>
    <row r="65" spans="1:10" ht="18.75" customHeight="1" x14ac:dyDescent="0.3">
      <c r="A65" s="135" t="s">
        <v>202</v>
      </c>
      <c r="B65" s="232"/>
      <c r="C65" s="232"/>
      <c r="D65" s="230"/>
      <c r="E65" s="230"/>
      <c r="F65" s="230"/>
      <c r="G65" s="230"/>
      <c r="H65" s="230"/>
      <c r="I65" s="229"/>
      <c r="J65" s="228"/>
    </row>
    <row r="66" spans="1:10" ht="18.75" customHeight="1" x14ac:dyDescent="0.3">
      <c r="A66" s="135" t="s">
        <v>0</v>
      </c>
      <c r="B66" s="231"/>
      <c r="C66" s="231"/>
      <c r="D66" s="230"/>
      <c r="E66" s="230"/>
      <c r="F66" s="230"/>
      <c r="G66" s="230"/>
      <c r="H66" s="230"/>
      <c r="I66" s="229"/>
      <c r="J66" s="228"/>
    </row>
    <row r="67" spans="1:10" ht="18.75" customHeight="1" x14ac:dyDescent="0.3">
      <c r="A67" s="227" t="s">
        <v>270</v>
      </c>
      <c r="B67" s="226">
        <f>Ф.1!$D45-Ф.4!B13</f>
        <v>0</v>
      </c>
      <c r="C67" s="226">
        <f>Ф.1!$D46-Ф.4!C13</f>
        <v>0</v>
      </c>
      <c r="D67" s="226">
        <f>Ф.1!$D48-Ф.4!D13</f>
        <v>0</v>
      </c>
      <c r="E67" s="226">
        <f>Ф.1!$D49-Ф.4!E13</f>
        <v>0</v>
      </c>
      <c r="F67" s="226">
        <f>Ф.1!$D47-Ф.4!F13</f>
        <v>0</v>
      </c>
      <c r="G67" s="226">
        <f>Ф.1!$D50-Ф.4!G13</f>
        <v>0</v>
      </c>
      <c r="H67" s="226">
        <f>Ф.1!$D51-Ф.4!H13</f>
        <v>0</v>
      </c>
      <c r="I67" s="225">
        <f>Ф.1!$D52-Ф.4!I13</f>
        <v>0</v>
      </c>
      <c r="J67" s="219"/>
    </row>
    <row r="68" spans="1:10" ht="18.75" customHeight="1" x14ac:dyDescent="0.3">
      <c r="A68" s="224" t="s">
        <v>269</v>
      </c>
      <c r="B68" s="223">
        <f>Ф.1!$C45-Ф.4!B33</f>
        <v>0</v>
      </c>
      <c r="C68" s="223">
        <f>Ф.1!$C46-Ф.4!C33</f>
        <v>0</v>
      </c>
      <c r="D68" s="223">
        <f>Ф.1!$C48-Ф.4!D33</f>
        <v>0</v>
      </c>
      <c r="E68" s="223">
        <f>Ф.1!$C49-Ф.4!E33</f>
        <v>0</v>
      </c>
      <c r="F68" s="223">
        <f>Ф.1!$C47-Ф.4!F33</f>
        <v>0</v>
      </c>
      <c r="G68" s="223">
        <f>Ф.1!$C50-Ф.4!G33</f>
        <v>0</v>
      </c>
      <c r="H68" s="223">
        <f>Ф.1!$C51-Ф.4!H33</f>
        <v>0</v>
      </c>
      <c r="I68" s="222">
        <f>Ф.1!$C52-Ф.4!I33</f>
        <v>0</v>
      </c>
      <c r="J68" s="219"/>
    </row>
    <row r="69" spans="1:10" ht="17.399999999999999" x14ac:dyDescent="0.3">
      <c r="A69" s="218"/>
      <c r="H69" s="214"/>
      <c r="J69" s="219"/>
    </row>
    <row r="70" spans="1:10" ht="17.399999999999999" x14ac:dyDescent="0.3">
      <c r="A70" s="218"/>
      <c r="H70" s="214"/>
      <c r="J70" s="219"/>
    </row>
    <row r="71" spans="1:10" ht="17.399999999999999" x14ac:dyDescent="0.3">
      <c r="A71" s="221"/>
      <c r="B71" s="219"/>
      <c r="C71" s="220"/>
      <c r="D71" s="220"/>
      <c r="E71" s="220"/>
      <c r="F71" s="220"/>
      <c r="G71" s="220"/>
      <c r="H71" s="219"/>
      <c r="I71" s="219"/>
      <c r="J71" s="219"/>
    </row>
    <row r="72" spans="1:10" ht="17.399999999999999" x14ac:dyDescent="0.3">
      <c r="A72" s="218"/>
      <c r="B72" s="214"/>
      <c r="H72" s="214"/>
    </row>
    <row r="73" spans="1:10" ht="17.399999999999999" x14ac:dyDescent="0.3"/>
    <row r="74" spans="1:10" ht="17.399999999999999" x14ac:dyDescent="0.3"/>
    <row r="75" spans="1:10" ht="17.399999999999999" x14ac:dyDescent="0.3"/>
    <row r="76" spans="1:10" ht="17.399999999999999" x14ac:dyDescent="0.3"/>
    <row r="77" spans="1:10" ht="17.399999999999999" x14ac:dyDescent="0.3"/>
    <row r="78" spans="1:10" ht="17.399999999999999" x14ac:dyDescent="0.3"/>
  </sheetData>
  <sheetProtection formatCells="0" formatColumns="0" formatRows="0"/>
  <protectedRanges>
    <protectedRange algorithmName="SHA-512" hashValue="u9DtduyKPKgk9A1iYgKnA/AgqJnDcg9xFEpcwhhlFVedWRsDLPBZnf3pa+jANPm4rjBQacOzD0lelNIznUSFIg==" saltValue="NBF6I8H+qHrJHWxbcH49Fw==" spinCount="100000" sqref="D18:D20 E21 B24:H24 F28 H28 H37 D40:D42 E43 F46 B50:C52" name="Range1"/>
  </protectedRanges>
  <mergeCells count="4">
    <mergeCell ref="A10:I10"/>
    <mergeCell ref="A9:I9"/>
    <mergeCell ref="A8:I8"/>
    <mergeCell ref="A7:I7"/>
  </mergeCells>
  <conditionalFormatting sqref="K14">
    <cfRule type="cellIs" dxfId="10" priority="11" operator="notEqual">
      <formula>0</formula>
    </cfRule>
  </conditionalFormatting>
  <conditionalFormatting sqref="L14">
    <cfRule type="cellIs" dxfId="9" priority="10" operator="notEqual">
      <formula>0</formula>
    </cfRule>
  </conditionalFormatting>
  <conditionalFormatting sqref="L29">
    <cfRule type="cellIs" dxfId="8" priority="9" operator="notEqual">
      <formula>0</formula>
    </cfRule>
  </conditionalFormatting>
  <conditionalFormatting sqref="L28">
    <cfRule type="cellIs" dxfId="7" priority="8" operator="notEqual">
      <formula>0</formula>
    </cfRule>
  </conditionalFormatting>
  <conditionalFormatting sqref="L26:L27">
    <cfRule type="cellIs" dxfId="6" priority="7" operator="notEqual">
      <formula>0</formula>
    </cfRule>
  </conditionalFormatting>
  <conditionalFormatting sqref="K15">
    <cfRule type="cellIs" dxfId="5" priority="6" operator="notEqual">
      <formula>0</formula>
    </cfRule>
  </conditionalFormatting>
  <conditionalFormatting sqref="K18:K22">
    <cfRule type="cellIs" dxfId="4" priority="5" operator="notEqual">
      <formula>0</formula>
    </cfRule>
  </conditionalFormatting>
  <conditionalFormatting sqref="K37">
    <cfRule type="cellIs" dxfId="3" priority="4" operator="notEqual">
      <formula>0</formula>
    </cfRule>
  </conditionalFormatting>
  <conditionalFormatting sqref="K40:K44">
    <cfRule type="cellIs" dxfId="2" priority="3" operator="notEqual">
      <formula>0</formula>
    </cfRule>
  </conditionalFormatting>
  <conditionalFormatting sqref="K46">
    <cfRule type="cellIs" dxfId="1" priority="2" operator="notEqual">
      <formula>0</formula>
    </cfRule>
  </conditionalFormatting>
  <conditionalFormatting sqref="K48">
    <cfRule type="cellIs" dxfId="0" priority="1" operator="notEqual">
      <formula>0</formula>
    </cfRule>
  </conditionalFormatting>
  <pageMargins left="0.51181102362204722" right="0.51181102362204722" top="0.74803149606299213" bottom="0.35433070866141736" header="0.31496062992125984" footer="0.31496062992125984"/>
  <pageSetup paperSize="9" scale="3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Ф.1</vt:lpstr>
      <vt:lpstr>Ф.2</vt:lpstr>
      <vt:lpstr>Ф.3</vt:lpstr>
      <vt:lpstr>Ф.4</vt:lpstr>
      <vt:lpstr>Ф.1!Область_печати</vt:lpstr>
      <vt:lpstr>Ф.2!Область_печати</vt:lpstr>
      <vt:lpstr>Ф.3!Область_печати</vt:lpstr>
      <vt:lpstr>Ф.4!Область_печати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Asel</dc:creator>
  <cp:lastModifiedBy>Жораева Жанна Балтабаевна</cp:lastModifiedBy>
  <dcterms:created xsi:type="dcterms:W3CDTF">2020-07-26T06:39:45Z</dcterms:created>
  <dcterms:modified xsi:type="dcterms:W3CDTF">2020-07-29T10:24:17Z</dcterms:modified>
</cp:coreProperties>
</file>