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Листинг\3 кв 2022\Публикация\"/>
    </mc:Choice>
  </mc:AlternateContent>
  <xr:revisionPtr revIDLastSave="0" documentId="13_ncr:1_{54177790-AFD7-4927-ABA2-FE3CB70E2BF9}" xr6:coauthVersionLast="47" xr6:coauthVersionMax="47" xr10:uidLastSave="{00000000-0000-0000-0000-000000000000}"/>
  <bookViews>
    <workbookView xWindow="-120" yWindow="-120" windowWidth="29040" windowHeight="15840" xr2:uid="{28FCBEEE-F8D2-4528-A1D9-8A02136B3969}"/>
  </bookViews>
  <sheets>
    <sheet name="ОПиУ 3 кв 2022_2021" sheetId="14" r:id="rId1"/>
    <sheet name="Баланс 30092022" sheetId="16" r:id="rId2"/>
    <sheet name="Отчет СК 30092022" sheetId="18" r:id="rId3"/>
    <sheet name="Отчет ДДС на 30092022" sheetId="36" r:id="rId4"/>
    <sheet name="Анализ 5710 2 кв " sheetId="32" state="hidden" r:id="rId5"/>
    <sheet name="Лист2" sheetId="33" state="hidden" r:id="rId6"/>
    <sheet name="5610 1 кв 2022_2021" sheetId="30" state="hidden" r:id="rId7"/>
    <sheet name="Операционные расходы" sheetId="29" state="hidden" r:id="rId8"/>
    <sheet name="ОСВ TPFA" sheetId="31" state="hidden" r:id="rId9"/>
    <sheet name="Лист1" sheetId="26" state="hidden" r:id="rId10"/>
    <sheet name="Отчет СК (2)" sheetId="13" state="hidden" r:id="rId11"/>
    <sheet name="Отчет СК" sheetId="4" state="hidden" r:id="rId12"/>
    <sheet name="ОСВ 2 кв 2021" sheetId="17" state="hidden" r:id="rId13"/>
    <sheet name="Баланс" sheetId="2" state="hidden" r:id="rId14"/>
    <sheet name="ДДС" sheetId="11" state="hidden" r:id="rId15"/>
    <sheet name="ОПиУ" sheetId="1" state="hidden" r:id="rId16"/>
    <sheet name="Примечание к балансу" sheetId="6" state="hidden" r:id="rId17"/>
    <sheet name="Связаные стороны" sheetId="7" state="hidden" r:id="rId18"/>
    <sheet name="Опер расходы" sheetId="9" state="hidden" r:id="rId19"/>
    <sheet name="расчет к ОПиУ" sheetId="8" state="hidden" r:id="rId20"/>
    <sheet name="ОСВ 2021" sheetId="10" state="hidden" r:id="rId21"/>
    <sheet name="расчеты к ДДС" sheetId="12" state="hidden" r:id="rId22"/>
    <sheet name="Расчеты к ДДС2021" sheetId="25" state="hidden" r:id="rId23"/>
  </sheets>
  <externalReferences>
    <externalReference r:id="rId24"/>
  </externalReferences>
  <definedNames>
    <definedName name="_Hlk32851897" localSheetId="16">'Примечание к балансу'!#REF!</definedName>
    <definedName name="_Hlk37743096" localSheetId="17">'Связаные стороны'!$A$2</definedName>
    <definedName name="_Hlk60159346" localSheetId="15">ОПиУ!$A$2</definedName>
    <definedName name="_Hlk60159346" localSheetId="0">'ОПиУ 3 кв 2022_2021'!$A$2</definedName>
    <definedName name="_Hlk60161417" localSheetId="16">'Примечание к балансу'!#REF!</definedName>
    <definedName name="_Hlk68541205" localSheetId="16">'Примечание к балансу'!$A$8</definedName>
    <definedName name="_Hlk69405659" localSheetId="16">'Примечание к балансу'!#REF!</definedName>
    <definedName name="_Hlk69715734" localSheetId="17">'Связаные стороны'!$A$8</definedName>
    <definedName name="_Toc68943827" localSheetId="16">'Примечание к балансу'!$A$1</definedName>
    <definedName name="_Toc68943828" localSheetId="16">'Примечание к балансу'!$A$5</definedName>
    <definedName name="_Toc68943829" localSheetId="16">'Примечание к балансу'!$A$7</definedName>
    <definedName name="_Toc68943830" localSheetId="16">'Примечание к балансу'!$A$14</definedName>
    <definedName name="_Toc68943831" localSheetId="16">'Примечание к балансу'!$A$27</definedName>
    <definedName name="_Toc68943832" localSheetId="16">'Примечание к балансу'!$A$28</definedName>
    <definedName name="_Toc68943833" localSheetId="16">'Примечание к балансу'!$A$52</definedName>
    <definedName name="_Toc68943834" localSheetId="16">'Примечание к балансу'!$A$61</definedName>
    <definedName name="_Toc68943835" localSheetId="16">'Примечание к балансу'!#REF!</definedName>
    <definedName name="_Toc68943836" localSheetId="16">'Примечание к балансу'!#REF!</definedName>
    <definedName name="_Toc68943839" localSheetId="17">'Связаные стороны'!$A$1</definedName>
    <definedName name="_xlnm._FilterDatabase" localSheetId="9" hidden="1">Лист1!$A$3:$N$124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TextRefCopyRangeCount" hidden="1">3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13">Баланс!$A$1:$E$29</definedName>
    <definedName name="_xlnm.Print_Area" localSheetId="1">'Баланс 30092022'!$A$1:$E$50</definedName>
    <definedName name="_xlnm.Print_Area" localSheetId="14">ДДС!$A$1:$D$57</definedName>
    <definedName name="_xlnm.Print_Area" localSheetId="15">ОПиУ!$A$1:$F$20</definedName>
    <definedName name="_xlnm.Print_Area" localSheetId="0">'ОПиУ 3 кв 2022_2021'!$A$1:$D$38</definedName>
    <definedName name="_xlnm.Print_Area" localSheetId="20">'ОСВ 2021'!$A$1:$G$109</definedName>
    <definedName name="_xlnm.Print_Area" localSheetId="3">'Отчет ДДС на 30092022'!$A$1:$D$52</definedName>
    <definedName name="_xlnm.Print_Area" localSheetId="11">'Отчет СК'!$A$1:$E$18</definedName>
    <definedName name="_xlnm.Print_Area" localSheetId="10">'Отчет СК (2)'!$A$1:$E$18</definedName>
    <definedName name="_xlnm.Print_Area" localSheetId="2">'Отчет СК 30092022'!$A$1:$F$31</definedName>
    <definedName name="_xlnm.Print_Area" localSheetId="16">'Примечание к балансу'!$A$1:$D$69</definedName>
    <definedName name="_xlnm.Print_Area" localSheetId="21">'расчеты к ДДС'!$A$1:$N$468</definedName>
    <definedName name="_xlnm.Print_Area" localSheetId="17">'Связаные стороны'!$A$1:$F$26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8" l="1"/>
  <c r="A29" i="36" l="1"/>
  <c r="A28" i="36"/>
  <c r="L6" i="33" l="1"/>
  <c r="K6" i="33"/>
  <c r="M30" i="33"/>
  <c r="F28" i="33"/>
  <c r="L30" i="33"/>
  <c r="E28" i="33"/>
  <c r="D21" i="33"/>
  <c r="E21" i="33"/>
  <c r="C21" i="33"/>
  <c r="E20" i="33"/>
  <c r="E19" i="33"/>
  <c r="E18" i="33"/>
  <c r="D20" i="33"/>
  <c r="C20" i="33"/>
  <c r="D18" i="33"/>
  <c r="D19" i="33"/>
  <c r="A19" i="33"/>
  <c r="A18" i="33"/>
  <c r="C19" i="33"/>
  <c r="C18" i="33"/>
  <c r="S153" i="32" l="1"/>
  <c r="S158" i="32" s="1"/>
  <c r="T158" i="32"/>
  <c r="T157" i="32"/>
  <c r="S157" i="32"/>
  <c r="U157" i="32"/>
  <c r="U154" i="32"/>
  <c r="U155" i="32"/>
  <c r="U156" i="32"/>
  <c r="S156" i="32"/>
  <c r="U153" i="32"/>
  <c r="S155" i="32"/>
  <c r="S154" i="32"/>
  <c r="S152" i="32"/>
  <c r="S150" i="32"/>
  <c r="S148" i="32"/>
  <c r="S149" i="32"/>
  <c r="T156" i="32"/>
  <c r="S147" i="32"/>
  <c r="T147" i="32"/>
  <c r="T146" i="32"/>
  <c r="S146" i="32"/>
  <c r="T155" i="32"/>
  <c r="T154" i="32"/>
  <c r="T153" i="32"/>
  <c r="U148" i="32"/>
  <c r="U152" i="32"/>
  <c r="T152" i="32"/>
  <c r="S151" i="32"/>
  <c r="U151" i="32"/>
  <c r="T151" i="32"/>
  <c r="U150" i="32"/>
  <c r="T150" i="32"/>
  <c r="U149" i="32"/>
  <c r="T149" i="32"/>
  <c r="T148" i="32"/>
  <c r="T81" i="32"/>
  <c r="T82" i="32"/>
  <c r="T83" i="32"/>
  <c r="T84" i="32"/>
  <c r="T85" i="32"/>
  <c r="T86" i="32"/>
  <c r="T87" i="32"/>
  <c r="T88" i="32"/>
  <c r="T89" i="32"/>
  <c r="T90" i="32"/>
  <c r="T91" i="32"/>
  <c r="T92" i="32"/>
  <c r="T93" i="32"/>
  <c r="T94" i="32"/>
  <c r="T95" i="32"/>
  <c r="T96" i="32"/>
  <c r="T97" i="32"/>
  <c r="T98" i="32"/>
  <c r="T99" i="32"/>
  <c r="T100" i="32"/>
  <c r="T101" i="32"/>
  <c r="T102" i="32"/>
  <c r="T103" i="32"/>
  <c r="T104" i="32"/>
  <c r="T105" i="32"/>
  <c r="T106" i="32"/>
  <c r="T107" i="32"/>
  <c r="T108" i="32"/>
  <c r="T109" i="32"/>
  <c r="T110" i="32"/>
  <c r="T111" i="32"/>
  <c r="T112" i="32"/>
  <c r="T113" i="32"/>
  <c r="T114" i="32"/>
  <c r="T115" i="32"/>
  <c r="T116" i="32"/>
  <c r="T117" i="32"/>
  <c r="T118" i="32"/>
  <c r="T119" i="32"/>
  <c r="T120" i="32"/>
  <c r="T121" i="32"/>
  <c r="T122" i="32"/>
  <c r="T123" i="32"/>
  <c r="T124" i="32"/>
  <c r="T125" i="32"/>
  <c r="T126" i="32"/>
  <c r="T127" i="32"/>
  <c r="T128" i="32"/>
  <c r="T129" i="32"/>
  <c r="T130" i="32"/>
  <c r="T131" i="32"/>
  <c r="T132" i="32"/>
  <c r="T133" i="32"/>
  <c r="T134" i="32"/>
  <c r="T135" i="32"/>
  <c r="T136" i="32"/>
  <c r="T137" i="32"/>
  <c r="T138" i="32"/>
  <c r="T139" i="32"/>
  <c r="T140" i="32"/>
  <c r="T141" i="32"/>
  <c r="T142" i="32"/>
  <c r="T143" i="32"/>
  <c r="T144" i="32"/>
  <c r="T145" i="32"/>
  <c r="T80" i="32"/>
  <c r="M113" i="32"/>
  <c r="L93" i="32"/>
  <c r="L94" i="32"/>
  <c r="L95" i="32"/>
  <c r="L96" i="32"/>
  <c r="L97" i="32"/>
  <c r="L98" i="32"/>
  <c r="L99" i="32"/>
  <c r="L100" i="32"/>
  <c r="L101" i="32"/>
  <c r="L102" i="32"/>
  <c r="L103" i="32"/>
  <c r="L104" i="32"/>
  <c r="L105" i="32"/>
  <c r="L106" i="32"/>
  <c r="L107" i="32"/>
  <c r="L108" i="32"/>
  <c r="L109" i="32"/>
  <c r="L110" i="32"/>
  <c r="L111" i="32"/>
  <c r="L112" i="32"/>
  <c r="L113" i="32"/>
  <c r="L114" i="32"/>
  <c r="L115" i="32"/>
  <c r="L92" i="32"/>
  <c r="M77" i="32"/>
  <c r="M78" i="32"/>
  <c r="M79" i="32"/>
  <c r="M80" i="32"/>
  <c r="M81" i="32"/>
  <c r="M82" i="32"/>
  <c r="M83" i="32"/>
  <c r="M84" i="32"/>
  <c r="M85" i="32"/>
  <c r="M86" i="32"/>
  <c r="M87" i="32"/>
  <c r="M88" i="32"/>
  <c r="M89" i="32"/>
  <c r="M90" i="32"/>
  <c r="M91" i="32"/>
  <c r="M76" i="32"/>
  <c r="L74" i="32"/>
  <c r="T75" i="32"/>
  <c r="T76" i="32"/>
  <c r="T77" i="32"/>
  <c r="T74" i="32"/>
  <c r="T159" i="32" l="1"/>
  <c r="E92" i="32" l="1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91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76" i="32"/>
  <c r="E74" i="32"/>
  <c r="V9" i="32" l="1"/>
  <c r="V20" i="32" s="1"/>
  <c r="U69" i="32" s="1"/>
  <c r="V66" i="32"/>
  <c r="V17" i="32"/>
  <c r="V15" i="32"/>
  <c r="V14" i="32"/>
  <c r="V11" i="32"/>
  <c r="V10" i="32"/>
  <c r="T71" i="32"/>
  <c r="T70" i="32"/>
  <c r="W17" i="32"/>
  <c r="W15" i="32"/>
  <c r="W14" i="32"/>
  <c r="W13" i="32"/>
  <c r="V13" i="32"/>
  <c r="W12" i="32"/>
  <c r="W11" i="32"/>
  <c r="W10" i="32"/>
  <c r="W9" i="32"/>
  <c r="W8" i="32"/>
  <c r="K8" i="29"/>
  <c r="V12" i="32"/>
  <c r="K4" i="29"/>
  <c r="K5" i="29"/>
  <c r="K7" i="29"/>
  <c r="V8" i="32"/>
  <c r="K3" i="29"/>
  <c r="K2" i="29"/>
  <c r="K1" i="29"/>
  <c r="W66" i="32" l="1"/>
  <c r="T6" i="32"/>
  <c r="T7" i="32"/>
  <c r="T8" i="32"/>
  <c r="T9" i="32"/>
  <c r="T10" i="32"/>
  <c r="T11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29" i="32"/>
  <c r="T30" i="32"/>
  <c r="T31" i="32"/>
  <c r="T32" i="32"/>
  <c r="T33" i="32"/>
  <c r="T34" i="32"/>
  <c r="T35" i="32"/>
  <c r="T36" i="32"/>
  <c r="T37" i="32"/>
  <c r="T38" i="32"/>
  <c r="T39" i="32"/>
  <c r="T40" i="32"/>
  <c r="T41" i="32"/>
  <c r="T42" i="32"/>
  <c r="T43" i="32"/>
  <c r="T44" i="32"/>
  <c r="T45" i="32"/>
  <c r="T46" i="32"/>
  <c r="T47" i="32"/>
  <c r="T48" i="32"/>
  <c r="T49" i="32"/>
  <c r="T50" i="32"/>
  <c r="T51" i="32"/>
  <c r="T52" i="32"/>
  <c r="T53" i="32"/>
  <c r="T54" i="32"/>
  <c r="T55" i="32"/>
  <c r="T56" i="32"/>
  <c r="T57" i="32"/>
  <c r="T58" i="32"/>
  <c r="T59" i="32"/>
  <c r="T60" i="32"/>
  <c r="T61" i="32"/>
  <c r="T62" i="32"/>
  <c r="T63" i="32"/>
  <c r="T64" i="32"/>
  <c r="T65" i="32"/>
  <c r="T66" i="32"/>
  <c r="T67" i="32"/>
  <c r="T68" i="32"/>
  <c r="T69" i="32"/>
  <c r="T5" i="32"/>
  <c r="T3" i="32"/>
  <c r="T2" i="32"/>
  <c r="P10" i="32"/>
  <c r="P9" i="32"/>
  <c r="P8" i="32"/>
  <c r="P14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4" i="32"/>
  <c r="N35" i="32"/>
  <c r="N36" i="32"/>
  <c r="N37" i="32"/>
  <c r="N38" i="32"/>
  <c r="N39" i="32"/>
  <c r="N18" i="32"/>
  <c r="O6" i="32"/>
  <c r="O7" i="32"/>
  <c r="O8" i="32"/>
  <c r="O9" i="32"/>
  <c r="O10" i="32"/>
  <c r="O11" i="32"/>
  <c r="O12" i="32"/>
  <c r="O13" i="32"/>
  <c r="O14" i="32"/>
  <c r="O15" i="32"/>
  <c r="O16" i="32"/>
  <c r="O17" i="32"/>
  <c r="O5" i="32"/>
  <c r="N3" i="32"/>
  <c r="H21" i="32"/>
  <c r="H20" i="32"/>
  <c r="H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19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6" i="32"/>
  <c r="E4" i="32"/>
  <c r="J32" i="31" l="1"/>
  <c r="I32" i="31"/>
  <c r="J30" i="31"/>
  <c r="I30" i="31"/>
  <c r="J28" i="31"/>
  <c r="I28" i="31"/>
  <c r="J20" i="31"/>
  <c r="I20" i="31"/>
  <c r="J16" i="31"/>
  <c r="I16" i="31"/>
  <c r="J7" i="31"/>
  <c r="I7" i="31"/>
  <c r="J3" i="31"/>
  <c r="I3" i="31"/>
  <c r="O12" i="30"/>
  <c r="M12" i="30"/>
  <c r="M11" i="30"/>
  <c r="O14" i="30"/>
  <c r="O13" i="30"/>
  <c r="O18" i="30"/>
  <c r="N35" i="30"/>
  <c r="S14" i="30"/>
  <c r="S13" i="30"/>
  <c r="S10" i="30"/>
  <c r="S11" i="30"/>
  <c r="S12" i="30"/>
  <c r="S9" i="30"/>
  <c r="K6" i="29"/>
  <c r="E41" i="29"/>
  <c r="E39" i="29"/>
  <c r="E40" i="29"/>
  <c r="E38" i="29"/>
  <c r="B57" i="29"/>
  <c r="C57" i="29" s="1"/>
  <c r="B56" i="29"/>
  <c r="B55" i="29"/>
  <c r="C56" i="29"/>
  <c r="C55" i="29"/>
  <c r="E42" i="29"/>
  <c r="E1" i="29"/>
  <c r="D32" i="29" l="1"/>
  <c r="F10" i="30"/>
  <c r="G17" i="30"/>
  <c r="G38" i="30"/>
  <c r="E10" i="30"/>
  <c r="G14" i="30"/>
  <c r="G13" i="30"/>
  <c r="G12" i="30"/>
  <c r="S1" i="30"/>
  <c r="S6" i="30"/>
  <c r="S5" i="30"/>
  <c r="S3" i="30"/>
  <c r="S2" i="30"/>
  <c r="I2" i="29"/>
  <c r="I3" i="29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60" i="29" s="1"/>
  <c r="I42" i="29"/>
  <c r="I43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1" i="29"/>
  <c r="C2" i="29"/>
  <c r="C3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1" i="29"/>
  <c r="M35" i="30"/>
  <c r="M36" i="30"/>
  <c r="M37" i="30"/>
  <c r="M34" i="30"/>
  <c r="M32" i="30"/>
  <c r="M29" i="30"/>
  <c r="M27" i="30"/>
  <c r="M23" i="30"/>
  <c r="M18" i="30"/>
  <c r="L16" i="30"/>
  <c r="L14" i="30"/>
  <c r="L11" i="30"/>
  <c r="L9" i="30"/>
  <c r="L8" i="30"/>
  <c r="L7" i="30"/>
  <c r="L5" i="30"/>
  <c r="L3" i="30"/>
  <c r="F22" i="30"/>
  <c r="F26" i="30"/>
  <c r="F29" i="30"/>
  <c r="F31" i="30"/>
  <c r="F32" i="30"/>
  <c r="F35" i="30"/>
  <c r="F37" i="30"/>
  <c r="F38" i="30"/>
  <c r="F39" i="30"/>
  <c r="F40" i="30"/>
  <c r="F41" i="30"/>
  <c r="F21" i="30"/>
  <c r="E7" i="30"/>
  <c r="E8" i="30"/>
  <c r="E12" i="30"/>
  <c r="E15" i="30"/>
  <c r="E18" i="30"/>
  <c r="E19" i="30"/>
  <c r="E20" i="30"/>
  <c r="E5" i="30"/>
  <c r="E3" i="30"/>
  <c r="C54" i="29" l="1"/>
  <c r="E9" i="18" l="1"/>
  <c r="E14" i="18" s="1"/>
  <c r="F18" i="18" l="1"/>
  <c r="F15" i="18"/>
  <c r="D13" i="18"/>
  <c r="D16" i="18" s="1"/>
  <c r="D19" i="18" s="1"/>
  <c r="C13" i="18"/>
  <c r="C16" i="18" s="1"/>
  <c r="C19" i="18" s="1"/>
  <c r="B13" i="18"/>
  <c r="B16" i="18" s="1"/>
  <c r="B19" i="18" s="1"/>
  <c r="F12" i="18"/>
  <c r="F11" i="18"/>
  <c r="F10" i="18"/>
  <c r="F8" i="18"/>
  <c r="F7" i="18"/>
  <c r="F6" i="18"/>
  <c r="G127" i="26" l="1"/>
  <c r="G126" i="26"/>
  <c r="G248" i="26"/>
  <c r="G247" i="26"/>
  <c r="V159" i="25"/>
  <c r="V158" i="25"/>
  <c r="V157" i="25"/>
  <c r="V156" i="25"/>
  <c r="V155" i="25"/>
  <c r="V153" i="25"/>
  <c r="U153" i="25"/>
  <c r="U152" i="25"/>
  <c r="V151" i="25"/>
  <c r="V150" i="25"/>
  <c r="U151" i="25"/>
  <c r="U150" i="25"/>
  <c r="X17" i="25"/>
  <c r="V148" i="25"/>
  <c r="V147" i="25"/>
  <c r="U147" i="25"/>
  <c r="U145" i="25"/>
  <c r="U144" i="25"/>
  <c r="U143" i="25"/>
  <c r="V143" i="25"/>
  <c r="V144" i="25"/>
  <c r="R163" i="25"/>
  <c r="S8" i="25"/>
  <c r="W12" i="25"/>
  <c r="V14" i="25"/>
  <c r="V76" i="25"/>
  <c r="V74" i="25"/>
  <c r="V72" i="25"/>
  <c r="U131" i="25"/>
  <c r="R104" i="25"/>
  <c r="S95" i="25"/>
  <c r="S14" i="25"/>
  <c r="S159" i="25"/>
  <c r="S158" i="25"/>
  <c r="S153" i="25"/>
  <c r="R149" i="25"/>
  <c r="R145" i="25"/>
  <c r="R143" i="25"/>
  <c r="R142" i="25"/>
  <c r="R138" i="25"/>
  <c r="R133" i="25"/>
  <c r="R131" i="25"/>
  <c r="S126" i="25"/>
  <c r="S122" i="25"/>
  <c r="S118" i="25"/>
  <c r="S116" i="25"/>
  <c r="S112" i="25"/>
  <c r="S107" i="25"/>
  <c r="R103" i="25"/>
  <c r="R102" i="25"/>
  <c r="S98" i="25"/>
  <c r="S86" i="25"/>
  <c r="S81" i="25"/>
  <c r="S76" i="25"/>
  <c r="S72" i="25"/>
  <c r="S68" i="25"/>
  <c r="S64" i="25"/>
  <c r="S62" i="25"/>
  <c r="S58" i="25"/>
  <c r="S53" i="25"/>
  <c r="S48" i="25"/>
  <c r="S44" i="25"/>
  <c r="S40" i="25"/>
  <c r="S38" i="25"/>
  <c r="S37" i="25"/>
  <c r="S33" i="25"/>
  <c r="S29" i="25"/>
  <c r="S24" i="25"/>
  <c r="S22" i="25"/>
  <c r="S18" i="25"/>
  <c r="S12" i="25"/>
  <c r="S7" i="25"/>
  <c r="R5" i="25"/>
  <c r="R3" i="25"/>
  <c r="E293" i="25" l="1"/>
  <c r="H264" i="25"/>
  <c r="L295" i="25"/>
  <c r="E305" i="25"/>
  <c r="K8" i="25"/>
  <c r="L294" i="25"/>
  <c r="L288" i="25"/>
  <c r="L287" i="25" l="1"/>
  <c r="L293" i="25" s="1"/>
  <c r="L286" i="25"/>
  <c r="K293" i="25"/>
  <c r="K289" i="25"/>
  <c r="K288" i="25"/>
  <c r="K287" i="25"/>
  <c r="K286" i="25"/>
  <c r="K7" i="25"/>
  <c r="K6" i="25"/>
  <c r="F121" i="25"/>
  <c r="K5" i="25"/>
  <c r="K4" i="25"/>
  <c r="K3" i="25"/>
  <c r="K2" i="25"/>
  <c r="F53" i="25" l="1"/>
  <c r="F98" i="25"/>
  <c r="F82" i="25"/>
  <c r="F61" i="25"/>
  <c r="F64" i="25"/>
  <c r="F46" i="25"/>
  <c r="H117" i="25"/>
  <c r="F154" i="25"/>
  <c r="F183" i="25"/>
  <c r="F221" i="25"/>
  <c r="F241" i="25"/>
  <c r="G232" i="25"/>
  <c r="F232" i="25"/>
  <c r="F237" i="25"/>
  <c r="F226" i="25"/>
  <c r="F252" i="25"/>
  <c r="E246" i="25"/>
  <c r="F275" i="25"/>
  <c r="E205" i="25"/>
  <c r="F169" i="25"/>
  <c r="F264" i="25"/>
  <c r="E261" i="25"/>
  <c r="F35" i="25"/>
  <c r="E29" i="25"/>
  <c r="E26" i="25"/>
  <c r="F21" i="25"/>
  <c r="F17" i="25"/>
  <c r="E302" i="25"/>
  <c r="E281" i="25"/>
  <c r="F272" i="25"/>
  <c r="E218" i="25"/>
  <c r="E201" i="25"/>
  <c r="E175" i="25"/>
  <c r="F160" i="25"/>
  <c r="F158" i="25"/>
  <c r="F146" i="25"/>
  <c r="F140" i="25"/>
  <c r="F135" i="25"/>
  <c r="F130" i="25"/>
  <c r="F122" i="25"/>
  <c r="F117" i="25"/>
  <c r="F114" i="25"/>
  <c r="F106" i="25"/>
  <c r="F90" i="25"/>
  <c r="F74" i="25"/>
  <c r="F43" i="25"/>
  <c r="F15" i="25"/>
  <c r="F7" i="25"/>
  <c r="E5" i="25"/>
  <c r="E4" i="25"/>
  <c r="D9" i="13" l="1"/>
  <c r="E9" i="13" l="1"/>
  <c r="G190" i="17"/>
  <c r="P45" i="17"/>
  <c r="P50" i="17" s="1"/>
  <c r="P46" i="17"/>
  <c r="P164" i="17"/>
  <c r="P163" i="17"/>
  <c r="P161" i="17"/>
  <c r="P160" i="17"/>
  <c r="K145" i="17"/>
  <c r="P159" i="17" s="1"/>
  <c r="J145" i="17"/>
  <c r="P158" i="17"/>
  <c r="P157" i="17"/>
  <c r="J5" i="17"/>
  <c r="L100" i="17"/>
  <c r="K100" i="17"/>
  <c r="P47" i="17"/>
  <c r="P44" i="17"/>
  <c r="P43" i="17"/>
  <c r="P42" i="17"/>
  <c r="P41" i="17"/>
  <c r="P40" i="17"/>
  <c r="G191" i="17"/>
  <c r="G189" i="17"/>
  <c r="G188" i="17"/>
  <c r="K120" i="17"/>
  <c r="J120" i="17"/>
  <c r="K126" i="17"/>
  <c r="J126" i="17"/>
  <c r="K133" i="17"/>
  <c r="J133" i="17"/>
  <c r="K141" i="17"/>
  <c r="J141" i="17"/>
  <c r="K142" i="17"/>
  <c r="J142" i="17"/>
  <c r="K146" i="17"/>
  <c r="J146" i="17"/>
  <c r="K149" i="17"/>
  <c r="J149" i="17"/>
  <c r="K152" i="17"/>
  <c r="J152" i="17"/>
  <c r="K172" i="17"/>
  <c r="J172" i="17"/>
  <c r="K167" i="17"/>
  <c r="J167" i="17"/>
  <c r="K165" i="17"/>
  <c r="J165" i="17"/>
  <c r="K181" i="17"/>
  <c r="J181" i="17"/>
  <c r="K179" i="17"/>
  <c r="J179" i="17"/>
  <c r="K177" i="17"/>
  <c r="J177" i="17"/>
  <c r="K183" i="17"/>
  <c r="J183" i="17"/>
  <c r="L79" i="17"/>
  <c r="K79" i="17"/>
  <c r="L40" i="17"/>
  <c r="L113" i="17"/>
  <c r="K113" i="17"/>
  <c r="L104" i="17"/>
  <c r="K104" i="17"/>
  <c r="L97" i="17"/>
  <c r="K97" i="17"/>
  <c r="L87" i="17"/>
  <c r="K87" i="17"/>
  <c r="L77" i="17"/>
  <c r="K77" i="17"/>
  <c r="L75" i="17"/>
  <c r="K75" i="17"/>
  <c r="L70" i="17"/>
  <c r="K70" i="17"/>
  <c r="K65" i="17"/>
  <c r="L65" i="17"/>
  <c r="L64" i="17"/>
  <c r="K64" i="17"/>
  <c r="L60" i="17"/>
  <c r="K60" i="17"/>
  <c r="L55" i="17"/>
  <c r="K55" i="17"/>
  <c r="L50" i="17"/>
  <c r="K50" i="17"/>
  <c r="L47" i="17"/>
  <c r="K47" i="17"/>
  <c r="K40" i="17"/>
  <c r="L35" i="17"/>
  <c r="K35" i="17"/>
  <c r="L30" i="17"/>
  <c r="K30" i="17"/>
  <c r="L26" i="17"/>
  <c r="K26" i="17"/>
  <c r="K19" i="17"/>
  <c r="L19" i="17"/>
  <c r="L18" i="17"/>
  <c r="K18" i="17"/>
  <c r="L5" i="17"/>
  <c r="K5" i="17"/>
  <c r="I5" i="17"/>
  <c r="E12" i="13"/>
  <c r="E11" i="13"/>
  <c r="E10" i="13"/>
  <c r="D8" i="13"/>
  <c r="D13" i="13" s="1"/>
  <c r="C8" i="13"/>
  <c r="C13" i="13" s="1"/>
  <c r="E7" i="13"/>
  <c r="E6" i="13"/>
  <c r="C16" i="4"/>
  <c r="E15" i="4"/>
  <c r="B79" i="6"/>
  <c r="I58" i="8"/>
  <c r="I59" i="8"/>
  <c r="C19" i="1" s="1"/>
  <c r="E8" i="13" l="1"/>
  <c r="E13" i="13" s="1"/>
  <c r="D15" i="11"/>
  <c r="B15" i="11"/>
  <c r="E9" i="1"/>
  <c r="F13" i="13" l="1"/>
  <c r="F3" i="6"/>
  <c r="E3" i="6"/>
  <c r="F20" i="6"/>
  <c r="E20" i="6"/>
  <c r="D36" i="6"/>
  <c r="B36" i="6"/>
  <c r="D50" i="6"/>
  <c r="B50" i="6"/>
  <c r="D70" i="6"/>
  <c r="B70" i="6"/>
  <c r="D59" i="6"/>
  <c r="B59" i="6"/>
  <c r="B54" i="6"/>
  <c r="B3" i="6"/>
  <c r="D3" i="6"/>
  <c r="F14" i="18" l="1"/>
  <c r="E13" i="18"/>
  <c r="F9" i="18"/>
  <c r="F13" i="18" s="1"/>
  <c r="B55" i="11"/>
  <c r="D55" i="11"/>
  <c r="D30" i="11"/>
  <c r="D18" i="11"/>
  <c r="D31" i="11"/>
  <c r="C9" i="1"/>
  <c r="C8" i="1"/>
  <c r="E24" i="2"/>
  <c r="E20" i="2"/>
  <c r="E19" i="2"/>
  <c r="E21" i="2" s="1"/>
  <c r="E8" i="2"/>
  <c r="E9" i="2"/>
  <c r="E10" i="2"/>
  <c r="E12" i="2"/>
  <c r="E13" i="2"/>
  <c r="E14" i="2"/>
  <c r="E15" i="2"/>
  <c r="E7" i="2"/>
  <c r="K25" i="2"/>
  <c r="K26" i="2"/>
  <c r="K16" i="2"/>
  <c r="I21" i="2"/>
  <c r="I16" i="2"/>
  <c r="I25" i="2"/>
  <c r="E16" i="18" l="1"/>
  <c r="F16" i="18"/>
  <c r="E16" i="2"/>
  <c r="D75" i="6" s="1"/>
  <c r="D76" i="6"/>
  <c r="I26" i="2"/>
  <c r="B16" i="6" l="1"/>
  <c r="O26" i="9"/>
  <c r="G61" i="9"/>
  <c r="F20" i="7"/>
  <c r="B24" i="7"/>
  <c r="F24" i="7" s="1"/>
  <c r="F21" i="7"/>
  <c r="E24" i="7"/>
  <c r="C25" i="7"/>
  <c r="B35" i="11"/>
  <c r="B30" i="11"/>
  <c r="B23" i="11"/>
  <c r="B28" i="11"/>
  <c r="B14" i="11"/>
  <c r="B27" i="11"/>
  <c r="B26" i="11"/>
  <c r="B31" i="11"/>
  <c r="B22" i="11"/>
  <c r="E93" i="12"/>
  <c r="B19" i="11"/>
  <c r="E66" i="12"/>
  <c r="E58" i="12"/>
  <c r="B21" i="11"/>
  <c r="F32" i="12"/>
  <c r="B32" i="11"/>
  <c r="B20" i="11"/>
  <c r="F25" i="12"/>
  <c r="B45" i="11"/>
  <c r="E373" i="12"/>
  <c r="B44" i="11"/>
  <c r="B40" i="11"/>
  <c r="B12" i="11"/>
  <c r="C394" i="12"/>
  <c r="E390" i="12"/>
  <c r="D392" i="12"/>
  <c r="C392" i="12"/>
  <c r="D390" i="12"/>
  <c r="C390" i="12"/>
  <c r="C388" i="12"/>
  <c r="B18" i="11"/>
  <c r="D387" i="12"/>
  <c r="D386" i="12"/>
  <c r="C387" i="12"/>
  <c r="B49" i="11"/>
  <c r="D385" i="12"/>
  <c r="C386" i="12"/>
  <c r="C385" i="12"/>
  <c r="F383" i="12"/>
  <c r="D383" i="12"/>
  <c r="C383" i="12"/>
  <c r="E380" i="12"/>
  <c r="E381" i="12"/>
  <c r="E382" i="12"/>
  <c r="E383" i="12"/>
  <c r="C381" i="12"/>
  <c r="D381" i="12"/>
  <c r="C380" i="12"/>
  <c r="D380" i="12"/>
  <c r="C379" i="12"/>
  <c r="D379" i="12"/>
  <c r="E379" i="12" s="1"/>
  <c r="E378" i="12"/>
  <c r="D378" i="12"/>
  <c r="C378" i="12"/>
  <c r="E377" i="12"/>
  <c r="D377" i="12"/>
  <c r="C377" i="12"/>
  <c r="B13" i="11"/>
  <c r="E375" i="12"/>
  <c r="D375" i="12"/>
  <c r="C375" i="12"/>
  <c r="B11" i="11"/>
  <c r="E259" i="12"/>
  <c r="E256" i="12"/>
  <c r="B24" i="11"/>
  <c r="B34" i="11"/>
  <c r="E206" i="12"/>
  <c r="B33" i="11"/>
  <c r="E80" i="12"/>
  <c r="E140" i="12"/>
  <c r="D35" i="11"/>
  <c r="D11" i="11"/>
  <c r="D29" i="11"/>
  <c r="D21" i="11"/>
  <c r="D32" i="11"/>
  <c r="M249" i="12"/>
  <c r="L250" i="12"/>
  <c r="D40" i="11" l="1"/>
  <c r="D12" i="11"/>
  <c r="O340" i="12"/>
  <c r="D44" i="11"/>
  <c r="P333" i="12"/>
  <c r="P340" i="12" s="1"/>
  <c r="O333" i="12"/>
  <c r="O331" i="12"/>
  <c r="P338" i="12"/>
  <c r="O338" i="12"/>
  <c r="P331" i="12"/>
  <c r="P330" i="12"/>
  <c r="O330" i="12"/>
  <c r="P336" i="12"/>
  <c r="J466" i="12"/>
  <c r="D13" i="11"/>
  <c r="K468" i="12"/>
  <c r="J467" i="12"/>
  <c r="P431" i="12"/>
  <c r="P432" i="12"/>
  <c r="P433" i="12"/>
  <c r="P430" i="12"/>
  <c r="N467" i="12"/>
  <c r="M467" i="12"/>
  <c r="K466" i="12"/>
  <c r="K465" i="12"/>
  <c r="J465" i="12"/>
  <c r="J463" i="12"/>
  <c r="M466" i="12"/>
  <c r="K462" i="12"/>
  <c r="N465" i="12"/>
  <c r="M465" i="12"/>
  <c r="M464" i="12"/>
  <c r="N464" i="12"/>
  <c r="N463" i="12"/>
  <c r="M463" i="12"/>
  <c r="M462" i="12"/>
  <c r="N462" i="12"/>
  <c r="J462" i="12"/>
  <c r="P44" i="12"/>
  <c r="P43" i="12"/>
  <c r="O43" i="12"/>
  <c r="J457" i="12"/>
  <c r="P391" i="12"/>
  <c r="P392" i="12" s="1"/>
  <c r="P390" i="12"/>
  <c r="P373" i="12"/>
  <c r="O391" i="12"/>
  <c r="O392" i="12" s="1"/>
  <c r="D49" i="11"/>
  <c r="O389" i="12"/>
  <c r="P388" i="12"/>
  <c r="O388" i="12"/>
  <c r="P386" i="12"/>
  <c r="O433" i="12"/>
  <c r="O432" i="12"/>
  <c r="O431" i="12"/>
  <c r="O430" i="12"/>
  <c r="P36" i="12"/>
  <c r="P35" i="12"/>
  <c r="P32" i="12"/>
  <c r="O42" i="12"/>
  <c r="O32" i="12"/>
  <c r="P42" i="12"/>
  <c r="P34" i="12"/>
  <c r="P33" i="12"/>
  <c r="O39" i="12"/>
  <c r="O38" i="12"/>
  <c r="O37" i="12"/>
  <c r="O36" i="12"/>
  <c r="O35" i="12"/>
  <c r="O34" i="12"/>
  <c r="O33" i="12"/>
  <c r="D25" i="11"/>
  <c r="M46" i="12"/>
  <c r="D26" i="11"/>
  <c r="D27" i="11"/>
  <c r="M63" i="12"/>
  <c r="D19" i="11"/>
  <c r="D22" i="11"/>
  <c r="D28" i="11"/>
  <c r="D14" i="11"/>
  <c r="O268" i="12"/>
  <c r="M268" i="12"/>
  <c r="O267" i="12"/>
  <c r="D24" i="11"/>
  <c r="L284" i="12"/>
  <c r="L175" i="12"/>
  <c r="D20" i="11"/>
  <c r="D23" i="11"/>
  <c r="D34" i="11"/>
  <c r="D33" i="11"/>
  <c r="D45" i="11"/>
  <c r="L5" i="12"/>
  <c r="L9" i="12"/>
  <c r="L15" i="12"/>
  <c r="L21" i="12"/>
  <c r="L33" i="12"/>
  <c r="L38" i="12"/>
  <c r="L47" i="12"/>
  <c r="L52" i="12"/>
  <c r="L59" i="12"/>
  <c r="L62" i="12"/>
  <c r="L69" i="12"/>
  <c r="L67" i="12"/>
  <c r="L66" i="12"/>
  <c r="L68" i="12"/>
  <c r="L73" i="12"/>
  <c r="L75" i="12"/>
  <c r="L79" i="12"/>
  <c r="L83" i="12"/>
  <c r="L88" i="12"/>
  <c r="L95" i="12"/>
  <c r="L97" i="12"/>
  <c r="L102" i="12"/>
  <c r="L105" i="12"/>
  <c r="L110" i="12"/>
  <c r="L115" i="12"/>
  <c r="L118" i="12"/>
  <c r="L124" i="12"/>
  <c r="L126" i="12"/>
  <c r="L131" i="12"/>
  <c r="L133" i="12"/>
  <c r="L142" i="12"/>
  <c r="L140" i="12"/>
  <c r="L148" i="12"/>
  <c r="L153" i="12"/>
  <c r="L155" i="12"/>
  <c r="L162" i="12"/>
  <c r="L174" i="12"/>
  <c r="L173" i="12"/>
  <c r="L172" i="12"/>
  <c r="L171" i="12"/>
  <c r="L170" i="12"/>
  <c r="L169" i="12"/>
  <c r="L168" i="12"/>
  <c r="L180" i="12"/>
  <c r="L184" i="12"/>
  <c r="L185" i="12"/>
  <c r="L188" i="12"/>
  <c r="L187" i="12"/>
  <c r="L189" i="12"/>
  <c r="L195" i="12"/>
  <c r="L201" i="12"/>
  <c r="L207" i="12"/>
  <c r="L212" i="12"/>
  <c r="L217" i="12"/>
  <c r="L223" i="12"/>
  <c r="L228" i="12"/>
  <c r="L233" i="12"/>
  <c r="L239" i="12"/>
  <c r="L245" i="12"/>
  <c r="L246" i="12"/>
  <c r="L247" i="12"/>
  <c r="L248" i="12"/>
  <c r="L249" i="12"/>
  <c r="L244" i="12"/>
  <c r="L258" i="12"/>
  <c r="L263" i="12"/>
  <c r="L269" i="12"/>
  <c r="L275" i="12"/>
  <c r="L281" i="12"/>
  <c r="L283" i="12"/>
  <c r="L289" i="12"/>
  <c r="L294" i="12"/>
  <c r="L301" i="12"/>
  <c r="L300" i="12"/>
  <c r="L309" i="12"/>
  <c r="L313" i="12"/>
  <c r="L319" i="12"/>
  <c r="L324" i="12"/>
  <c r="L332" i="12"/>
  <c r="L337" i="12"/>
  <c r="L340" i="12"/>
  <c r="L342" i="12"/>
  <c r="L349" i="12"/>
  <c r="L354" i="12"/>
  <c r="L362" i="12"/>
  <c r="L360" i="12"/>
  <c r="L366" i="12"/>
  <c r="L375" i="12"/>
  <c r="L381" i="12"/>
  <c r="L387" i="12"/>
  <c r="L393" i="12"/>
  <c r="L408" i="12"/>
  <c r="L405" i="12"/>
  <c r="L416" i="12"/>
  <c r="L419" i="12"/>
  <c r="L427" i="12"/>
  <c r="L430" i="12"/>
  <c r="L436" i="12"/>
  <c r="L441" i="12"/>
  <c r="L446" i="12"/>
  <c r="E365" i="12"/>
  <c r="E360" i="12"/>
  <c r="E355" i="12"/>
  <c r="E349" i="12"/>
  <c r="E346" i="12"/>
  <c r="E335" i="12"/>
  <c r="E332" i="12"/>
  <c r="E329" i="12"/>
  <c r="E323" i="12"/>
  <c r="E318" i="12"/>
  <c r="E311" i="12"/>
  <c r="E309" i="12"/>
  <c r="E302" i="12"/>
  <c r="E299" i="12"/>
  <c r="E294" i="12"/>
  <c r="E292" i="12"/>
  <c r="E284" i="12"/>
  <c r="E279" i="12"/>
  <c r="E274" i="12"/>
  <c r="E269" i="12"/>
  <c r="E260" i="12"/>
  <c r="E262" i="12"/>
  <c r="E263" i="12"/>
  <c r="E255" i="12"/>
  <c r="E254" i="12"/>
  <c r="E253" i="12"/>
  <c r="E252" i="12"/>
  <c r="E247" i="12"/>
  <c r="E241" i="12"/>
  <c r="E236" i="12"/>
  <c r="E230" i="12"/>
  <c r="E224" i="12"/>
  <c r="E219" i="12"/>
  <c r="E207" i="12"/>
  <c r="E208" i="12"/>
  <c r="E209" i="12"/>
  <c r="E210" i="12"/>
  <c r="E211" i="12"/>
  <c r="E202" i="12"/>
  <c r="E193" i="12"/>
  <c r="E188" i="12"/>
  <c r="E183" i="12"/>
  <c r="E178" i="12"/>
  <c r="E173" i="12"/>
  <c r="E172" i="12"/>
  <c r="E167" i="12"/>
  <c r="E162" i="12"/>
  <c r="E149" i="12"/>
  <c r="E150" i="12"/>
  <c r="E151" i="12"/>
  <c r="E152" i="12"/>
  <c r="E153" i="12"/>
  <c r="E154" i="12"/>
  <c r="E155" i="12"/>
  <c r="E156" i="12"/>
  <c r="E157" i="12"/>
  <c r="E148" i="12"/>
  <c r="E144" i="12"/>
  <c r="E139" i="12"/>
  <c r="E138" i="12"/>
  <c r="E137" i="12"/>
  <c r="E135" i="12"/>
  <c r="E131" i="12"/>
  <c r="E101" i="12"/>
  <c r="E105" i="12"/>
  <c r="E96" i="12"/>
  <c r="E91" i="12"/>
  <c r="E84" i="12"/>
  <c r="E78" i="12"/>
  <c r="E56" i="12"/>
  <c r="E49" i="12"/>
  <c r="E50" i="12"/>
  <c r="E47" i="12"/>
  <c r="E37" i="12"/>
  <c r="E39" i="12"/>
  <c r="E40" i="12"/>
  <c r="E28" i="12"/>
  <c r="E14" i="12"/>
  <c r="E5" i="12"/>
  <c r="E114" i="12"/>
  <c r="E199" i="12"/>
  <c r="E126" i="12"/>
  <c r="E121" i="12"/>
  <c r="E109" i="12"/>
  <c r="E89" i="12"/>
  <c r="E75" i="12"/>
  <c r="E69" i="12"/>
  <c r="E65" i="12"/>
  <c r="E61" i="12"/>
  <c r="E54" i="12"/>
  <c r="E48" i="12"/>
  <c r="E44" i="12"/>
  <c r="E42" i="12"/>
  <c r="E38" i="12"/>
  <c r="E31" i="12"/>
  <c r="E22" i="12"/>
  <c r="E9" i="12"/>
  <c r="E7" i="12"/>
  <c r="E6" i="12"/>
  <c r="D17" i="11" l="1"/>
  <c r="D9" i="11"/>
  <c r="P341" i="12"/>
  <c r="P393" i="12"/>
  <c r="D38" i="11"/>
  <c r="D42" i="11"/>
  <c r="D50" i="11"/>
  <c r="B50" i="11"/>
  <c r="D48" i="11"/>
  <c r="B48" i="11"/>
  <c r="B42" i="11"/>
  <c r="B41" i="11"/>
  <c r="B38" i="11" s="1"/>
  <c r="B25" i="11"/>
  <c r="F12" i="1"/>
  <c r="F10" i="1"/>
  <c r="F9" i="1"/>
  <c r="F8" i="1"/>
  <c r="F7" i="1"/>
  <c r="F6" i="1"/>
  <c r="F5" i="1"/>
  <c r="D7" i="1"/>
  <c r="B17" i="11" l="1"/>
  <c r="D52" i="11"/>
  <c r="D46" i="11"/>
  <c r="B52" i="11"/>
  <c r="B46" i="11"/>
  <c r="D36" i="11"/>
  <c r="B9" i="11"/>
  <c r="F11" i="1"/>
  <c r="F13" i="1" s="1"/>
  <c r="F15" i="1" s="1"/>
  <c r="F17" i="1" s="1"/>
  <c r="D11" i="1"/>
  <c r="D13" i="1" s="1"/>
  <c r="D15" i="1" s="1"/>
  <c r="D17" i="1" s="1"/>
  <c r="D14" i="4" l="1"/>
  <c r="B36" i="11"/>
  <c r="B53" i="11" s="1"/>
  <c r="B56" i="11" s="1"/>
  <c r="D53" i="11"/>
  <c r="D56" i="11" s="1"/>
  <c r="E14" i="4" l="1"/>
  <c r="E16" i="4" s="1"/>
  <c r="D16" i="4"/>
  <c r="B57" i="6"/>
  <c r="F19" i="2"/>
  <c r="C19" i="2" s="1"/>
  <c r="F24" i="2"/>
  <c r="C24" i="2" s="1"/>
  <c r="C78" i="6"/>
  <c r="C80" i="6" s="1"/>
  <c r="B77" i="6"/>
  <c r="J67" i="10"/>
  <c r="B74" i="6"/>
  <c r="D77" i="6"/>
  <c r="I19" i="7" l="1"/>
  <c r="J19" i="7"/>
  <c r="F25" i="7" l="1"/>
  <c r="C17" i="7"/>
  <c r="F17" i="7" s="1"/>
  <c r="E16" i="7"/>
  <c r="C16" i="7"/>
  <c r="F13" i="7"/>
  <c r="J2" i="7"/>
  <c r="C14" i="7" s="1"/>
  <c r="J3" i="7"/>
  <c r="J4" i="7"/>
  <c r="J5" i="7"/>
  <c r="J1" i="7"/>
  <c r="I6" i="7"/>
  <c r="B18" i="6"/>
  <c r="B33" i="6"/>
  <c r="B34" i="6"/>
  <c r="B29" i="6"/>
  <c r="B30" i="6"/>
  <c r="B31" i="6"/>
  <c r="B35" i="6" s="1"/>
  <c r="H49" i="10"/>
  <c r="H46" i="10"/>
  <c r="B32" i="6"/>
  <c r="D47" i="6"/>
  <c r="B45" i="6"/>
  <c r="I67" i="10"/>
  <c r="I59" i="10"/>
  <c r="B44" i="6"/>
  <c r="B47" i="6" s="1"/>
  <c r="B40" i="6"/>
  <c r="I55" i="10"/>
  <c r="H59" i="10"/>
  <c r="H67" i="10"/>
  <c r="H64" i="10"/>
  <c r="B39" i="6" s="1"/>
  <c r="B42" i="6" s="1"/>
  <c r="H55" i="10"/>
  <c r="B58" i="6"/>
  <c r="B56" i="6"/>
  <c r="B55" i="6"/>
  <c r="B68" i="6"/>
  <c r="B66" i="6"/>
  <c r="B64" i="6"/>
  <c r="B65" i="6"/>
  <c r="B69" i="6" s="1"/>
  <c r="H82" i="10"/>
  <c r="H81" i="10"/>
  <c r="H80" i="10"/>
  <c r="H79" i="10"/>
  <c r="H78" i="10"/>
  <c r="H75" i="10"/>
  <c r="H73" i="10"/>
  <c r="B63" i="6" s="1"/>
  <c r="H71" i="10"/>
  <c r="B4" i="6"/>
  <c r="D4" i="6"/>
  <c r="D8" i="4"/>
  <c r="D13" i="4" s="1"/>
  <c r="E9" i="4"/>
  <c r="E10" i="4"/>
  <c r="E11" i="4"/>
  <c r="E12" i="4"/>
  <c r="C8" i="4"/>
  <c r="C13" i="4" s="1"/>
  <c r="E7" i="4"/>
  <c r="E6" i="4"/>
  <c r="F13" i="2"/>
  <c r="C13" i="2" s="1"/>
  <c r="M27" i="10"/>
  <c r="M26" i="10"/>
  <c r="M25" i="10"/>
  <c r="M24" i="10"/>
  <c r="I35" i="10"/>
  <c r="M23" i="10" s="1"/>
  <c r="M22" i="10"/>
  <c r="F12" i="2"/>
  <c r="C12" i="2" s="1"/>
  <c r="F8" i="2"/>
  <c r="C8" i="2" s="1"/>
  <c r="J27" i="10"/>
  <c r="G117" i="10"/>
  <c r="G116" i="10"/>
  <c r="G115" i="10"/>
  <c r="G114" i="10"/>
  <c r="F20" i="2"/>
  <c r="F14" i="2"/>
  <c r="C14" i="2" s="1"/>
  <c r="F15" i="2"/>
  <c r="C15" i="2" s="1"/>
  <c r="I45" i="10"/>
  <c r="F11" i="2"/>
  <c r="F10" i="2"/>
  <c r="C10" i="2" s="1"/>
  <c r="F9" i="2"/>
  <c r="C9" i="2" s="1"/>
  <c r="F7" i="2"/>
  <c r="C7" i="2" s="1"/>
  <c r="J109" i="10"/>
  <c r="J108" i="10"/>
  <c r="J107" i="10"/>
  <c r="J105" i="10"/>
  <c r="I103" i="10"/>
  <c r="J101" i="10"/>
  <c r="J97" i="10"/>
  <c r="J96" i="10"/>
  <c r="J88" i="10"/>
  <c r="J86" i="10"/>
  <c r="J84" i="10"/>
  <c r="J77" i="10"/>
  <c r="J70" i="10"/>
  <c r="I63" i="10"/>
  <c r="I54" i="10"/>
  <c r="I52" i="10"/>
  <c r="I41" i="10"/>
  <c r="I40" i="10"/>
  <c r="I39" i="10"/>
  <c r="I38" i="10"/>
  <c r="I37" i="10"/>
  <c r="I36" i="10"/>
  <c r="I33" i="10"/>
  <c r="J30" i="10"/>
  <c r="I28" i="10"/>
  <c r="I27" i="10"/>
  <c r="I25" i="10"/>
  <c r="I24" i="10"/>
  <c r="I19" i="10"/>
  <c r="I18" i="10"/>
  <c r="I15" i="10"/>
  <c r="I13" i="10"/>
  <c r="I10" i="10"/>
  <c r="I8" i="10"/>
  <c r="H8" i="10"/>
  <c r="H2" i="10"/>
  <c r="H21" i="2"/>
  <c r="H16" i="2"/>
  <c r="O31" i="9"/>
  <c r="G30" i="9"/>
  <c r="G35" i="9"/>
  <c r="H23" i="2" l="1"/>
  <c r="C20" i="2"/>
  <c r="C21" i="2" s="1"/>
  <c r="C16" i="2"/>
  <c r="B75" i="6" s="1"/>
  <c r="E14" i="7"/>
  <c r="F16" i="7"/>
  <c r="F21" i="2"/>
  <c r="D78" i="6"/>
  <c r="D80" i="6" s="1"/>
  <c r="F14" i="7"/>
  <c r="J6" i="7"/>
  <c r="B49" i="6"/>
  <c r="E8" i="4"/>
  <c r="E13" i="4" s="1"/>
  <c r="F16" i="2"/>
  <c r="E23" i="2" l="1"/>
  <c r="E25" i="2" s="1"/>
  <c r="E26" i="2" s="1"/>
  <c r="H25" i="2"/>
  <c r="H26" i="2" s="1"/>
  <c r="F13" i="4"/>
  <c r="H28" i="2"/>
  <c r="E28" i="2"/>
  <c r="B76" i="6"/>
  <c r="B78" i="6" s="1"/>
  <c r="B80" i="6" s="1"/>
  <c r="F30" i="2"/>
  <c r="G22" i="9"/>
  <c r="G31" i="9" s="1"/>
  <c r="I61" i="9"/>
  <c r="E31" i="9"/>
  <c r="I67" i="9" s="1"/>
  <c r="I66" i="9"/>
  <c r="I65" i="9"/>
  <c r="I64" i="9"/>
  <c r="I63" i="9"/>
  <c r="I60" i="9"/>
  <c r="I58" i="9"/>
  <c r="G66" i="9"/>
  <c r="G65" i="9"/>
  <c r="G64" i="9"/>
  <c r="G62" i="9"/>
  <c r="G60" i="9"/>
  <c r="G58" i="9"/>
  <c r="O25" i="9"/>
  <c r="G63" i="9" s="1"/>
  <c r="O24" i="9"/>
  <c r="O23" i="9"/>
  <c r="O29" i="9"/>
  <c r="O19" i="9"/>
  <c r="J53" i="9"/>
  <c r="K53" i="9" s="1"/>
  <c r="N17" i="9"/>
  <c r="N16" i="9"/>
  <c r="N15" i="9"/>
  <c r="N14" i="9"/>
  <c r="N13" i="9"/>
  <c r="N12" i="9"/>
  <c r="N11" i="9"/>
  <c r="N10" i="9"/>
  <c r="N9" i="9"/>
  <c r="K33" i="9"/>
  <c r="N8" i="9"/>
  <c r="K2" i="9"/>
  <c r="K3" i="9"/>
  <c r="O28" i="9" s="1"/>
  <c r="K4" i="9"/>
  <c r="K5" i="9"/>
  <c r="K6" i="9"/>
  <c r="K7" i="9"/>
  <c r="K8" i="9"/>
  <c r="K9" i="9"/>
  <c r="K10" i="9"/>
  <c r="K11" i="9"/>
  <c r="K12" i="9"/>
  <c r="K13" i="9"/>
  <c r="K14" i="9"/>
  <c r="O11" i="9" s="1"/>
  <c r="K15" i="9"/>
  <c r="O12" i="9" s="1"/>
  <c r="K16" i="9"/>
  <c r="O13" i="9" s="1"/>
  <c r="K17" i="9"/>
  <c r="K18" i="9"/>
  <c r="K19" i="9"/>
  <c r="K20" i="9"/>
  <c r="O15" i="9" s="1"/>
  <c r="K21" i="9"/>
  <c r="O14" i="9" s="1"/>
  <c r="K22" i="9"/>
  <c r="K23" i="9"/>
  <c r="K24" i="9"/>
  <c r="K25" i="9"/>
  <c r="O9" i="9" s="1"/>
  <c r="K26" i="9"/>
  <c r="K27" i="9"/>
  <c r="O10" i="9" s="1"/>
  <c r="K28" i="9"/>
  <c r="K29" i="9"/>
  <c r="K30" i="9"/>
  <c r="M30" i="9" s="1"/>
  <c r="G67" i="9" s="1"/>
  <c r="K31" i="9"/>
  <c r="K32" i="9"/>
  <c r="O16" i="9" s="1"/>
  <c r="K34" i="9"/>
  <c r="K35" i="9"/>
  <c r="K36" i="9"/>
  <c r="O8" i="9" s="1"/>
  <c r="K37" i="9"/>
  <c r="K38" i="9"/>
  <c r="K39" i="9"/>
  <c r="K40" i="9"/>
  <c r="K41" i="9"/>
  <c r="K42" i="9"/>
  <c r="K43" i="9"/>
  <c r="K44" i="9"/>
  <c r="O17" i="9" s="1"/>
  <c r="K45" i="9"/>
  <c r="K46" i="9"/>
  <c r="K47" i="9"/>
  <c r="K48" i="9"/>
  <c r="K49" i="9"/>
  <c r="K50" i="9"/>
  <c r="K51" i="9"/>
  <c r="K1" i="9"/>
  <c r="F20" i="9"/>
  <c r="F19" i="9"/>
  <c r="B57" i="9"/>
  <c r="F28" i="2" l="1"/>
  <c r="C28" i="2"/>
  <c r="O30" i="9"/>
  <c r="O22" i="9"/>
  <c r="O27" i="9"/>
  <c r="G59" i="9" s="1"/>
  <c r="G68" i="9" s="1"/>
  <c r="G28" i="9"/>
  <c r="I62" i="9" s="1"/>
  <c r="C1" i="9"/>
  <c r="C2" i="9"/>
  <c r="C3" i="9"/>
  <c r="C4" i="9"/>
  <c r="C5" i="9"/>
  <c r="C6" i="9"/>
  <c r="C7" i="9"/>
  <c r="C8" i="9"/>
  <c r="C9" i="9"/>
  <c r="F9" i="9"/>
  <c r="C10" i="9"/>
  <c r="G13" i="9" s="1"/>
  <c r="F10" i="9"/>
  <c r="C11" i="9"/>
  <c r="F11" i="9"/>
  <c r="C12" i="9"/>
  <c r="F12" i="9"/>
  <c r="G12" i="9"/>
  <c r="C13" i="9"/>
  <c r="F13" i="9"/>
  <c r="C14" i="9"/>
  <c r="F14" i="9"/>
  <c r="C15" i="9"/>
  <c r="G9" i="9" s="1"/>
  <c r="F15" i="9"/>
  <c r="C16" i="9"/>
  <c r="F16" i="9"/>
  <c r="C17" i="9"/>
  <c r="G15" i="9" s="1"/>
  <c r="F17" i="9"/>
  <c r="C18" i="9"/>
  <c r="F18" i="9"/>
  <c r="C19" i="9"/>
  <c r="C20" i="9"/>
  <c r="C21" i="9"/>
  <c r="C22" i="9"/>
  <c r="G10" i="9" s="1"/>
  <c r="C23" i="9"/>
  <c r="G11" i="9" s="1"/>
  <c r="C24" i="9"/>
  <c r="C25" i="9"/>
  <c r="G14" i="9" s="1"/>
  <c r="C26" i="9"/>
  <c r="C27" i="9"/>
  <c r="C28" i="9"/>
  <c r="G16" i="9" s="1"/>
  <c r="C29" i="9"/>
  <c r="C30" i="9"/>
  <c r="C31" i="9"/>
  <c r="C32" i="9"/>
  <c r="G17" i="9" s="1"/>
  <c r="G32" i="9"/>
  <c r="C33" i="9"/>
  <c r="C34" i="9"/>
  <c r="C35" i="9"/>
  <c r="G27" i="9" s="1"/>
  <c r="C36" i="9"/>
  <c r="C37" i="9"/>
  <c r="C38" i="9"/>
  <c r="C39" i="9"/>
  <c r="C40" i="9"/>
  <c r="C41" i="9"/>
  <c r="C42" i="9"/>
  <c r="C43" i="9"/>
  <c r="C44" i="9"/>
  <c r="C45" i="9"/>
  <c r="G18" i="9" s="1"/>
  <c r="C46" i="9"/>
  <c r="C47" i="9"/>
  <c r="G19" i="9" s="1"/>
  <c r="C48" i="9"/>
  <c r="G20" i="9" s="1"/>
  <c r="C49" i="9"/>
  <c r="C50" i="9"/>
  <c r="C51" i="9"/>
  <c r="C52" i="9"/>
  <c r="C53" i="9"/>
  <c r="C54" i="9"/>
  <c r="G33" i="9" s="1"/>
  <c r="C55" i="9"/>
  <c r="U1" i="8"/>
  <c r="U6" i="8"/>
  <c r="U7" i="8"/>
  <c r="U5" i="8"/>
  <c r="U4" i="8"/>
  <c r="U3" i="8"/>
  <c r="U2" i="8"/>
  <c r="E10" i="1"/>
  <c r="O55" i="8"/>
  <c r="O54" i="8"/>
  <c r="O53" i="8"/>
  <c r="E6" i="1"/>
  <c r="R42" i="8"/>
  <c r="P55" i="8"/>
  <c r="P54" i="8"/>
  <c r="P53" i="8"/>
  <c r="E5" i="1"/>
  <c r="E8" i="1"/>
  <c r="E12" i="1"/>
  <c r="Q50" i="8"/>
  <c r="P50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P26" i="8"/>
  <c r="Q8" i="8"/>
  <c r="P6" i="8"/>
  <c r="C10" i="1"/>
  <c r="H22" i="8"/>
  <c r="H21" i="8"/>
  <c r="H20" i="8"/>
  <c r="G16" i="8"/>
  <c r="C12" i="1"/>
  <c r="E44" i="8"/>
  <c r="E43" i="8"/>
  <c r="E42" i="8"/>
  <c r="C6" i="1"/>
  <c r="C5" i="1"/>
  <c r="C7" i="1" s="1"/>
  <c r="J3" i="8"/>
  <c r="J5" i="8"/>
  <c r="J4" i="8"/>
  <c r="E7" i="8"/>
  <c r="F8" i="8"/>
  <c r="F9" i="8"/>
  <c r="F10" i="8"/>
  <c r="F11" i="8"/>
  <c r="F12" i="8"/>
  <c r="F13" i="8"/>
  <c r="F14" i="8"/>
  <c r="F15" i="8"/>
  <c r="F16" i="8"/>
  <c r="F17" i="8"/>
  <c r="F18" i="8"/>
  <c r="F19" i="8"/>
  <c r="E20" i="8"/>
  <c r="E22" i="8"/>
  <c r="E26" i="8"/>
  <c r="E29" i="8"/>
  <c r="E30" i="8"/>
  <c r="E31" i="8"/>
  <c r="E32" i="8"/>
  <c r="E34" i="8"/>
  <c r="E35" i="8"/>
  <c r="E37" i="8"/>
  <c r="E39" i="8"/>
  <c r="F39" i="8"/>
  <c r="E6" i="8"/>
  <c r="D69" i="6"/>
  <c r="D58" i="6"/>
  <c r="D42" i="6"/>
  <c r="D49" i="6" s="1"/>
  <c r="D35" i="6"/>
  <c r="D25" i="6"/>
  <c r="B23" i="6" s="1"/>
  <c r="D18" i="6"/>
  <c r="D20" i="6" s="1"/>
  <c r="F17" i="18" l="1"/>
  <c r="F19" i="18" s="1"/>
  <c r="E19" i="18"/>
  <c r="C11" i="1"/>
  <c r="C13" i="1" s="1"/>
  <c r="C15" i="1" s="1"/>
  <c r="C17" i="1" s="1"/>
  <c r="O32" i="9"/>
  <c r="O33" i="9" s="1"/>
  <c r="G26" i="9"/>
  <c r="G29" i="9"/>
  <c r="G34" i="9"/>
  <c r="E7" i="1"/>
  <c r="E11" i="1" s="1"/>
  <c r="E13" i="1" s="1"/>
  <c r="E15" i="1" s="1"/>
  <c r="E17" i="1" s="1"/>
  <c r="J57" i="8" s="1"/>
  <c r="J59" i="8" s="1"/>
  <c r="D14" i="13" l="1"/>
  <c r="E19" i="1"/>
  <c r="F19" i="1"/>
  <c r="I57" i="8"/>
  <c r="I59" i="9"/>
  <c r="I68" i="9" s="1"/>
  <c r="G36" i="9"/>
  <c r="G37" i="9" s="1"/>
  <c r="E14" i="13" l="1"/>
  <c r="D16" i="13"/>
  <c r="D19" i="1"/>
  <c r="B25" i="6"/>
  <c r="B19" i="6" s="1"/>
  <c r="B20" i="6" s="1"/>
  <c r="F23" i="2"/>
  <c r="C23" i="2" l="1"/>
  <c r="F25" i="2"/>
  <c r="F26" i="2" s="1"/>
  <c r="F31" i="2" s="1"/>
  <c r="C25" i="2" l="1"/>
  <c r="C31" i="2"/>
  <c r="F16" i="4" l="1"/>
  <c r="C26" i="2"/>
  <c r="C15" i="13" l="1"/>
  <c r="E15" i="13" l="1"/>
  <c r="E16" i="13" s="1"/>
  <c r="F16" i="13" s="1"/>
  <c r="C16" i="13"/>
</calcChain>
</file>

<file path=xl/sharedStrings.xml><?xml version="1.0" encoding="utf-8"?>
<sst xmlns="http://schemas.openxmlformats.org/spreadsheetml/2006/main" count="4627" uniqueCount="833">
  <si>
    <t>тыс. тенге (если не указано иное)</t>
  </si>
  <si>
    <t>Прим.</t>
  </si>
  <si>
    <t>Доходы по услугам и комиссиям</t>
  </si>
  <si>
    <t>Расходы по услугам и комиссии</t>
  </si>
  <si>
    <t>Валовой доход</t>
  </si>
  <si>
    <t xml:space="preserve"> 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</si>
  <si>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</si>
  <si>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</si>
  <si>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</si>
  <si>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</si>
  <si>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</si>
  <si>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</si>
  <si>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 xml:space="preserve"> – 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</si>
  <si>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</si>
  <si>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</si>
  <si>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</si>
  <si>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</si>
  <si>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18(б)</t>
  </si>
  <si>
    <t>на 01.04.2021</t>
  </si>
  <si>
    <t>Корпоративный подоходный налог</t>
  </si>
  <si>
    <t>АО «Tengri Partners Investment Banking (Kazakhstan)»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</si>
  <si>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</si>
  <si>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</si>
  <si>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</si>
  <si>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</si>
  <si>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11(а)</t>
  </si>
  <si>
    <t>Инвестиции, оцениваемые по справедливой стоимости через прочий совокупный доход</t>
  </si>
  <si>
    <t>11(б)</t>
  </si>
  <si>
    <t>Инвестиции в дочернее предприятие</t>
  </si>
  <si>
    <t>Торговая и прочая дебиторская задолженность</t>
  </si>
  <si>
    <t>Авансы выданные и прочие текущие активы</t>
  </si>
  <si>
    <t>Основные средства</t>
  </si>
  <si>
    <t>Отложенный налоговый актив</t>
  </si>
  <si>
    <t>8(б)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</si>
  <si>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</si>
  <si>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</si>
  <si>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</si>
  <si>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</si>
  <si>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</si>
  <si>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</si>
  <si>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</si>
  <si>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18(а)</t>
  </si>
  <si>
    <t>Непокрытый убыток</t>
  </si>
  <si>
    <t>ВСЕГО КАПИТАЛ И ОБЯЗАТЕЛЬСТВА</t>
  </si>
  <si>
    <t>Балансовая стоимость акции, тенге</t>
  </si>
  <si>
    <t>18(в)</t>
  </si>
  <si>
    <t>За период, закончившийся 31 марта 2021г.</t>
  </si>
  <si>
    <t>тыс. тенге</t>
  </si>
  <si>
    <t>Износ</t>
  </si>
  <si>
    <t>Убытки от обесценения</t>
  </si>
  <si>
    <t>–</t>
  </si>
  <si>
    <t>Приобретение основных средств</t>
  </si>
  <si>
    <t>Выпуск акций</t>
  </si>
  <si>
    <t>Выкуп собственных акций</t>
  </si>
  <si>
    <t>Реализация собственных акций</t>
  </si>
  <si>
    <t xml:space="preserve"> Акционерный капитал </t>
  </si>
  <si>
    <t xml:space="preserve"> Непокрытый убыток </t>
  </si>
  <si>
    <t>Итого</t>
  </si>
  <si>
    <t>На 1 января 2019</t>
  </si>
  <si>
    <t>Чистый доход за год</t>
  </si>
  <si>
    <t>На 31 декабря 2019</t>
  </si>
  <si>
    <t>Чистый убыток за год</t>
  </si>
  <si>
    <t>На 31 декабря 2020</t>
  </si>
  <si>
    <t>На 31 марта 2021</t>
  </si>
  <si>
    <t>За период, закончившийся 31 марта 2020г.</t>
  </si>
  <si>
    <t>Прочее</t>
  </si>
  <si>
    <t>Заработная плата</t>
  </si>
  <si>
    <t>Рекламные услуги и услуги по привлечению клиентов</t>
  </si>
  <si>
    <t>Налоги и платежи в бюджет</t>
  </si>
  <si>
    <t>Расходы по аренде и обслуживание основных средств</t>
  </si>
  <si>
    <t>Пользование лицензионным программным обеспечением</t>
  </si>
  <si>
    <t>Профессиональные услуги</t>
  </si>
  <si>
    <t>Услуги связи</t>
  </si>
  <si>
    <t>Командировочные и представительские расходы</t>
  </si>
  <si>
    <t>за период, закончившийся 31 марта 2021 года</t>
  </si>
  <si>
    <t>Денежные средства на текущих банковских счетах</t>
  </si>
  <si>
    <t>(а)</t>
  </si>
  <si>
    <t>(б)</t>
  </si>
  <si>
    <t>Торговая дебиторская задолженность</t>
  </si>
  <si>
    <t>Задолженность связанных сторон</t>
  </si>
  <si>
    <t>Резерв по ожидаемым кредитным убыткам</t>
  </si>
  <si>
    <t>Изменение резерва по ожидаемым кредитным убыткам представлено следующим образом:</t>
  </si>
  <si>
    <t>На 1 января</t>
  </si>
  <si>
    <t>Начислено</t>
  </si>
  <si>
    <t>На 31 декабря</t>
  </si>
  <si>
    <t>Предоплата по прочим налогам</t>
  </si>
  <si>
    <t>Задолженность сотрудников</t>
  </si>
  <si>
    <t>Расходы будущих периодов</t>
  </si>
  <si>
    <t>Гарантийный взнос KASE</t>
  </si>
  <si>
    <t>Авансы выданные на приобретение товаров и услуг</t>
  </si>
  <si>
    <t>Стоимость</t>
  </si>
  <si>
    <t>Поступление</t>
  </si>
  <si>
    <t>Выбытие</t>
  </si>
  <si>
    <t>Начисление износа</t>
  </si>
  <si>
    <t>Балансовая стоимость</t>
  </si>
  <si>
    <t>Основные средства включают установленное на компьютерах программное обеспечение балансовой стоимостью 4,004 тыс. тенге (2019: 2,581 тыс. тенге).</t>
  </si>
  <si>
    <t xml:space="preserve">Задолженность перед поставщиками </t>
  </si>
  <si>
    <t>Резерв по неиспользованным отпускам</t>
  </si>
  <si>
    <t>Задолженность по комиссиям (депозитарий, кастодиан, биржа)</t>
  </si>
  <si>
    <t>Прочая кредиторская задолженность</t>
  </si>
  <si>
    <t>Индивидуальный подоходный налог</t>
  </si>
  <si>
    <t>Пенсионные отчисления</t>
  </si>
  <si>
    <t>Социальный налог</t>
  </si>
  <si>
    <t>КПН за нерезидента</t>
  </si>
  <si>
    <t>Налог на добавленную стоимость</t>
  </si>
  <si>
    <t>Прочие налоги</t>
  </si>
  <si>
    <t>(Убыток) доход на акцию</t>
  </si>
  <si>
    <t>Чистый (убыток) доход за год, тыс. тенге</t>
  </si>
  <si>
    <t>Количество простых акций, штук</t>
  </si>
  <si>
    <t>Балансовая стоимость акции</t>
  </si>
  <si>
    <t>Балансовая стоимость акции рассчитана в соответствии с требованием статьи 9.2.1 Листинговых правил KASE. По состоянию на 31 декабря балансовая стоимость акции была представлена следующим образом:</t>
  </si>
  <si>
    <t>Активы</t>
  </si>
  <si>
    <t>Нематериальные активы (в составе основных средств)</t>
  </si>
  <si>
    <t>Чистые активы</t>
  </si>
  <si>
    <t>Связанные стороны включают следующее:</t>
  </si>
  <si>
    <r>
      <t>·</t>
    </r>
    <r>
      <rPr>
        <sz val="7"/>
        <color rgb="FF0000FF"/>
        <rFont val="Times New Roman"/>
        <family val="1"/>
        <charset val="204"/>
      </rPr>
      <t xml:space="preserve">       </t>
    </r>
    <r>
      <rPr>
        <sz val="9"/>
        <color rgb="FF000000"/>
        <rFont val="Arial"/>
        <family val="2"/>
        <charset val="204"/>
      </rPr>
      <t>Ключевые руководители.</t>
    </r>
  </si>
  <si>
    <r>
      <t>·</t>
    </r>
    <r>
      <rPr>
        <sz val="7"/>
        <color rgb="FF0000FF"/>
        <rFont val="Times New Roman"/>
        <family val="1"/>
        <charset val="204"/>
      </rPr>
      <t xml:space="preserve">       </t>
    </r>
    <r>
      <rPr>
        <sz val="9"/>
        <color rgb="FF000000"/>
        <rFont val="Arial"/>
        <family val="2"/>
        <charset val="204"/>
      </rPr>
      <t>Материнская компания.</t>
    </r>
  </si>
  <si>
    <r>
      <t>·</t>
    </r>
    <r>
      <rPr>
        <sz val="7"/>
        <color rgb="FF0000FF"/>
        <rFont val="Times New Roman"/>
        <family val="1"/>
        <charset val="204"/>
      </rPr>
      <t xml:space="preserve">       </t>
    </r>
    <r>
      <rPr>
        <sz val="9"/>
        <color rgb="FF000000"/>
        <rFont val="Arial"/>
        <family val="2"/>
        <charset val="204"/>
      </rPr>
      <t>Дочерняя компания</t>
    </r>
  </si>
  <si>
    <r>
      <t>·</t>
    </r>
    <r>
      <rPr>
        <sz val="7"/>
        <color rgb="FF0000FF"/>
        <rFont val="Times New Roman"/>
        <family val="1"/>
        <charset val="204"/>
      </rPr>
      <t xml:space="preserve">       </t>
    </r>
    <r>
      <rPr>
        <sz val="9"/>
        <color rgb="FF000000"/>
        <rFont val="Arial"/>
        <family val="2"/>
        <charset val="204"/>
      </rPr>
      <t>Компании под общим контролем.</t>
    </r>
  </si>
  <si>
    <t>Вознаграждение руководства</t>
  </si>
  <si>
    <t>Операции со связанными сторонами</t>
  </si>
  <si>
    <t>Ключевые руководители</t>
  </si>
  <si>
    <t>Материнская компания</t>
  </si>
  <si>
    <t>Дочерняя компания</t>
  </si>
  <si>
    <t>Компании</t>
  </si>
  <si>
    <t>под общим контролем</t>
  </si>
  <si>
    <t>Инвестиции</t>
  </si>
  <si>
    <t xml:space="preserve">– </t>
  </si>
  <si>
    <t>Задолженность связанным сторонам</t>
  </si>
  <si>
    <t>Реализация связанным сторонам</t>
  </si>
  <si>
    <t>Приобретения у связанных сторон</t>
  </si>
  <si>
    <t>На 31 марта 2021 и 2020 года у Компании нет резервов на обесценение дебиторской задолженности связанных сторон. У Компании не было расходов на обесценение дебиторской задолженности связанных сторон (2020: ноль).</t>
  </si>
  <si>
    <t>9  Денежные средства</t>
  </si>
  <si>
    <t>АО "Tengri Partners Investment Banking (Kazakhstan</t>
  </si>
  <si>
    <t>Анализ счета 5610 за 1 квартал 2021 г.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</si>
  <si>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</si>
  <si>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</si>
  <si>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</si>
  <si>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</si>
  <si>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</si>
  <si>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</si>
  <si>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Начальное сальдо</t>
  </si>
  <si>
    <t>Оборот</t>
  </si>
  <si>
    <t>Конечное сальдо</t>
  </si>
  <si>
    <t>Доход от реализации готовой продукции, работ и услуг</t>
  </si>
  <si>
    <t>Advisory</t>
  </si>
  <si>
    <t>Total brokerage income</t>
  </si>
  <si>
    <t>Анализ счета 5610 за 1 квартал 2020 г.</t>
  </si>
  <si>
    <t>Комиссия управляющей компании за период с 01.01.2020 по 31.01.2020 г</t>
  </si>
  <si>
    <t>Market Making</t>
  </si>
  <si>
    <t>Mergers &amp; acquisitions</t>
  </si>
  <si>
    <t>Client recoverable charge</t>
  </si>
  <si>
    <t>Электроэнергия</t>
  </si>
  <si>
    <t>электронная связь</t>
  </si>
  <si>
    <t>Членские взносы</t>
  </si>
  <si>
    <t>Хозтовары ( не идущие на вычет)</t>
  </si>
  <si>
    <t>Хозтовары</t>
  </si>
  <si>
    <t>Участие в конференциях, тренингах, семинарах</t>
  </si>
  <si>
    <t>услуги связи</t>
  </si>
  <si>
    <t>Услуги регистратора</t>
  </si>
  <si>
    <t>Услуги по оценке</t>
  </si>
  <si>
    <t>Транспортные расходы</t>
  </si>
  <si>
    <t xml:space="preserve">Тех поддержка </t>
  </si>
  <si>
    <t>Тепловая энергия</t>
  </si>
  <si>
    <t>Текущие расходы</t>
  </si>
  <si>
    <t>Суточные за пределами РК</t>
  </si>
  <si>
    <t>Суточные в пределах РК</t>
  </si>
  <si>
    <t>Резерв по отпускам</t>
  </si>
  <si>
    <t xml:space="preserve">Расходы по уборке офиса </t>
  </si>
  <si>
    <t>Расходы по ремонту основных средств</t>
  </si>
  <si>
    <t xml:space="preserve">Расходы по изготовлению печати </t>
  </si>
  <si>
    <t>Расходы по изготовлению бланков, визиток</t>
  </si>
  <si>
    <t>Расходы на рекламу</t>
  </si>
  <si>
    <t>Расходы на проезд</t>
  </si>
  <si>
    <t>Расходы на наем жилого помещения</t>
  </si>
  <si>
    <t>Расходы на дизайнерские услуги</t>
  </si>
  <si>
    <t>Расходы (не идущие на вычеты)</t>
  </si>
  <si>
    <t>Представительские расходы (не идущие на вычеты)</t>
  </si>
  <si>
    <t>Почтовые расходы</t>
  </si>
  <si>
    <t>Подписка на использование ПО</t>
  </si>
  <si>
    <t>Поддержка ПО</t>
  </si>
  <si>
    <t>Подбор кадров</t>
  </si>
  <si>
    <t>Платежи бирже</t>
  </si>
  <si>
    <t>Переводческие услуги</t>
  </si>
  <si>
    <t>Оплата услуг банка</t>
  </si>
  <si>
    <t>Нотариальные действия</t>
  </si>
  <si>
    <t>Неразрешенный зачет по НДС</t>
  </si>
  <si>
    <t>Междугородние переговоры</t>
  </si>
  <si>
    <t>Материалы</t>
  </si>
  <si>
    <t>Курьерские расходы</t>
  </si>
  <si>
    <t xml:space="preserve">Комиссия за регистрацию/перерегистрацию </t>
  </si>
  <si>
    <t>Комиссия банка</t>
  </si>
  <si>
    <t>Канцтовары</t>
  </si>
  <si>
    <t>Информационные услуги</t>
  </si>
  <si>
    <t>Интернет</t>
  </si>
  <si>
    <t>Доп.работы (программиста)</t>
  </si>
  <si>
    <t xml:space="preserve">Аренда розетки сети электропитания для блока питания </t>
  </si>
  <si>
    <t>Аренда порта Е1</t>
  </si>
  <si>
    <t>Аренда модема</t>
  </si>
  <si>
    <t>Аренда канала</t>
  </si>
  <si>
    <t>Аренда IP адреса</t>
  </si>
  <si>
    <t>Аренда</t>
  </si>
  <si>
    <t>Амортизация ФА</t>
  </si>
  <si>
    <t>Абонентская плата за телефон</t>
  </si>
  <si>
    <t>Абонентская плата за размещение сервера</t>
  </si>
  <si>
    <t>НДС не принятый к зачету</t>
  </si>
  <si>
    <t>Пеня по CН</t>
  </si>
  <si>
    <t>Пеня по ИПН</t>
  </si>
  <si>
    <t>Пеня по ОПВ</t>
  </si>
  <si>
    <t>Расходы за счет чистого дохода</t>
  </si>
  <si>
    <t>Расходы на юридические услуги</t>
  </si>
  <si>
    <t>Сервисное обслуживание оборудования</t>
  </si>
  <si>
    <t>Оборотно-сальдовая ведомость за 1 квартал 2021 г.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</si>
  <si>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</si>
  <si>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</si>
  <si>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</si>
  <si>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</si>
  <si>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1000, Денежные средства</t>
  </si>
  <si>
    <t>1020, Денежные средства в пути</t>
  </si>
  <si>
    <t>1030, Денежные средства на текущих  счетах</t>
  </si>
  <si>
    <t>1100, Краткосрочные финансовые инвестиции</t>
  </si>
  <si>
    <t>1120, Финансовые активы, учитываемые по справедливой стоимости, изменения которой отражаются в составе прибыли или убытка</t>
  </si>
  <si>
    <t>112001, Финансовые активы, оцениваемые по справедливой стоимости, изменения которой отражаются в составе прибыли или убытка</t>
  </si>
  <si>
    <t>112004, Положительная корректировка справедливой стоимости финансовых активов, оцениваемых по справедливой стоимости, изменения которой отражаются в составе прибыли или убытка</t>
  </si>
  <si>
    <t>1140, Краткосрочные финансовые инвестиции имеющиеся в наличии для продажи</t>
  </si>
  <si>
    <t>114001, Краткосрочные финансовые инвестиции, имеющиеся в наличие для продажи</t>
  </si>
  <si>
    <t>1150, Прочие краткосрочные Финансовые инвестиции</t>
  </si>
  <si>
    <t>115001, Операции "обратное РЕПО" с ценными бумагами</t>
  </si>
  <si>
    <t>1200, Краткосрочная дебиторская задолженность</t>
  </si>
  <si>
    <t>1210, Краткосрочная дебиторская задолженность покупателей и заказчиков</t>
  </si>
  <si>
    <t>1250, Краткосрочная дебиторская задолженность работников</t>
  </si>
  <si>
    <t>1251, Краткосрочная задолженность подотчетных лиц</t>
  </si>
  <si>
    <t>1252, Задолженность по выплаченной заработной плате</t>
  </si>
  <si>
    <t>1253, Краткосрочная задолженность по предоставленным работникам займам</t>
  </si>
  <si>
    <t>1270, Краткосрочные вознаграждения к получению</t>
  </si>
  <si>
    <t>127002, Начисленные доходы в виде вознаграждения по операциям "обратное РЕПО" с ценными бумагами</t>
  </si>
  <si>
    <t>127082, Начисленные комиссионные доходов за услуги по брокерской и дилерской деятельности</t>
  </si>
  <si>
    <t>127083, Начисленные комиссионные доходы за услуги иных профессиональных участников рынка ценных бумаг</t>
  </si>
  <si>
    <t>127084, Просроченные комиссионные доходы связанные с деятельностью профессиональных участников рынка ценных бумаг</t>
  </si>
  <si>
    <t>1280, Прочая краткосрочная дебиторская задолженность</t>
  </si>
  <si>
    <t>128010, Прочая дебиторская задолженность</t>
  </si>
  <si>
    <t>1290, Резерв по сомнительным требованиям</t>
  </si>
  <si>
    <t>129001, Резервы (провизии) на покрытие убытков по дебиторской задолженности</t>
  </si>
  <si>
    <t>129026, Резервы (провизии) по текущим счетам, размещенным в банках второго уровня и организациях, осуществляющих отдельные виды банковских операций</t>
  </si>
  <si>
    <t>1300, Запасы</t>
  </si>
  <si>
    <t>1310, Сырье и материалы</t>
  </si>
  <si>
    <t>1400, Текущие налоговые активы</t>
  </si>
  <si>
    <t>141001, Корпоративный подоходный налог</t>
  </si>
  <si>
    <t>141002, Отложенное налоговое требование по корпоративному подоходному налогу</t>
  </si>
  <si>
    <t>1420, Налог на добавленную стоимость к возмещению</t>
  </si>
  <si>
    <t>1421, Налог на добавленную стоимость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</si>
  <si>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</si>
  <si>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</si>
  <si>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143001, Социальный налог</t>
  </si>
  <si>
    <t>143004, Налог на имущество</t>
  </si>
  <si>
    <t>143005, Иные налоги и обязательные платежи в бюджет</t>
  </si>
  <si>
    <t>1600, Прочие краткосрочные активы</t>
  </si>
  <si>
    <t>1610, Краткосрочные авансы выданные</t>
  </si>
  <si>
    <t>161001, Краткосрочные авансы выданные</t>
  </si>
  <si>
    <t>161002, Расчеты с брокерами</t>
  </si>
  <si>
    <t>1620, Расходы будущих периодов</t>
  </si>
  <si>
    <t>162001, Страховые премии выплаченные страховым организациям</t>
  </si>
  <si>
    <t>162003, Прочие расходы будущих периодов</t>
  </si>
  <si>
    <t>2200, Инвестиции учитываемые методом долевого участия</t>
  </si>
  <si>
    <t>2210, Инвестиции, учитываемые методом долевого участия</t>
  </si>
  <si>
    <t>2400, Основные средства</t>
  </si>
  <si>
    <t>2410, Основные средства</t>
  </si>
  <si>
    <t>24101, Основные средства собственные</t>
  </si>
  <si>
    <t>241012, Машины и оборудование</t>
  </si>
  <si>
    <t>241014, Прочие ОС</t>
  </si>
  <si>
    <t>2420, Амортизация основных средств</t>
  </si>
  <si>
    <t>24201, Амортизация основных средств собственные</t>
  </si>
  <si>
    <t>242012, Амортизация машины и оборудование</t>
  </si>
  <si>
    <t>242014, Амортизация прочие ОС</t>
  </si>
  <si>
    <t>2700, Нематериальные активы</t>
  </si>
  <si>
    <t>2730, Прочие нематериальные активы</t>
  </si>
  <si>
    <t>27301, Лицензионные соглашения</t>
  </si>
  <si>
    <t>27302, Программное обеспечение</t>
  </si>
  <si>
    <t>2740, Амортизация прочих нематериальных активов</t>
  </si>
  <si>
    <t>27401, Амортизация прочих нематериальных активов лицензионные соглашения</t>
  </si>
  <si>
    <t>27402, Амортизация прочих нематериальных активов программное обеспечение</t>
  </si>
  <si>
    <t>3100, Обязательства по налогам</t>
  </si>
  <si>
    <t>3110, Корпоративный подоходный налог подлежащий уплате</t>
  </si>
  <si>
    <t>311001,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</si>
  <si>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</si>
  <si>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</si>
  <si>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</si>
  <si>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3190, Прочие налоги</t>
  </si>
  <si>
    <t>3200, Обязательства по другим обязательным и добровольным платежам, в соответствии с законодательством Республики Казахстан</t>
  </si>
  <si>
    <t>3210, Обязательства по социальному страхованию</t>
  </si>
  <si>
    <t>3211, Обязательства по социальному страхованию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</si>
  <si>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</si>
  <si>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</si>
  <si>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</si>
  <si>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</si>
  <si>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кредиторская задолженность поставщикам и подрядчикам</t>
  </si>
  <si>
    <t>3330, Краткосрочная кредиторская задолженность ассоциированным и совместным организациям</t>
  </si>
  <si>
    <t>3350, Краткосрочная задолженность по оплате труда</t>
  </si>
  <si>
    <t>3360, Краткосрочная задолженность по аренде</t>
  </si>
  <si>
    <t>3380, Краткосрочные вознаграждения к выплате</t>
  </si>
  <si>
    <t>338081, Начисленные комиссионные расходы за услуги фондовой биржи</t>
  </si>
  <si>
    <t>338083, Начисленные комиссионные расходы за услуги по кастодиальному обслуживанию</t>
  </si>
  <si>
    <t>338084, Начисленные комиссионные расходы иных профессиональных участников рынка ценных бумаг</t>
  </si>
  <si>
    <t>3390, Прочая краткосрочная кредиторская задолженность</t>
  </si>
  <si>
    <t>339081, Обязательства брокера перед клиентом</t>
  </si>
  <si>
    <t>3396, Задолженность перед подотчетными лицами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</si>
  <si>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</si>
  <si>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</si>
  <si>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3500, Прочие краткосрочные обязательства</t>
  </si>
  <si>
    <t>3510, Краткосрочные авансы полученные</t>
  </si>
  <si>
    <t>351081, Предоплата комиссионного вознаграждения за услуги оказанные по  брокерской и дилерской деятельности</t>
  </si>
  <si>
    <t>5000, Уставный капитал</t>
  </si>
  <si>
    <t>5020, Простые акции</t>
  </si>
  <si>
    <t>5200, Выкупленные собственные долевые инструменты</t>
  </si>
  <si>
    <t>5210, Выкупленные собственные долевые инструменты</t>
  </si>
  <si>
    <t>5300, Эмиссионный доход</t>
  </si>
  <si>
    <t>5310, Эмиссионный доход</t>
  </si>
  <si>
    <t>5500, Нераспределенная прибыль непокрытый убыток</t>
  </si>
  <si>
    <t>5510, Нераспределенная прибыль непокрытый убыток отчетного года</t>
  </si>
  <si>
    <t>5520, Нераспределенная прибыль непокрытый убыток предыдущих лет</t>
  </si>
  <si>
    <t>Инвестиции, оцениваемые по справедливой стоимости через доходы или убытки включают долевые ценные бумаги казахстанской компании, котирующиеся на Казахстанской фондовой бирже (далее – «KASE»), в сумме 543 134 тыс. тенге (2020: 543 134 тыс. тенге).</t>
  </si>
  <si>
    <t>Инвестиции, оцениваемые по справедливой стоимости через прочий совокупный доход включают долевые ценные бумаги инфраструктурной финансовой организации в сумме 200 тыс. тенге (2020: 200 тыс. тенге).</t>
  </si>
  <si>
    <t>ТОО "TP Financial Holdings"</t>
  </si>
  <si>
    <t>ТОО Tengri Partners (Kazakhstan)</t>
  </si>
  <si>
    <t xml:space="preserve">ТОО «TENGRI PARTNERS» </t>
  </si>
  <si>
    <t xml:space="preserve">Жандосов Ораз Алиевич </t>
  </si>
  <si>
    <t xml:space="preserve">Ушбаев Ануар Даниярович </t>
  </si>
  <si>
    <t>Крючков Максим Владимирович</t>
  </si>
  <si>
    <t>Смаилова Назия Нурлановна</t>
  </si>
  <si>
    <t>Тулегенов Акбар Маликович</t>
  </si>
  <si>
    <t>Чакалиди Илья Владимирович</t>
  </si>
  <si>
    <t>Кыдырбаев Досым Хамитович</t>
  </si>
  <si>
    <t>Вознаграждения, полученные ключевыми руководителями, включены в расходы по заработной плате в составе операционных расходов (см. примечание 6) и за период, закончившийся 31.03.2021 составили 33 527 тыс. тенге (за период закончившийся 31.03.2020: 31 988 тыс. тенге).</t>
  </si>
  <si>
    <t>по состоянию на 01 апреля 2021 года</t>
  </si>
  <si>
    <t xml:space="preserve">За период 
с начала текущего года 
</t>
  </si>
  <si>
    <t xml:space="preserve">За период 
с начала предыдущего  года 
</t>
  </si>
  <si>
    <t>(в тысячах тенге)</t>
  </si>
  <si>
    <t>Наименование показателей</t>
  </si>
  <si>
    <t>I. Движение денежных средств от операционной деятельности</t>
  </si>
  <si>
    <t>на 31.03.2020г.</t>
  </si>
  <si>
    <t>1. Поступление денежных средств, всего</t>
  </si>
  <si>
    <t>в том числе:</t>
  </si>
  <si>
    <t>Предоставление услуг</t>
  </si>
  <si>
    <t>Доход от курсовой и суммовой разниц</t>
  </si>
  <si>
    <t>Прочие поступления</t>
  </si>
  <si>
    <t>2. Выбытие денежных средств, всего</t>
  </si>
  <si>
    <t>Платежи поставщикам за товары и услуги</t>
  </si>
  <si>
    <t xml:space="preserve">  Телекоммуникационные услуги</t>
  </si>
  <si>
    <t xml:space="preserve">  Аренда, коммунальные услуги</t>
  </si>
  <si>
    <t xml:space="preserve">  Расходы на обслуживание программных продуктов</t>
  </si>
  <si>
    <t xml:space="preserve">  Расходы по аудиту и консультационные услуги</t>
  </si>
  <si>
    <t xml:space="preserve">  Транспортные расходы</t>
  </si>
  <si>
    <t xml:space="preserve">  Командировочные расходы</t>
  </si>
  <si>
    <t xml:space="preserve">  Юридические и нотариальные услуги</t>
  </si>
  <si>
    <t xml:space="preserve">  Расходы на обучение</t>
  </si>
  <si>
    <t xml:space="preserve">  Расходы по обслуживанию компьютерной техники</t>
  </si>
  <si>
    <t xml:space="preserve">  Расходы на рекламу</t>
  </si>
  <si>
    <t xml:space="preserve">  Прочие услуги</t>
  </si>
  <si>
    <t>Выплаты по заработной плате</t>
  </si>
  <si>
    <t xml:space="preserve">Налоги с  заработной платы </t>
  </si>
  <si>
    <t>Другие платежи в бюджет</t>
  </si>
  <si>
    <t>Прочие выплаты</t>
  </si>
  <si>
    <t xml:space="preserve">3. Чистая  сумма  денежных  средств  от  операционной  деятельности </t>
  </si>
  <si>
    <t>II. Движение денежных средств от инвестиционной деятельности</t>
  </si>
  <si>
    <t>прочие</t>
  </si>
  <si>
    <t>приобретение ОС и НМА</t>
  </si>
  <si>
    <t xml:space="preserve">3. Чистая сумма денежных средств от инвестиционной деятельности </t>
  </si>
  <si>
    <t>III. Движение денежных средств от финансовой деятельности</t>
  </si>
  <si>
    <t>прочие выплаты</t>
  </si>
  <si>
    <t xml:space="preserve">3. Чистая  сумма  денежных  средств  от  финансовой  деятельности </t>
  </si>
  <si>
    <t>Итого: Увеличение +/- уменьшение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</si>
  <si>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</si>
  <si>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</si>
  <si>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на 31.03.2021г.</t>
  </si>
  <si>
    <t>За период,</t>
  </si>
  <si>
    <t>Промежуточный отдельный отчет о доходах и расходах и прочем совокупном доходе</t>
  </si>
  <si>
    <t>За отчетный 
период
1 квартал
 2021г.</t>
  </si>
  <si>
    <t>За отчетный 
период
1 квартал
 2020 г.</t>
  </si>
  <si>
    <t>На конец отчетного периода</t>
  </si>
  <si>
    <t>На конец предыдущего периода</t>
  </si>
  <si>
    <t>Промежуточный отдельный отчет о финансовом положении</t>
  </si>
  <si>
    <t>Промежуточный отдельный отчет об изменениях в собственном капитале</t>
  </si>
  <si>
    <t>Промежуточный отдельный отчет о движении денежных средств</t>
  </si>
  <si>
    <t>Валюта</t>
  </si>
  <si>
    <t>Статьи движения денежных средств</t>
  </si>
  <si>
    <t>KZT</t>
  </si>
  <si>
    <t>KZ216010131000197933 в  АО Народный Банк Казахстан</t>
  </si>
  <si>
    <t>Выплата заработной платы</t>
  </si>
  <si>
    <t>Прочие поступления операционные</t>
  </si>
  <si>
    <t>KZ826010131000197902 в  АО Народный Банк Казахстан</t>
  </si>
  <si>
    <t>Авансы под поставку ТМЗ</t>
  </si>
  <si>
    <t>Оплата аванса за услуги поставщику (в тенге)</t>
  </si>
  <si>
    <t>Оплата налогов</t>
  </si>
  <si>
    <t>Оплата поставщику - Аренда</t>
  </si>
  <si>
    <t>Оплата поставщику - Аспан Телеком (Telephone, internet, smartnet)</t>
  </si>
  <si>
    <t>Оплата поставщику - Информационные услуги (ibris, interfax)</t>
  </si>
  <si>
    <t>Оплата поставщику - Канцелярские товары</t>
  </si>
  <si>
    <t>Оплата поставщику - Командировочные расходы</t>
  </si>
  <si>
    <t>Оплата поставщику - Нотариальные услуги</t>
  </si>
  <si>
    <t>Оплата поставщику - Поддержка ПО</t>
  </si>
  <si>
    <t>Оплата поставщику - Почтовые расходы</t>
  </si>
  <si>
    <t>Оплата поставщику - Прочие</t>
  </si>
  <si>
    <t>Оплата поставщику - Расходные материалы</t>
  </si>
  <si>
    <t>Оплата поставщику - Сотовая связь</t>
  </si>
  <si>
    <t>Оплата поставщику - ТНП</t>
  </si>
  <si>
    <t xml:space="preserve">Оплата поставщику - Уборка офиса, содержание офиса </t>
  </si>
  <si>
    <t>Оплата поставщику - Финансовые услуги</t>
  </si>
  <si>
    <t>оплата поставщику - Членские взносы</t>
  </si>
  <si>
    <t>Поступление от покупателя (сч 1210, 1220, 127082-83)</t>
  </si>
  <si>
    <t>Прочие выбытия операционные</t>
  </si>
  <si>
    <t>Расчеты с бюджетом (штраф, пеня, неустойка)</t>
  </si>
  <si>
    <t>Расчеты с бюджетом по корпоративному подоходному налогу</t>
  </si>
  <si>
    <t>Расчеты с бюджетом по НДС, и др налогам</t>
  </si>
  <si>
    <t>Расчеты с бюджетом по прочим налогам</t>
  </si>
  <si>
    <t>KZ888562203106223285 в АО Банк ЦентрКредит</t>
  </si>
  <si>
    <t>Оплата поставщику - Тренинги</t>
  </si>
  <si>
    <t>ЦД - собственный счет (2017)</t>
  </si>
  <si>
    <t>Прочие поступления финансовые</t>
  </si>
  <si>
    <t>ЦД собственный- центральный контрагент KASE</t>
  </si>
  <si>
    <t>Прочие выбытия финансовые</t>
  </si>
  <si>
    <t>USD</t>
  </si>
  <si>
    <t xml:space="preserve">Народный банк - основной  валютный </t>
  </si>
  <si>
    <t>&lt;...&gt;</t>
  </si>
  <si>
    <t>Оплата поставщику - Bloomberg, other licenses</t>
  </si>
  <si>
    <t>GBP</t>
  </si>
  <si>
    <t xml:space="preserve">Народный банк -  основной собственный </t>
  </si>
  <si>
    <t>Оплата поставщику - Advertising, marketing</t>
  </si>
  <si>
    <t>Выполнение  работ, оказание услуг</t>
  </si>
  <si>
    <t>Приобретение нематериальных активов</t>
  </si>
  <si>
    <t>Interactive Brokers U2078651</t>
  </si>
  <si>
    <t xml:space="preserve">  Информационные услуги</t>
  </si>
  <si>
    <t>обучение</t>
  </si>
  <si>
    <t>подарки</t>
  </si>
  <si>
    <t>возврат</t>
  </si>
  <si>
    <t>расходные материалы</t>
  </si>
  <si>
    <t xml:space="preserve">транспортные </t>
  </si>
  <si>
    <t>аудит</t>
  </si>
  <si>
    <t>курсовая</t>
  </si>
  <si>
    <t>Вознаграждения</t>
  </si>
  <si>
    <t>Выбытие финансовых активов</t>
  </si>
  <si>
    <t>Приобретение финансовых активов</t>
  </si>
  <si>
    <t xml:space="preserve">  Финансовые услуги (в.т.ч КФБ, ЦД, членские взносы и.т.д)</t>
  </si>
  <si>
    <t>1610/1150</t>
  </si>
  <si>
    <t>информационные</t>
  </si>
  <si>
    <t>подержка  ПО</t>
  </si>
  <si>
    <t>юрид и нотар</t>
  </si>
  <si>
    <t>транспортные</t>
  </si>
  <si>
    <t>Транспортные</t>
  </si>
  <si>
    <r>
      <t>2.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 xml:space="preserve">Дебиторская задолженность по операциям репо </t>
    </r>
  </si>
  <si>
    <r>
      <t xml:space="preserve">На З1 марта 2021 года между Компанией и АО «Казахстанская Фондовая Биржа» имелись незакрытые соглашения «обратного репо» на сумму 30 009  тыс. тенге (2020: 29 008 тыс. тенге). Предметом этих соглашений являлись ценные бумаги, входящие в корзину государственных ценных бумаг, с годовой процентной ставкой </t>
    </r>
    <r>
      <rPr>
        <sz val="10"/>
        <color rgb="FFFF0000"/>
        <rFont val="Arial"/>
        <family val="2"/>
        <charset val="204"/>
      </rPr>
      <t>8.4% (2019: от 9.5% до 9.9%)</t>
    </r>
    <r>
      <rPr>
        <sz val="10"/>
        <color theme="4" tint="-0.499984740745262"/>
        <rFont val="Arial"/>
        <family val="2"/>
        <charset val="204"/>
      </rPr>
      <t xml:space="preserve"> и сроком погашения в </t>
    </r>
    <r>
      <rPr>
        <sz val="10"/>
        <color rgb="FFFF0000"/>
        <rFont val="Arial"/>
        <family val="2"/>
        <charset val="204"/>
      </rPr>
      <t>январе 2021 года (2020: в январе 2020 года).</t>
    </r>
  </si>
  <si>
    <r>
      <t>3.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Инвестиции, оцениваемые по справедливой стоимости</t>
    </r>
  </si>
  <si>
    <r>
      <t>4.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Торговая и прочая дебиторская задолженность</t>
    </r>
  </si>
  <si>
    <r>
      <t>5.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Авансы выданные и прочие текущие активы</t>
    </r>
  </si>
  <si>
    <r>
      <t>6.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Основные средства</t>
    </r>
  </si>
  <si>
    <r>
      <t>7.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Торговая и прочая кредиторская задолженность</t>
    </r>
  </si>
  <si>
    <r>
      <t>8.</t>
    </r>
    <r>
      <rPr>
        <b/>
        <sz val="10"/>
        <color theme="4" tint="-0.499984740745262"/>
        <rFont val="Times New Roman"/>
        <family val="1"/>
        <charset val="204"/>
      </rPr>
      <t xml:space="preserve">         </t>
    </r>
    <r>
      <rPr>
        <b/>
        <sz val="10"/>
        <color theme="4" tint="-0.499984740745262"/>
        <rFont val="Arial"/>
        <family val="2"/>
        <charset val="204"/>
      </rPr>
      <t>Прочие налоги к уплате</t>
    </r>
  </si>
  <si>
    <t>счет 7450</t>
  </si>
  <si>
    <t>счет 1210</t>
  </si>
  <si>
    <t>счет 6110</t>
  </si>
  <si>
    <t>2020 г.</t>
  </si>
  <si>
    <t>17(а)</t>
  </si>
  <si>
    <t>На 01 апреля</t>
  </si>
  <si>
    <t>Количество акций</t>
  </si>
  <si>
    <t>Эмиссия/ (изъятие)</t>
  </si>
  <si>
    <t>Средне-взвешенное количество акций</t>
  </si>
  <si>
    <t>Чистый убыток за период</t>
  </si>
  <si>
    <t>за период, закончившийся 30 июня 2021 года</t>
  </si>
  <si>
    <t>Оборотно-сальдовая ведомость за 2 квартал 2021 г.</t>
  </si>
  <si>
    <t>Показатели</t>
  </si>
  <si>
    <t>БУ</t>
  </si>
  <si>
    <t>Вал.</t>
  </si>
  <si>
    <t>EUR</t>
  </si>
  <si>
    <t>Основные средства и НМА</t>
  </si>
  <si>
    <t>_______________</t>
  </si>
  <si>
    <t>Татыбаева А.Т.</t>
  </si>
  <si>
    <t>ЧАКАЛИДИ И. В.</t>
  </si>
  <si>
    <t>Уставный капитал</t>
  </si>
  <si>
    <t>Изъятый капитал</t>
  </si>
  <si>
    <t>Премии (дополнительный оплаченный капитал)</t>
  </si>
  <si>
    <t>Итого капитал</t>
  </si>
  <si>
    <t xml:space="preserve"> Непокрытый убыток /Нераспределенная прибыль</t>
  </si>
  <si>
    <t>Чистый убыток за отчетный период</t>
  </si>
  <si>
    <t>1610.01, Краткосрочные авансы выданные</t>
  </si>
  <si>
    <t>2410.01, Основные средства собственные</t>
  </si>
  <si>
    <t>2410.01.02, Машины и оборудование</t>
  </si>
  <si>
    <t>2410.01.04, Прочие ОС</t>
  </si>
  <si>
    <t>2420.01.02, Амортизация машины и оборудование</t>
  </si>
  <si>
    <t>2420.01.04, Амортизация прочие ОС</t>
  </si>
  <si>
    <t>2730.01, Лицензионные соглашения</t>
  </si>
  <si>
    <t>2730.02, Программное обеспечение</t>
  </si>
  <si>
    <t>2740.01, Амортизация прочих нематериальных активов лицензионные соглашения</t>
  </si>
  <si>
    <t>2740.02, Амортизация прочих нематериальных активов программное обеспечение</t>
  </si>
  <si>
    <t>5600, Нераспределенная прибыль непокрытый убыток</t>
  </si>
  <si>
    <t>7200, Административные расходы</t>
  </si>
  <si>
    <t>7210, Административные расходы</t>
  </si>
  <si>
    <t>7210.01, Административные расходы идущие на вычет</t>
  </si>
  <si>
    <t>5710</t>
  </si>
  <si>
    <t>5600</t>
  </si>
  <si>
    <t>5610</t>
  </si>
  <si>
    <t>6100</t>
  </si>
  <si>
    <t>6110</t>
  </si>
  <si>
    <t>6110.04</t>
  </si>
  <si>
    <t>6110.81</t>
  </si>
  <si>
    <t>6160</t>
  </si>
  <si>
    <t>6200</t>
  </si>
  <si>
    <t>6240</t>
  </si>
  <si>
    <t>6240.03</t>
  </si>
  <si>
    <t>6250</t>
  </si>
  <si>
    <t>6250.02</t>
  </si>
  <si>
    <t>6280</t>
  </si>
  <si>
    <t>7200</t>
  </si>
  <si>
    <t>7210</t>
  </si>
  <si>
    <t>7210.01</t>
  </si>
  <si>
    <t>7210.02</t>
  </si>
  <si>
    <t>7210.03</t>
  </si>
  <si>
    <t>7220</t>
  </si>
  <si>
    <t>7220.01</t>
  </si>
  <si>
    <t>7220.05</t>
  </si>
  <si>
    <t>7400</t>
  </si>
  <si>
    <t>7430</t>
  </si>
  <si>
    <t>7430.02</t>
  </si>
  <si>
    <t>7440</t>
  </si>
  <si>
    <t>7440.03</t>
  </si>
  <si>
    <t>7440.25</t>
  </si>
  <si>
    <t>7450</t>
  </si>
  <si>
    <t>7470</t>
  </si>
  <si>
    <t>7470.02</t>
  </si>
  <si>
    <t>7470.81</t>
  </si>
  <si>
    <t>7470.83</t>
  </si>
  <si>
    <t>7470.84</t>
  </si>
  <si>
    <t xml:space="preserve">Главный бухгалтер </t>
  </si>
  <si>
    <t>Председатель Правления</t>
  </si>
  <si>
    <t>(подпись)</t>
  </si>
  <si>
    <t>6240.02</t>
  </si>
  <si>
    <t>1030</t>
  </si>
  <si>
    <t>1600</t>
  </si>
  <si>
    <t>1610</t>
  </si>
  <si>
    <t>1610.01</t>
  </si>
  <si>
    <t>3300</t>
  </si>
  <si>
    <t>3310</t>
  </si>
  <si>
    <t>1200</t>
  </si>
  <si>
    <t>1250</t>
  </si>
  <si>
    <t>1250.02</t>
  </si>
  <si>
    <t>3350</t>
  </si>
  <si>
    <t>Операция закрытие обратного РЕПО</t>
  </si>
  <si>
    <t>1100</t>
  </si>
  <si>
    <t>1150</t>
  </si>
  <si>
    <t>1150.01</t>
  </si>
  <si>
    <t>1270</t>
  </si>
  <si>
    <t>1270.02</t>
  </si>
  <si>
    <t>Операция открытие обратного РЕПО</t>
  </si>
  <si>
    <t>1250.01</t>
  </si>
  <si>
    <t>3100</t>
  </si>
  <si>
    <t>3120</t>
  </si>
  <si>
    <t>3150</t>
  </si>
  <si>
    <t>Оплата поставщику - Страховка</t>
  </si>
  <si>
    <t>3380</t>
  </si>
  <si>
    <t>3380.81</t>
  </si>
  <si>
    <t>3380.83</t>
  </si>
  <si>
    <t>3380.84</t>
  </si>
  <si>
    <t>1210</t>
  </si>
  <si>
    <t>1270.82</t>
  </si>
  <si>
    <t>1270.84</t>
  </si>
  <si>
    <t>1000</t>
  </si>
  <si>
    <t>1020</t>
  </si>
  <si>
    <t>1020.01</t>
  </si>
  <si>
    <t>3330</t>
  </si>
  <si>
    <t>3110</t>
  </si>
  <si>
    <t>3110.01</t>
  </si>
  <si>
    <t>Расчеты с бюджетом по налогам</t>
  </si>
  <si>
    <t>3200</t>
  </si>
  <si>
    <t>3210</t>
  </si>
  <si>
    <t>3211</t>
  </si>
  <si>
    <t>3212</t>
  </si>
  <si>
    <t>3213</t>
  </si>
  <si>
    <t>3220</t>
  </si>
  <si>
    <t>3130</t>
  </si>
  <si>
    <t>Суммы до выяснение</t>
  </si>
  <si>
    <t>3390</t>
  </si>
  <si>
    <t>3390.66</t>
  </si>
  <si>
    <t>Суммы до выяснения</t>
  </si>
  <si>
    <t>3500</t>
  </si>
  <si>
    <t>3510</t>
  </si>
  <si>
    <t>3510.81</t>
  </si>
  <si>
    <t>Битрикс</t>
  </si>
  <si>
    <t>Консультационные услуги и аудит</t>
  </si>
  <si>
    <t>ВФП</t>
  </si>
  <si>
    <t>Юр</t>
  </si>
  <si>
    <t>системные технологии</t>
  </si>
  <si>
    <t>корп.карта</t>
  </si>
  <si>
    <t>подписка по</t>
  </si>
  <si>
    <t>Комиссионные вознаграждения от брокерских услуг</t>
  </si>
  <si>
    <t>Комиссионные вознаграждения от услуг андеррайтера</t>
  </si>
  <si>
    <t>Расходы по уборке офиса</t>
  </si>
  <si>
    <t>Период</t>
  </si>
  <si>
    <t>Документ</t>
  </si>
  <si>
    <t>Аналитика Дт</t>
  </si>
  <si>
    <t>Аналитика Кт</t>
  </si>
  <si>
    <t>Общий оборот</t>
  </si>
  <si>
    <t>Текущее сальдо</t>
  </si>
  <si>
    <t>Сальдо на начало</t>
  </si>
  <si>
    <t>30.04.2021</t>
  </si>
  <si>
    <t>Закрытие месяца 00000000004 от 30.04.2021 23:59:59
РБП за Апрель 2021 г.</t>
  </si>
  <si>
    <t>Расходы будущих периодов
Administration</t>
  </si>
  <si>
    <t xml:space="preserve">Страхование ГПО работодателя </t>
  </si>
  <si>
    <t>1620.01</t>
  </si>
  <si>
    <t>Д</t>
  </si>
  <si>
    <t>Антивирус Касперского с 01.11.2020г. по 31.10.2021г.</t>
  </si>
  <si>
    <t>1620.03</t>
  </si>
  <si>
    <t>Расходы будущих периодов
IT Department</t>
  </si>
  <si>
    <t>Go Daddy Operating Company, LLC 01.10.2020 - 30.09.2021</t>
  </si>
  <si>
    <t>Go Daddy Operating Company, LLC 05.10.2020 - 04.10.2021</t>
  </si>
  <si>
    <t>Сертификат для эл. почты Bluehost-Endurance International Group 18.10.2020-16.10.2021</t>
  </si>
  <si>
    <t>продление регистрации домена e-pensions.kz на 1 год</t>
  </si>
  <si>
    <t>продление регистрации домена pensions.kz на 1 год</t>
  </si>
  <si>
    <t>продление регистрации домена e-invoice.kz на 1 год</t>
  </si>
  <si>
    <t>продление регистрации домена e-finance.kz на 1 год</t>
  </si>
  <si>
    <t>продление регистрации домена e-funds.kz на 1 год</t>
  </si>
  <si>
    <t>продление регистрации домена e-investment.kz на 1 год</t>
  </si>
  <si>
    <t>продление регистрации домена e-mortgage.kz на 1 год</t>
  </si>
  <si>
    <t>продление регистрации домена e-research.kz на 1 год</t>
  </si>
  <si>
    <t>продление регистрации домена e-advisory.kz на 1 год</t>
  </si>
  <si>
    <t>продление регистрации домена e-dashboard.kz на 1 год</t>
  </si>
  <si>
    <t>Go Daddy Operating Company, LLC 06.11.2020 - 05.11.2021</t>
  </si>
  <si>
    <t>Расходы будущих периодов
Операционное подразделение</t>
  </si>
  <si>
    <t>Bloomberg Finance L.P 12.10.2020 - 11.10.2021</t>
  </si>
  <si>
    <t>Go Daddy Operating Company, LLC 25.12.2020 - 24.12.2021</t>
  </si>
  <si>
    <t>Расходы будущих периодов
Sales&amp;Trading</t>
  </si>
  <si>
    <t>Годовой абонемент по использованию ЭЦП etransfer.kz за 2021</t>
  </si>
  <si>
    <t>Расходы будущих периодов
Back office</t>
  </si>
  <si>
    <t>АО "Сбербанк" Аренда сейфовой ячейки с 01.01.2021 по 31.12.2021</t>
  </si>
  <si>
    <t>Членский взнос 01.01.21-31.12.21 ISDA</t>
  </si>
  <si>
    <t>Расходы будущих периодов
Legal Department</t>
  </si>
  <si>
    <t>Подписка ИС Параграф WWW SILVER+ (05.02.2021 по 04.02.2022)</t>
  </si>
  <si>
    <t>Go Daddy Operating Company, LLC 03.02.2021 - 02.02.2022</t>
  </si>
  <si>
    <t>Регистрация домена  tengricapital</t>
  </si>
  <si>
    <t>Go Daddy Operating Company, LLC 20.02.2021 - 19.02.2022</t>
  </si>
  <si>
    <t>Расходы будущих периодов
Management</t>
  </si>
  <si>
    <t>Bloomberg 03/13/21 - 06/11/21</t>
  </si>
  <si>
    <t>Продление домена  tengripartners.kz</t>
  </si>
  <si>
    <t>Годовой абонемент по использованию ЭЦП E trade за 2020</t>
  </si>
  <si>
    <t>Антивирус Касперского с 08.04.2021г. по 07.04.2022г.</t>
  </si>
  <si>
    <t>Сертификат для эл. почты Bluehost-Endurance International Group 19.05.2020-18.05.2021</t>
  </si>
  <si>
    <t>Антивирус Касперского с 11.05.2020г. по 10.05.2021г.</t>
  </si>
  <si>
    <t>Подписка ИС Параграф WWW Эксперт (01.06.2020 по 31.05.2021)</t>
  </si>
  <si>
    <t>Go Daddy Operating Company, LLC 14.06.2020 - 13.06.2021</t>
  </si>
  <si>
    <t>Антивирус Касперского с 28.07.2020г. по 31.07.2021г.</t>
  </si>
  <si>
    <t>Сертификат для эл. почты Bluehost-Endurance International Group 16.07.2020-29.07.2021</t>
  </si>
  <si>
    <t>31.05.2021</t>
  </si>
  <si>
    <t>Закрытие месяца 00000000005 от 31.05.2021 23:59:59
РБП за Май 2021 г.</t>
  </si>
  <si>
    <t>Продление регистрации домена tpib.kz на 1 год 12/05/2021-11/05/2022</t>
  </si>
  <si>
    <t>30.06.2021</t>
  </si>
  <si>
    <t>Закрытие месяца 00000000006 от 30.06.2021 23:59:59
РБП за Июнь 2021 г.</t>
  </si>
  <si>
    <t>Go Daddy Operating Company, LLC 07.06.2021 - 06.06.2022</t>
  </si>
  <si>
    <t>Защита сайта Bluehost-Endurance International Group 03.06.2021-02.06.2022</t>
  </si>
  <si>
    <t>ГА по использованию ЭЦП is2in 01/06/2021-31/05/2022 Назарова Н</t>
  </si>
  <si>
    <t>ГА по использованию ЭЦП etransfer.kz 01/06/2021-31/05/2022 Мендыбаев М</t>
  </si>
  <si>
    <t>Антивирус Касперского с 01.06.2021г. по 31.05.2022г.</t>
  </si>
  <si>
    <t>Go Daddy Operating Company, LLC 02.06.2021 - 01.06.2022</t>
  </si>
  <si>
    <t>Подписка ИС Параграф WWW Эксперт (01.06.2021 по 31.05.2022)</t>
  </si>
  <si>
    <t>Go Daddy Operating Company, LLC 13.06.2021 - 12.06.2022 (почта Ануара)</t>
  </si>
  <si>
    <t>Go Daddy Operating Company, LLC 13.06.2021 - 12.06.2022 (почта Акбара)</t>
  </si>
  <si>
    <t>Go Daddy Operating Company, LLC 13.06.2021 - 12.06.2022 (почта Дастана)</t>
  </si>
  <si>
    <t>Обороты за период и сальдо на конец</t>
  </si>
  <si>
    <t>30.04.2020</t>
  </si>
  <si>
    <t>Закрытие месяца 00000000004 от 30.04.2020 23:59:59
РБП за Апрель 2020 г.</t>
  </si>
  <si>
    <t>Расходы будущих периодов
Administration
Insurance</t>
  </si>
  <si>
    <t>Расходы будущих периодов
Sales&amp;Trading
Maintenance ( trading &amp; operations, accounting)</t>
  </si>
  <si>
    <t>Годовой абонемент по использованию ЭЦП etransfer.kz за 2019</t>
  </si>
  <si>
    <t>Годовой абонемент по использованию ЭЦП etransfer.kz за 2019-2020</t>
  </si>
  <si>
    <t>Расходы будущих периодов
IT Department
Maintenance ( trading &amp; operations, accounting)</t>
  </si>
  <si>
    <t>Go Daddy Operating Company, LLC 23.06.2019 - 22.06.2020</t>
  </si>
  <si>
    <t>Расходы будущих периодов
Administration
Software (salesforce, KASE, eTr, ETC, kzmr, finan)</t>
  </si>
  <si>
    <t>Антивирус Касперского с 01.11.2019г. по 31.07.2020г.</t>
  </si>
  <si>
    <t>Go Daddy Operating Company, LLC 14.07.2019 - 13.07.2020</t>
  </si>
  <si>
    <t>Go Daddy Operating Company, LLC 21.07.2019 - 20.07.2020</t>
  </si>
  <si>
    <t>Go Daddy Operating Company, LLC 13.08.2019 - 12.08.2020</t>
  </si>
  <si>
    <t>Go Daddy Operating Company, LLC 03.08.2019 - 02.08.2020</t>
  </si>
  <si>
    <t>Go Daddy Operating Company, LLC 29.08.2019 - 28.08.2020</t>
  </si>
  <si>
    <t>Go Daddy Operating Company, LLC 10.09.2019 - 09.09.2020</t>
  </si>
  <si>
    <t>Расходы будущих периодов
Операционное подразделение
Information services ( interfax, bloomberg)</t>
  </si>
  <si>
    <t>Bloomberg Finance L.P 12.12.2019 - 12.10.2020</t>
  </si>
  <si>
    <t>Go Daddy Operating Company, LLC 08.09.2019 - 07.09.2020</t>
  </si>
  <si>
    <t>Go Daddy Operating Company, LLC 12.09.2019 - 11.09.2020</t>
  </si>
  <si>
    <t>Регистрация домена  tengricapital 07.10.2019-06.10.2020</t>
  </si>
  <si>
    <t>Сертификат для эл. почты Bluehost-Endurance International Group 18.10.2019-17.10.2020</t>
  </si>
  <si>
    <t>Go Daddy Operating Company, LLC 05.10.2019 - 04.10.2020</t>
  </si>
  <si>
    <t>Go Daddy Operating Company, LLC 03.11.2019 - 02.11.2020</t>
  </si>
  <si>
    <t>Go Daddy Operating Company, LLC 10.11.2019 - 09.11.2020</t>
  </si>
  <si>
    <t>Go Daddy Operating Company, LLC 03.01.2020 - 02.01.2021</t>
  </si>
  <si>
    <t>Расходы будущих периодов
Legal Department
Information services ( interfax, bloomberg)</t>
  </si>
  <si>
    <t>Подписка ИС Параграф (01.01.2020 по 30.04.2020)</t>
  </si>
  <si>
    <t>Расходы будущих периодов
Back office
Bank charges</t>
  </si>
  <si>
    <t>АО "Сбербанк" Аренда сейфовой ячейки с 01.02.2020 по 31.12.2020</t>
  </si>
  <si>
    <t>Software Update License and support</t>
  </si>
  <si>
    <t>Подписка ИС Параграф WWW SILVER+ (01.01.2020 по 30.04.2020)</t>
  </si>
  <si>
    <t>Расходы будущих периодов
Administration
Maintenance ( trading &amp; operations, accounting)</t>
  </si>
  <si>
    <t>Аккредитация на ЕЭП</t>
  </si>
  <si>
    <t>Доступ к порталу eep.mitwork.kz</t>
  </si>
  <si>
    <t>REAL VISION TV 12.02.2020 - 11.02.2021</t>
  </si>
  <si>
    <t>WORDPRESS F8CM85YUAV 14/02/202-13/02/2021</t>
  </si>
  <si>
    <t>Go Daddy Operating Company, LLC 15.02.2020 - 14.02.2021</t>
  </si>
  <si>
    <t>Bloomberg 03/13/20 - 06/12/20</t>
  </si>
  <si>
    <t>Операция (бухгалтерский и налоговый учет) 00000000563 от 30.04.2020 23:59:59</t>
  </si>
  <si>
    <t>31.05.2020</t>
  </si>
  <si>
    <t>Закрытие месяца 00000000005 от 31.05.2020 23:59:59
РБП за Май 2020 г.</t>
  </si>
  <si>
    <t>30.06.2020</t>
  </si>
  <si>
    <t>Закрытие месяца 00000000006 от 30.06.2020 23:59:59
РБП за Июнь 2020 г.</t>
  </si>
  <si>
    <t>Промежуточный консолидированный отчет об изменениях в собственном капитале</t>
  </si>
  <si>
    <t>На 01.01.2021</t>
  </si>
  <si>
    <t>Абон плата за облачное хранилище</t>
  </si>
  <si>
    <t>Аренда рекламной конструкции</t>
  </si>
  <si>
    <t>Аренда сейфовой ячейки (РБП)</t>
  </si>
  <si>
    <t>Аренда склада</t>
  </si>
  <si>
    <t>Доступ к услуге e-transfer</t>
  </si>
  <si>
    <t>За предост доступа к ASTS+и ТИ</t>
  </si>
  <si>
    <t>Комиссия банка за перевод</t>
  </si>
  <si>
    <t>Комиссия за OnlineBanking</t>
  </si>
  <si>
    <t>Комиссия за ведение банковского счета</t>
  </si>
  <si>
    <t>Комиссия за услуги банка (прочие)</t>
  </si>
  <si>
    <t>Листинговый сбор</t>
  </si>
  <si>
    <t>Страхование гражданско-правовой ответственности</t>
  </si>
  <si>
    <t>Услуги по доступу к информационным и аналитическим данным</t>
  </si>
  <si>
    <t>Электронная связь</t>
  </si>
  <si>
    <t>Вода питьевая</t>
  </si>
  <si>
    <t>За размещение сервера и аренду канала связи</t>
  </si>
  <si>
    <t>Сервисное обслуживание офисной техники</t>
  </si>
  <si>
    <t xml:space="preserve">Антивирус </t>
  </si>
  <si>
    <t>Услуги веб-хостинга</t>
  </si>
  <si>
    <t>Услуги регистратора доменных имен</t>
  </si>
  <si>
    <t>Услуги финансово и экономического информационного агентства</t>
  </si>
  <si>
    <t>1030, Денежные средства на текущих счетах</t>
  </si>
  <si>
    <t>1110, Краткосрочные предоставленные займы</t>
  </si>
  <si>
    <t>2200, Инвестиции, учитываемые методом долевого участия</t>
  </si>
  <si>
    <t>5500, Нераспределенная прибыль (непокрытый убыток)</t>
  </si>
  <si>
    <t>5520, Нераспределенная прибыль (непокрытый убыток) предыдущих лет</t>
  </si>
  <si>
    <t>5610, Нераспределенная прибыль (непокрытый убыток) отчетного года</t>
  </si>
  <si>
    <t>6150</t>
  </si>
  <si>
    <t>6150.01</t>
  </si>
  <si>
    <t>6280 07</t>
  </si>
  <si>
    <t>6280 09</t>
  </si>
  <si>
    <t>6280.02</t>
  </si>
  <si>
    <t>Код активации Fortinet FortiGate-61E 1 Year</t>
  </si>
  <si>
    <t>Обслуживание программы ЗУП и 1С</t>
  </si>
  <si>
    <t xml:space="preserve">Публикация </t>
  </si>
  <si>
    <t>Разработка и внедрение ПО АИС</t>
  </si>
  <si>
    <t>Расходы за обучение</t>
  </si>
  <si>
    <t>Расходы по ремонту офисного помещения</t>
  </si>
  <si>
    <t>Услуги по активации ПО 1 С Битрикс</t>
  </si>
  <si>
    <t>Комиссия за услуги брокера</t>
  </si>
  <si>
    <t>Обслуживание программы ЗУП</t>
  </si>
  <si>
    <t>Разработка и внедрение ПО 1С</t>
  </si>
  <si>
    <t>На 01.01.2022</t>
  </si>
  <si>
    <t xml:space="preserve">CMD Project 1 </t>
  </si>
  <si>
    <t>CMD Project 2</t>
  </si>
  <si>
    <t>Brokerage fee</t>
  </si>
  <si>
    <t>CMD Project 3</t>
  </si>
  <si>
    <t>3000, Краткосрочные финансовые обязательства</t>
  </si>
  <si>
    <t>3050, Прочие краткосрочные финансовые обязательства</t>
  </si>
  <si>
    <t>5030, Вклады и паи</t>
  </si>
  <si>
    <t>Займы выданные</t>
  </si>
  <si>
    <t>Займы полученные</t>
  </si>
  <si>
    <t>7410</t>
  </si>
  <si>
    <t>Анализ счета 5710  за 2 квартал 2021 г.</t>
  </si>
  <si>
    <t>Аудиторские (консультационные) услуги</t>
  </si>
  <si>
    <t>Консультационные услуги</t>
  </si>
  <si>
    <t>Прочие расходы</t>
  </si>
  <si>
    <t>Расходные материалы</t>
  </si>
  <si>
    <t>7300</t>
  </si>
  <si>
    <t>7310</t>
  </si>
  <si>
    <t>7310.04</t>
  </si>
  <si>
    <t>Услуги финансового консультанта, согласно брокерского договора</t>
  </si>
  <si>
    <t>Вознаграждение агента</t>
  </si>
  <si>
    <t>Услуги по сервисному обслуживанию офиса</t>
  </si>
  <si>
    <t>Штрафы, пени по хоз.договорам и внебюджетные фонды</t>
  </si>
  <si>
    <t>консультация командировка</t>
  </si>
  <si>
    <t>Промежуточный консолидированный отчет о финансовом положении</t>
  </si>
  <si>
    <t>Промежуточный консолидированный отчет о доходах и расходах и прочем совокупном доходе</t>
  </si>
  <si>
    <t>На
 31 декабря 2021 года</t>
  </si>
  <si>
    <t>2400</t>
  </si>
  <si>
    <t>2410</t>
  </si>
  <si>
    <t>2410.01</t>
  </si>
  <si>
    <t>2410.01.02</t>
  </si>
  <si>
    <t>2410.01.04</t>
  </si>
  <si>
    <t>2420</t>
  </si>
  <si>
    <t>2420.01.02</t>
  </si>
  <si>
    <t>2420.01.04</t>
  </si>
  <si>
    <t>2700</t>
  </si>
  <si>
    <t>2730</t>
  </si>
  <si>
    <t>2730.01</t>
  </si>
  <si>
    <t>2730.02</t>
  </si>
  <si>
    <t>2740</t>
  </si>
  <si>
    <t>2740.01</t>
  </si>
  <si>
    <t>2740.02</t>
  </si>
  <si>
    <t>по состоянию на 30.09.2022 года</t>
  </si>
  <si>
    <t>На
 30 сентября 2022 года</t>
  </si>
  <si>
    <t>за период, закончившийся на 30 сентября 2022 года</t>
  </si>
  <si>
    <t>На 30 сентября 2021</t>
  </si>
  <si>
    <t>На 30 сентября 2022</t>
  </si>
  <si>
    <t>за период, закончившийся 30 сентября 2022 года</t>
  </si>
  <si>
    <t>на 01.10.2022</t>
  </si>
  <si>
    <t>на 01.10.2021</t>
  </si>
  <si>
    <t>ОПЕРАЦИОННАЯ ДЕЯТЕЛЬНОСТЬ</t>
  </si>
  <si>
    <t>(Убыток)  доход до налогообложения</t>
  </si>
  <si>
    <t>Корректировки:</t>
  </si>
  <si>
    <t>Прочие неденежные убытки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</si>
  <si>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</si>
  <si>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</si>
  <si>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Изменение дебиторской задолженности по операциям репо</t>
  </si>
  <si>
    <t>(Увеличение) уменьшение торговой и прочей дебиторской задолженности</t>
  </si>
  <si>
    <t>Уменьшение (увеличение) авансов выданных и прочих текущих активов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</si>
  <si>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</si>
  <si>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</si>
  <si>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</si>
  <si>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уплаченные (полученный)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</si>
  <si>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</si>
  <si>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</si>
  <si>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</si>
  <si>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инвистиций</t>
  </si>
  <si>
    <t>Чистые денежные средства использованные в инвестиционной деятельности</t>
  </si>
  <si>
    <t>ФИНАНСОВАЯ ДЕЯТЕЛЬНОСТЬ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</si>
  <si>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</si>
  <si>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</si>
  <si>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</si>
  <si>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</si>
  <si>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</si>
  <si>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 xml:space="preserve">За девять месяцев, закончившиеся 
30 сентября 2022 года
</t>
  </si>
  <si>
    <t xml:space="preserve">За девять месяцев, закончившиеся 
30 сентября 2021 года
</t>
  </si>
  <si>
    <t>Промежуточный консолидированный отчет о движении денежных средств</t>
  </si>
  <si>
    <t>17(б)</t>
  </si>
  <si>
    <t>10(а)</t>
  </si>
  <si>
    <t>10(б)</t>
  </si>
  <si>
    <t>17(в)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</si>
</sst>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_р_._-;\-* #,##0_р_._-;_-* &quot;-&quot;_р_._-;_-@_-"/>
    <numFmt numFmtId="166" formatCode="* #,##0_);* \(#,##0\);&quot;-&quot;??_);@"/>
    <numFmt numFmtId="167" formatCode="* #,##0.0_);* \(#,##0.0\);&quot;-&quot;??_);@"/>
    <numFmt numFmtId="168" formatCode="_-* #,##0.00\ _₽_-;\-* #,##0.00\ _₽_-;_-* &quot;-&quot;??\ _₽_-;_-@_-"/>
    <numFmt numFmtId="169" formatCode="#,##0.00_ ;[Red]\-#,##0.00\ "/>
    <numFmt numFmtId="170" formatCode="_(* #,##0_);_(* \(#,##0\);_(* &quot;-&quot;_);_(@_)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66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66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4" tint="-0.499984740745262"/>
      <name val="Arial"/>
      <family val="2"/>
      <charset val="204"/>
    </font>
    <font>
      <sz val="8"/>
      <color theme="4" tint="-0.499984740745262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9.5"/>
      <color rgb="FF000066"/>
      <name val="Arial"/>
      <family val="2"/>
      <charset val="204"/>
    </font>
    <font>
      <sz val="9"/>
      <color rgb="FF0000FF"/>
      <name val="Symbol"/>
      <family val="1"/>
      <charset val="2"/>
    </font>
    <font>
      <sz val="7"/>
      <color rgb="FF0000FF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rgb="FF000066"/>
      <name val="Arial"/>
      <family val="2"/>
      <charset val="204"/>
    </font>
    <font>
      <sz val="10"/>
      <color theme="4" tint="-0.499984740745262"/>
      <name val="Calibri"/>
      <family val="2"/>
      <charset val="204"/>
      <scheme val="minor"/>
    </font>
    <font>
      <b/>
      <sz val="8"/>
      <color indexed="10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sz val="10"/>
      <color theme="4" tint="-0.499984740745262"/>
      <name val="Times New Roman"/>
      <family val="1"/>
      <charset val="204"/>
    </font>
    <font>
      <sz val="10"/>
      <name val="Times New Roman"/>
      <family val="1"/>
    </font>
    <font>
      <i/>
      <sz val="9"/>
      <color theme="4" tint="-0.499984740745262"/>
      <name val="Arial"/>
      <family val="2"/>
      <charset val="204"/>
    </font>
    <font>
      <b/>
      <sz val="8"/>
      <name val="Arial"/>
      <family val="2"/>
      <charset val="1"/>
    </font>
    <font>
      <sz val="10"/>
      <color theme="4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4" tint="-0.499984740745262"/>
      <name val="Arial"/>
      <family val="2"/>
      <charset val="204"/>
    </font>
    <font>
      <b/>
      <i/>
      <sz val="10"/>
      <color theme="4" tint="-0.49998474074526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0066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color indexed="21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4" tint="-0.499984740745262"/>
      <name val="Calibri"/>
      <family val="2"/>
      <charset val="204"/>
      <scheme val="minor"/>
    </font>
    <font>
      <sz val="8"/>
      <color indexed="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10"/>
      <name val="Calibri"/>
      <family val="2"/>
      <charset val="204"/>
      <scheme val="minor"/>
    </font>
    <font>
      <sz val="8"/>
      <color indexed="21"/>
      <name val="Arial"/>
      <family val="2"/>
    </font>
    <font>
      <sz val="8"/>
      <color theme="5" tint="-0.249977111117893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theme="5"/>
      <name val="Arial"/>
      <family val="2"/>
      <charset val="204"/>
    </font>
    <font>
      <sz val="8"/>
      <color theme="5"/>
      <name val="Calibri"/>
      <family val="2"/>
      <charset val="204"/>
      <scheme val="minor"/>
    </font>
    <font>
      <b/>
      <sz val="8"/>
      <color indexed="21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color theme="5" tint="-0.249977111117893"/>
      <name val="Arial"/>
      <family val="2"/>
      <charset val="204"/>
    </font>
    <font>
      <sz val="10"/>
      <name val="Arial Cyr"/>
      <charset val="204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4" tint="-0.499984740745262"/>
      <name val="Arial"/>
      <family val="2"/>
      <charset val="204"/>
    </font>
    <font>
      <b/>
      <sz val="11"/>
      <color theme="4" tint="-0.499984740745262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27" fillId="0" borderId="0" applyFill="0" applyBorder="0" applyProtection="0"/>
    <xf numFmtId="0" fontId="14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46" fillId="0" borderId="0"/>
    <xf numFmtId="43" fontId="4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5" fontId="59" fillId="0" borderId="0" applyFont="0" applyFill="0" applyBorder="0" applyAlignment="0" applyProtection="0"/>
  </cellStyleXfs>
  <cellXfs count="77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6" fillId="0" borderId="0" xfId="2" applyFont="1"/>
    <xf numFmtId="0" fontId="14" fillId="0" borderId="0" xfId="2"/>
    <xf numFmtId="0" fontId="16" fillId="3" borderId="6" xfId="2" applyFont="1" applyFill="1" applyBorder="1" applyAlignment="1">
      <alignment vertical="center" wrapText="1"/>
    </xf>
    <xf numFmtId="0" fontId="16" fillId="3" borderId="6" xfId="2" applyFont="1" applyFill="1" applyBorder="1" applyAlignment="1">
      <alignment horizontal="center" vertical="center" wrapText="1"/>
    </xf>
    <xf numFmtId="1" fontId="14" fillId="4" borderId="6" xfId="2" applyNumberFormat="1" applyFill="1" applyBorder="1" applyAlignment="1">
      <alignment horizontal="left" vertical="top"/>
    </xf>
    <xf numFmtId="0" fontId="14" fillId="4" borderId="6" xfId="2" applyFill="1" applyBorder="1" applyAlignment="1">
      <alignment vertical="top" wrapText="1"/>
    </xf>
    <xf numFmtId="0" fontId="14" fillId="4" borderId="6" xfId="2" applyFill="1" applyBorder="1" applyAlignment="1">
      <alignment horizontal="right" vertical="top" wrapText="1"/>
    </xf>
    <xf numFmtId="0" fontId="14" fillId="0" borderId="6" xfId="2" applyBorder="1" applyAlignment="1">
      <alignment vertical="top" indent="2"/>
    </xf>
    <xf numFmtId="1" fontId="14" fillId="0" borderId="6" xfId="2" applyNumberFormat="1" applyBorder="1" applyAlignment="1">
      <alignment horizontal="left" vertical="top"/>
    </xf>
    <xf numFmtId="4" fontId="17" fillId="0" borderId="6" xfId="2" applyNumberFormat="1" applyFont="1" applyBorder="1" applyAlignment="1">
      <alignment horizontal="right" vertical="top" wrapText="1"/>
    </xf>
    <xf numFmtId="0" fontId="14" fillId="0" borderId="6" xfId="2" applyBorder="1" applyAlignment="1">
      <alignment horizontal="right" vertical="top" wrapText="1"/>
    </xf>
    <xf numFmtId="0" fontId="14" fillId="0" borderId="6" xfId="2" applyBorder="1" applyAlignment="1">
      <alignment vertical="top" indent="4"/>
    </xf>
    <xf numFmtId="4" fontId="14" fillId="0" borderId="6" xfId="2" applyNumberFormat="1" applyBorder="1" applyAlignment="1">
      <alignment horizontal="right" vertical="top" wrapText="1"/>
    </xf>
    <xf numFmtId="0" fontId="14" fillId="0" borderId="6" xfId="2" applyBorder="1" applyAlignment="1">
      <alignment vertical="top" indent="6"/>
    </xf>
    <xf numFmtId="2" fontId="14" fillId="0" borderId="6" xfId="2" applyNumberFormat="1" applyBorder="1" applyAlignment="1">
      <alignment horizontal="right" vertical="top" wrapText="1"/>
    </xf>
    <xf numFmtId="0" fontId="14" fillId="0" borderId="6" xfId="2" applyBorder="1" applyAlignment="1">
      <alignment vertical="top" indent="8"/>
    </xf>
    <xf numFmtId="0" fontId="14" fillId="4" borderId="6" xfId="2" applyFill="1" applyBorder="1" applyAlignment="1">
      <alignment vertical="top"/>
    </xf>
    <xf numFmtId="4" fontId="14" fillId="4" borderId="6" xfId="2" applyNumberFormat="1" applyFill="1" applyBorder="1" applyAlignment="1">
      <alignment horizontal="right" vertical="top" wrapText="1"/>
    </xf>
    <xf numFmtId="3" fontId="18" fillId="0" borderId="0" xfId="0" applyNumberFormat="1" applyFont="1"/>
    <xf numFmtId="4" fontId="16" fillId="0" borderId="6" xfId="2" applyNumberFormat="1" applyFont="1" applyBorder="1" applyAlignment="1">
      <alignment horizontal="right" vertical="top" wrapText="1"/>
    </xf>
    <xf numFmtId="3" fontId="0" fillId="0" borderId="0" xfId="0" applyNumberFormat="1"/>
    <xf numFmtId="3" fontId="19" fillId="0" borderId="0" xfId="0" applyNumberFormat="1" applyFont="1"/>
    <xf numFmtId="1" fontId="14" fillId="5" borderId="6" xfId="2" applyNumberFormat="1" applyFill="1" applyBorder="1" applyAlignment="1">
      <alignment horizontal="left" vertical="top"/>
    </xf>
    <xf numFmtId="0" fontId="14" fillId="5" borderId="6" xfId="2" applyFill="1" applyBorder="1" applyAlignment="1">
      <alignment horizontal="right" vertical="top" wrapText="1"/>
    </xf>
    <xf numFmtId="4" fontId="14" fillId="5" borderId="6" xfId="2" applyNumberFormat="1" applyFill="1" applyBorder="1" applyAlignment="1">
      <alignment horizontal="right" vertical="top" wrapText="1"/>
    </xf>
    <xf numFmtId="3" fontId="18" fillId="5" borderId="0" xfId="0" applyNumberFormat="1" applyFont="1" applyFill="1"/>
    <xf numFmtId="0" fontId="14" fillId="5" borderId="6" xfId="2" applyFill="1" applyBorder="1" applyAlignment="1">
      <alignment vertical="top" indent="4"/>
    </xf>
    <xf numFmtId="0" fontId="14" fillId="5" borderId="6" xfId="2" applyFill="1" applyBorder="1" applyAlignment="1">
      <alignment vertical="top" indent="6"/>
    </xf>
    <xf numFmtId="2" fontId="14" fillId="5" borderId="6" xfId="2" applyNumberFormat="1" applyFill="1" applyBorder="1" applyAlignment="1">
      <alignment horizontal="right" vertical="top" wrapText="1"/>
    </xf>
    <xf numFmtId="3" fontId="2" fillId="0" borderId="0" xfId="0" applyNumberFormat="1" applyFont="1"/>
    <xf numFmtId="4" fontId="0" fillId="0" borderId="0" xfId="0" applyNumberFormat="1"/>
    <xf numFmtId="1" fontId="14" fillId="6" borderId="6" xfId="2" applyNumberFormat="1" applyFill="1" applyBorder="1" applyAlignment="1">
      <alignment horizontal="left" vertical="top"/>
    </xf>
    <xf numFmtId="0" fontId="14" fillId="6" borderId="6" xfId="2" applyFill="1" applyBorder="1" applyAlignment="1">
      <alignment horizontal="right" vertical="top" wrapText="1"/>
    </xf>
    <xf numFmtId="4" fontId="14" fillId="6" borderId="6" xfId="2" applyNumberFormat="1" applyFill="1" applyBorder="1" applyAlignment="1">
      <alignment horizontal="right" vertical="top" wrapText="1"/>
    </xf>
    <xf numFmtId="0" fontId="0" fillId="6" borderId="0" xfId="0" applyFill="1"/>
    <xf numFmtId="3" fontId="18" fillId="6" borderId="0" xfId="0" applyNumberFormat="1" applyFont="1" applyFill="1"/>
    <xf numFmtId="3" fontId="19" fillId="5" borderId="0" xfId="0" applyNumberFormat="1" applyFont="1" applyFill="1"/>
    <xf numFmtId="0" fontId="14" fillId="5" borderId="6" xfId="2" applyFill="1" applyBorder="1" applyAlignment="1">
      <alignment vertical="top" indent="2"/>
    </xf>
    <xf numFmtId="0" fontId="20" fillId="0" borderId="6" xfId="2" applyFont="1" applyBorder="1" applyAlignment="1">
      <alignment vertical="top" indent="4"/>
    </xf>
    <xf numFmtId="1" fontId="20" fillId="0" borderId="6" xfId="2" applyNumberFormat="1" applyFont="1" applyBorder="1" applyAlignment="1">
      <alignment horizontal="left" vertical="top"/>
    </xf>
    <xf numFmtId="0" fontId="20" fillId="0" borderId="6" xfId="2" applyFont="1" applyBorder="1" applyAlignment="1">
      <alignment horizontal="right" vertical="top" wrapText="1"/>
    </xf>
    <xf numFmtId="4" fontId="20" fillId="0" borderId="6" xfId="2" applyNumberFormat="1" applyFont="1" applyBorder="1" applyAlignment="1">
      <alignment horizontal="right" vertical="top" wrapText="1"/>
    </xf>
    <xf numFmtId="0" fontId="2" fillId="0" borderId="0" xfId="0" applyFont="1"/>
    <xf numFmtId="1" fontId="14" fillId="7" borderId="6" xfId="2" applyNumberFormat="1" applyFill="1" applyBorder="1" applyAlignment="1">
      <alignment horizontal="left" vertical="top"/>
    </xf>
    <xf numFmtId="4" fontId="14" fillId="7" borderId="6" xfId="2" applyNumberFormat="1" applyFill="1" applyBorder="1" applyAlignment="1">
      <alignment horizontal="right" vertical="top" wrapText="1"/>
    </xf>
    <xf numFmtId="0" fontId="14" fillId="7" borderId="6" xfId="2" applyFill="1" applyBorder="1" applyAlignment="1">
      <alignment horizontal="right" vertical="top" wrapText="1"/>
    </xf>
    <xf numFmtId="3" fontId="18" fillId="7" borderId="0" xfId="0" applyNumberFormat="1" applyFont="1" applyFill="1"/>
    <xf numFmtId="3" fontId="18" fillId="0" borderId="0" xfId="0" applyNumberFormat="1" applyFont="1" applyAlignment="1">
      <alignment horizontal="left"/>
    </xf>
    <xf numFmtId="0" fontId="18" fillId="0" borderId="0" xfId="0" applyFont="1"/>
    <xf numFmtId="0" fontId="16" fillId="0" borderId="6" xfId="2" applyFont="1" applyBorder="1" applyAlignment="1">
      <alignment vertical="top" wrapText="1" indent="4"/>
    </xf>
    <xf numFmtId="0" fontId="14" fillId="0" borderId="6" xfId="2" applyBorder="1" applyAlignment="1">
      <alignment vertical="top" wrapText="1" indent="6"/>
    </xf>
    <xf numFmtId="4" fontId="18" fillId="0" borderId="0" xfId="0" applyNumberFormat="1" applyFont="1"/>
    <xf numFmtId="4" fontId="14" fillId="0" borderId="6" xfId="3" applyNumberFormat="1" applyBorder="1" applyAlignment="1">
      <alignment horizontal="right" vertical="top" wrapText="1"/>
    </xf>
    <xf numFmtId="0" fontId="15" fillId="0" borderId="6" xfId="3" applyFont="1" applyBorder="1" applyAlignment="1">
      <alignment vertical="top" wrapText="1" indent="6"/>
    </xf>
    <xf numFmtId="0" fontId="21" fillId="0" borderId="0" xfId="0" applyFont="1" applyAlignment="1">
      <alignment vertical="center" wrapText="1"/>
    </xf>
    <xf numFmtId="43" fontId="21" fillId="2" borderId="3" xfId="1" applyFont="1" applyFill="1" applyBorder="1" applyAlignment="1">
      <alignment horizontal="right" vertical="center" wrapText="1"/>
    </xf>
    <xf numFmtId="164" fontId="4" fillId="2" borderId="0" xfId="1" applyNumberFormat="1" applyFont="1" applyFill="1" applyAlignment="1">
      <alignment horizontal="right" vertical="center" wrapText="1"/>
    </xf>
    <xf numFmtId="0" fontId="22" fillId="0" borderId="0" xfId="0" applyFont="1"/>
    <xf numFmtId="2" fontId="16" fillId="0" borderId="6" xfId="4" applyNumberFormat="1" applyFont="1" applyBorder="1" applyAlignment="1">
      <alignment horizontal="right" vertical="top" wrapText="1"/>
    </xf>
    <xf numFmtId="0" fontId="16" fillId="0" borderId="6" xfId="4" applyFont="1" applyBorder="1" applyAlignment="1">
      <alignment vertical="top" wrapText="1" indent="6"/>
    </xf>
    <xf numFmtId="4" fontId="16" fillId="0" borderId="6" xfId="4" applyNumberFormat="1" applyFont="1" applyBorder="1" applyAlignment="1">
      <alignment horizontal="right" vertical="top" wrapText="1"/>
    </xf>
    <xf numFmtId="4" fontId="16" fillId="5" borderId="6" xfId="4" applyNumberFormat="1" applyFont="1" applyFill="1" applyBorder="1" applyAlignment="1">
      <alignment horizontal="right" vertical="top" wrapText="1"/>
    </xf>
    <xf numFmtId="0" fontId="16" fillId="5" borderId="6" xfId="4" applyFont="1" applyFill="1" applyBorder="1" applyAlignment="1">
      <alignment vertical="top" wrapText="1" indent="6"/>
    </xf>
    <xf numFmtId="4" fontId="23" fillId="7" borderId="6" xfId="4" applyNumberFormat="1" applyFont="1" applyFill="1" applyBorder="1" applyAlignment="1">
      <alignment horizontal="right" vertical="top" wrapText="1"/>
    </xf>
    <xf numFmtId="0" fontId="16" fillId="7" borderId="6" xfId="4" applyFont="1" applyFill="1" applyBorder="1" applyAlignment="1">
      <alignment vertical="top" wrapText="1" indent="6"/>
    </xf>
    <xf numFmtId="3" fontId="18" fillId="8" borderId="0" xfId="0" applyNumberFormat="1" applyFont="1" applyFill="1"/>
    <xf numFmtId="4" fontId="16" fillId="8" borderId="6" xfId="4" applyNumberFormat="1" applyFont="1" applyFill="1" applyBorder="1" applyAlignment="1">
      <alignment horizontal="right" vertical="top" wrapText="1"/>
    </xf>
    <xf numFmtId="0" fontId="16" fillId="8" borderId="6" xfId="4" applyFont="1" applyFill="1" applyBorder="1" applyAlignment="1">
      <alignment vertical="top" wrapText="1" indent="6"/>
    </xf>
    <xf numFmtId="164" fontId="0" fillId="0" borderId="0" xfId="0" applyNumberFormat="1"/>
    <xf numFmtId="164" fontId="9" fillId="0" borderId="0" xfId="1" applyNumberFormat="1" applyFont="1" applyAlignment="1">
      <alignment vertical="center" wrapText="1"/>
    </xf>
    <xf numFmtId="3" fontId="18" fillId="9" borderId="0" xfId="0" applyNumberFormat="1" applyFont="1" applyFill="1"/>
    <xf numFmtId="4" fontId="16" fillId="9" borderId="6" xfId="4" applyNumberFormat="1" applyFont="1" applyFill="1" applyBorder="1" applyAlignment="1">
      <alignment horizontal="right" vertical="top" wrapText="1"/>
    </xf>
    <xf numFmtId="0" fontId="16" fillId="9" borderId="6" xfId="4" applyFont="1" applyFill="1" applyBorder="1" applyAlignment="1">
      <alignment vertical="top" wrapText="1" indent="6"/>
    </xf>
    <xf numFmtId="3" fontId="18" fillId="10" borderId="0" xfId="0" applyNumberFormat="1" applyFont="1" applyFill="1"/>
    <xf numFmtId="4" fontId="16" fillId="10" borderId="6" xfId="4" applyNumberFormat="1" applyFont="1" applyFill="1" applyBorder="1" applyAlignment="1">
      <alignment horizontal="right" vertical="top" wrapText="1"/>
    </xf>
    <xf numFmtId="0" fontId="16" fillId="10" borderId="6" xfId="4" applyFont="1" applyFill="1" applyBorder="1" applyAlignment="1">
      <alignment vertical="top" wrapText="1" indent="6"/>
    </xf>
    <xf numFmtId="4" fontId="18" fillId="10" borderId="0" xfId="0" applyNumberFormat="1" applyFont="1" applyFill="1"/>
    <xf numFmtId="4" fontId="16" fillId="7" borderId="6" xfId="4" applyNumberFormat="1" applyFont="1" applyFill="1" applyBorder="1" applyAlignment="1">
      <alignment horizontal="right" vertical="top" wrapText="1"/>
    </xf>
    <xf numFmtId="4" fontId="16" fillId="6" borderId="6" xfId="4" applyNumberFormat="1" applyFont="1" applyFill="1" applyBorder="1" applyAlignment="1">
      <alignment horizontal="right" vertical="top" wrapText="1"/>
    </xf>
    <xf numFmtId="0" fontId="16" fillId="6" borderId="6" xfId="4" applyFont="1" applyFill="1" applyBorder="1" applyAlignment="1">
      <alignment vertical="top" wrapText="1" indent="6"/>
    </xf>
    <xf numFmtId="0" fontId="16" fillId="11" borderId="6" xfId="4" applyFont="1" applyFill="1" applyBorder="1" applyAlignment="1">
      <alignment vertical="top" wrapText="1" indent="6"/>
    </xf>
    <xf numFmtId="4" fontId="16" fillId="11" borderId="6" xfId="4" applyNumberFormat="1" applyFont="1" applyFill="1" applyBorder="1" applyAlignment="1">
      <alignment horizontal="right" vertical="top" wrapText="1"/>
    </xf>
    <xf numFmtId="3" fontId="18" fillId="11" borderId="0" xfId="0" applyNumberFormat="1" applyFont="1" applyFill="1"/>
    <xf numFmtId="2" fontId="16" fillId="11" borderId="6" xfId="4" applyNumberFormat="1" applyFont="1" applyFill="1" applyBorder="1" applyAlignment="1">
      <alignment horizontal="right" vertical="top" wrapText="1"/>
    </xf>
    <xf numFmtId="0" fontId="14" fillId="0" borderId="6" xfId="5" applyBorder="1" applyAlignment="1">
      <alignment vertical="top" wrapText="1" indent="4"/>
    </xf>
    <xf numFmtId="4" fontId="14" fillId="0" borderId="6" xfId="5" applyNumberFormat="1" applyBorder="1" applyAlignment="1">
      <alignment horizontal="right" vertical="top" wrapText="1"/>
    </xf>
    <xf numFmtId="2" fontId="14" fillId="0" borderId="6" xfId="5" applyNumberFormat="1" applyBorder="1" applyAlignment="1">
      <alignment horizontal="right" vertical="top" wrapText="1"/>
    </xf>
    <xf numFmtId="0" fontId="14" fillId="7" borderId="6" xfId="5" applyFill="1" applyBorder="1" applyAlignment="1">
      <alignment vertical="top" wrapText="1" indent="4"/>
    </xf>
    <xf numFmtId="4" fontId="14" fillId="7" borderId="6" xfId="5" applyNumberFormat="1" applyFill="1" applyBorder="1" applyAlignment="1">
      <alignment horizontal="right" vertical="top" wrapText="1"/>
    </xf>
    <xf numFmtId="4" fontId="17" fillId="7" borderId="6" xfId="5" applyNumberFormat="1" applyFont="1" applyFill="1" applyBorder="1" applyAlignment="1">
      <alignment horizontal="right" vertical="top" wrapText="1"/>
    </xf>
    <xf numFmtId="0" fontId="14" fillId="12" borderId="6" xfId="5" applyFill="1" applyBorder="1" applyAlignment="1">
      <alignment vertical="top" wrapText="1" indent="4"/>
    </xf>
    <xf numFmtId="4" fontId="14" fillId="12" borderId="6" xfId="5" applyNumberFormat="1" applyFill="1" applyBorder="1" applyAlignment="1">
      <alignment horizontal="right" vertical="top" wrapText="1"/>
    </xf>
    <xf numFmtId="3" fontId="18" fillId="12" borderId="0" xfId="0" applyNumberFormat="1" applyFont="1" applyFill="1"/>
    <xf numFmtId="0" fontId="14" fillId="5" borderId="6" xfId="5" applyFill="1" applyBorder="1" applyAlignment="1">
      <alignment vertical="top" wrapText="1" indent="4"/>
    </xf>
    <xf numFmtId="4" fontId="14" fillId="5" borderId="6" xfId="5" applyNumberFormat="1" applyFill="1" applyBorder="1" applyAlignment="1">
      <alignment horizontal="right" vertical="top" wrapText="1"/>
    </xf>
    <xf numFmtId="0" fontId="14" fillId="13" borderId="6" xfId="5" applyFill="1" applyBorder="1" applyAlignment="1">
      <alignment vertical="top" wrapText="1" indent="4"/>
    </xf>
    <xf numFmtId="4" fontId="14" fillId="13" borderId="6" xfId="5" applyNumberFormat="1" applyFill="1" applyBorder="1" applyAlignment="1">
      <alignment horizontal="right" vertical="top" wrapText="1"/>
    </xf>
    <xf numFmtId="3" fontId="18" fillId="13" borderId="0" xfId="0" applyNumberFormat="1" applyFont="1" applyFill="1"/>
    <xf numFmtId="4" fontId="15" fillId="0" borderId="6" xfId="5" applyNumberFormat="1" applyFont="1" applyBorder="1" applyAlignment="1">
      <alignment vertical="top" wrapText="1"/>
    </xf>
    <xf numFmtId="164" fontId="18" fillId="0" borderId="0" xfId="0" applyNumberFormat="1" applyFont="1"/>
    <xf numFmtId="0" fontId="16" fillId="0" borderId="0" xfId="6" applyFont="1"/>
    <xf numFmtId="0" fontId="14" fillId="0" borderId="0" xfId="6"/>
    <xf numFmtId="0" fontId="16" fillId="3" borderId="6" xfId="6" applyFont="1" applyFill="1" applyBorder="1" applyAlignment="1">
      <alignment horizontal="center" vertical="center" wrapText="1"/>
    </xf>
    <xf numFmtId="0" fontId="16" fillId="0" borderId="6" xfId="6" applyFont="1" applyBorder="1" applyAlignment="1">
      <alignment vertical="top" wrapText="1"/>
    </xf>
    <xf numFmtId="4" fontId="16" fillId="0" borderId="6" xfId="6" applyNumberFormat="1" applyFont="1" applyBorder="1" applyAlignment="1">
      <alignment horizontal="right" vertical="top" wrapText="1"/>
    </xf>
    <xf numFmtId="0" fontId="16" fillId="0" borderId="6" xfId="6" applyFont="1" applyBorder="1" applyAlignment="1">
      <alignment horizontal="right" vertical="top" wrapText="1"/>
    </xf>
    <xf numFmtId="0" fontId="14" fillId="0" borderId="6" xfId="6" applyBorder="1" applyAlignment="1">
      <alignment vertical="top" wrapText="1" indent="2"/>
    </xf>
    <xf numFmtId="0" fontId="14" fillId="0" borderId="6" xfId="6" applyBorder="1" applyAlignment="1">
      <alignment horizontal="right" vertical="top" wrapText="1"/>
    </xf>
    <xf numFmtId="4" fontId="14" fillId="0" borderId="6" xfId="6" applyNumberFormat="1" applyBorder="1" applyAlignment="1">
      <alignment horizontal="right" vertical="top" wrapText="1"/>
    </xf>
    <xf numFmtId="0" fontId="24" fillId="0" borderId="6" xfId="6" applyFont="1" applyBorder="1" applyAlignment="1">
      <alignment vertical="top" wrapText="1" indent="2"/>
    </xf>
    <xf numFmtId="4" fontId="24" fillId="0" borderId="6" xfId="6" applyNumberFormat="1" applyFont="1" applyBorder="1" applyAlignment="1">
      <alignment horizontal="right" vertical="top" wrapText="1"/>
    </xf>
    <xf numFmtId="0" fontId="24" fillId="0" borderId="6" xfId="6" applyFont="1" applyBorder="1" applyAlignment="1">
      <alignment horizontal="right" vertical="top" wrapText="1"/>
    </xf>
    <xf numFmtId="0" fontId="14" fillId="0" borderId="6" xfId="6" applyBorder="1" applyAlignment="1">
      <alignment vertical="top" wrapText="1" indent="4"/>
    </xf>
    <xf numFmtId="2" fontId="14" fillId="0" borderId="6" xfId="6" applyNumberFormat="1" applyBorder="1" applyAlignment="1">
      <alignment horizontal="right" vertical="top" wrapText="1"/>
    </xf>
    <xf numFmtId="0" fontId="24" fillId="0" borderId="6" xfId="6" applyFont="1" applyBorder="1" applyAlignment="1">
      <alignment vertical="top" wrapText="1" indent="4"/>
    </xf>
    <xf numFmtId="0" fontId="14" fillId="0" borderId="6" xfId="6" applyBorder="1" applyAlignment="1">
      <alignment vertical="top" wrapText="1" indent="6"/>
    </xf>
    <xf numFmtId="4" fontId="23" fillId="0" borderId="6" xfId="6" applyNumberFormat="1" applyFont="1" applyBorder="1" applyAlignment="1">
      <alignment horizontal="right" vertical="top" wrapText="1"/>
    </xf>
    <xf numFmtId="4" fontId="17" fillId="0" borderId="6" xfId="6" applyNumberFormat="1" applyFont="1" applyBorder="1" applyAlignment="1">
      <alignment horizontal="right" vertical="top" wrapText="1"/>
    </xf>
    <xf numFmtId="2" fontId="16" fillId="0" borderId="6" xfId="6" applyNumberFormat="1" applyFont="1" applyBorder="1" applyAlignment="1">
      <alignment horizontal="right" vertical="top" wrapText="1"/>
    </xf>
    <xf numFmtId="2" fontId="24" fillId="0" borderId="6" xfId="6" applyNumberFormat="1" applyFont="1" applyBorder="1" applyAlignment="1">
      <alignment horizontal="right" vertical="top" wrapText="1"/>
    </xf>
    <xf numFmtId="40" fontId="14" fillId="3" borderId="6" xfId="6" applyNumberFormat="1" applyFill="1" applyBorder="1" applyAlignment="1">
      <alignment horizontal="right" vertical="top" wrapText="1"/>
    </xf>
    <xf numFmtId="40" fontId="0" fillId="0" borderId="0" xfId="0" applyNumberFormat="1"/>
    <xf numFmtId="0" fontId="15" fillId="0" borderId="6" xfId="7" applyFont="1" applyBorder="1" applyAlignment="1">
      <alignment vertical="top" wrapText="1" indent="6"/>
    </xf>
    <xf numFmtId="4" fontId="15" fillId="0" borderId="6" xfId="7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center" wrapText="1"/>
    </xf>
    <xf numFmtId="0" fontId="5" fillId="10" borderId="1" xfId="0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25" fillId="0" borderId="0" xfId="0" applyFont="1"/>
    <xf numFmtId="14" fontId="0" fillId="0" borderId="0" xfId="0" applyNumberFormat="1"/>
    <xf numFmtId="0" fontId="16" fillId="3" borderId="6" xfId="9" applyFont="1" applyFill="1" applyBorder="1" applyAlignment="1">
      <alignment vertical="center" wrapText="1"/>
    </xf>
    <xf numFmtId="1" fontId="16" fillId="4" borderId="6" xfId="9" applyNumberFormat="1" applyFont="1" applyFill="1" applyBorder="1" applyAlignment="1">
      <alignment horizontal="left" vertical="top"/>
    </xf>
    <xf numFmtId="0" fontId="16" fillId="4" borderId="6" xfId="9" applyFont="1" applyFill="1" applyBorder="1" applyAlignment="1">
      <alignment vertical="top" wrapText="1"/>
    </xf>
    <xf numFmtId="4" fontId="16" fillId="4" borderId="6" xfId="9" applyNumberFormat="1" applyFont="1" applyFill="1" applyBorder="1" applyAlignment="1">
      <alignment horizontal="right" vertical="top" wrapText="1"/>
    </xf>
    <xf numFmtId="0" fontId="16" fillId="4" borderId="6" xfId="9" applyFont="1" applyFill="1" applyBorder="1" applyAlignment="1">
      <alignment horizontal="right" vertical="top" wrapText="1"/>
    </xf>
    <xf numFmtId="0" fontId="14" fillId="14" borderId="6" xfId="9" applyFill="1" applyBorder="1" applyAlignment="1">
      <alignment vertical="top" wrapText="1" indent="2"/>
    </xf>
    <xf numFmtId="4" fontId="14" fillId="14" borderId="6" xfId="9" applyNumberFormat="1" applyFill="1" applyBorder="1" applyAlignment="1">
      <alignment horizontal="right" vertical="top" wrapText="1"/>
    </xf>
    <xf numFmtId="0" fontId="14" fillId="14" borderId="6" xfId="9" applyFill="1" applyBorder="1" applyAlignment="1">
      <alignment horizontal="right" vertical="top" wrapText="1"/>
    </xf>
    <xf numFmtId="0" fontId="16" fillId="0" borderId="6" xfId="9" applyFont="1" applyBorder="1" applyAlignment="1">
      <alignment vertical="top" wrapText="1" indent="4"/>
    </xf>
    <xf numFmtId="4" fontId="16" fillId="0" borderId="6" xfId="9" applyNumberFormat="1" applyFont="1" applyBorder="1" applyAlignment="1">
      <alignment horizontal="right" vertical="top" wrapText="1"/>
    </xf>
    <xf numFmtId="0" fontId="16" fillId="0" borderId="6" xfId="9" applyFont="1" applyBorder="1" applyAlignment="1">
      <alignment horizontal="right" vertical="top" wrapText="1"/>
    </xf>
    <xf numFmtId="0" fontId="14" fillId="0" borderId="6" xfId="9" applyBorder="1" applyAlignment="1">
      <alignment vertical="top" wrapText="1" indent="6"/>
    </xf>
    <xf numFmtId="0" fontId="14" fillId="0" borderId="6" xfId="9" applyBorder="1" applyAlignment="1">
      <alignment horizontal="right" vertical="top" wrapText="1"/>
    </xf>
    <xf numFmtId="0" fontId="14" fillId="0" borderId="6" xfId="9" applyBorder="1" applyAlignment="1">
      <alignment vertical="top" indent="8"/>
    </xf>
    <xf numFmtId="1" fontId="14" fillId="0" borderId="6" xfId="9" applyNumberFormat="1" applyBorder="1" applyAlignment="1">
      <alignment horizontal="left" vertical="top"/>
    </xf>
    <xf numFmtId="4" fontId="14" fillId="0" borderId="6" xfId="9" applyNumberFormat="1" applyBorder="1" applyAlignment="1">
      <alignment horizontal="right" vertical="top" wrapText="1"/>
    </xf>
    <xf numFmtId="0" fontId="14" fillId="0" borderId="6" xfId="9" applyBorder="1" applyAlignment="1">
      <alignment vertical="top"/>
    </xf>
    <xf numFmtId="0" fontId="16" fillId="0" borderId="6" xfId="9" applyFont="1" applyBorder="1" applyAlignment="1">
      <alignment vertical="top"/>
    </xf>
    <xf numFmtId="0" fontId="14" fillId="0" borderId="6" xfId="9" applyBorder="1" applyAlignment="1">
      <alignment vertical="top" indent="10"/>
    </xf>
    <xf numFmtId="2" fontId="14" fillId="0" borderId="6" xfId="9" applyNumberFormat="1" applyBorder="1" applyAlignment="1">
      <alignment horizontal="right" vertical="top" wrapText="1"/>
    </xf>
    <xf numFmtId="0" fontId="14" fillId="14" borderId="6" xfId="9" applyFill="1" applyBorder="1" applyAlignment="1">
      <alignment vertical="top"/>
    </xf>
    <xf numFmtId="0" fontId="16" fillId="4" borderId="6" xfId="9" applyFont="1" applyFill="1" applyBorder="1" applyAlignment="1">
      <alignment vertical="top"/>
    </xf>
    <xf numFmtId="0" fontId="14" fillId="0" borderId="0" xfId="9"/>
    <xf numFmtId="0" fontId="14" fillId="0" borderId="6" xfId="9" applyBorder="1" applyAlignment="1">
      <alignment vertical="top" indent="12"/>
    </xf>
    <xf numFmtId="0" fontId="29" fillId="3" borderId="6" xfId="9" applyFont="1" applyFill="1" applyBorder="1" applyAlignment="1">
      <alignment vertical="center" wrapText="1"/>
    </xf>
    <xf numFmtId="1" fontId="29" fillId="4" borderId="6" xfId="9" applyNumberFormat="1" applyFont="1" applyFill="1" applyBorder="1" applyAlignment="1">
      <alignment horizontal="left" vertical="top"/>
    </xf>
    <xf numFmtId="0" fontId="29" fillId="4" borderId="6" xfId="9" applyFont="1" applyFill="1" applyBorder="1" applyAlignment="1">
      <alignment vertical="top" wrapText="1"/>
    </xf>
    <xf numFmtId="4" fontId="29" fillId="4" borderId="6" xfId="9" applyNumberFormat="1" applyFont="1" applyFill="1" applyBorder="1" applyAlignment="1">
      <alignment horizontal="right" vertical="top" wrapText="1"/>
    </xf>
    <xf numFmtId="0" fontId="29" fillId="4" borderId="6" xfId="9" applyFont="1" applyFill="1" applyBorder="1" applyAlignment="1">
      <alignment horizontal="right" vertical="top" wrapText="1"/>
    </xf>
    <xf numFmtId="0" fontId="29" fillId="4" borderId="6" xfId="9" applyFont="1" applyFill="1" applyBorder="1" applyAlignment="1">
      <alignment vertical="top"/>
    </xf>
    <xf numFmtId="0" fontId="14" fillId="9" borderId="6" xfId="9" applyFill="1" applyBorder="1" applyAlignment="1">
      <alignment vertical="top" wrapText="1" indent="6"/>
    </xf>
    <xf numFmtId="0" fontId="14" fillId="9" borderId="6" xfId="9" applyFill="1" applyBorder="1" applyAlignment="1">
      <alignment horizontal="right" vertical="top" wrapText="1"/>
    </xf>
    <xf numFmtId="0" fontId="18" fillId="9" borderId="0" xfId="0" applyFont="1" applyFill="1"/>
    <xf numFmtId="0" fontId="14" fillId="5" borderId="6" xfId="9" applyFill="1" applyBorder="1" applyAlignment="1">
      <alignment vertical="top" wrapText="1" indent="6"/>
    </xf>
    <xf numFmtId="0" fontId="14" fillId="5" borderId="6" xfId="9" applyFill="1" applyBorder="1" applyAlignment="1">
      <alignment horizontal="right" vertical="top" wrapText="1"/>
    </xf>
    <xf numFmtId="0" fontId="18" fillId="5" borderId="0" xfId="0" applyFont="1" applyFill="1"/>
    <xf numFmtId="43" fontId="18" fillId="0" borderId="0" xfId="1" applyFont="1"/>
    <xf numFmtId="168" fontId="18" fillId="0" borderId="0" xfId="0" applyNumberFormat="1" applyFont="1"/>
    <xf numFmtId="4" fontId="14" fillId="6" borderId="6" xfId="9" applyNumberFormat="1" applyFill="1" applyBorder="1" applyAlignment="1">
      <alignment horizontal="right" vertical="top" wrapText="1"/>
    </xf>
    <xf numFmtId="4" fontId="14" fillId="15" borderId="6" xfId="9" applyNumberFormat="1" applyFill="1" applyBorder="1" applyAlignment="1">
      <alignment horizontal="right" vertical="top" wrapText="1"/>
    </xf>
    <xf numFmtId="4" fontId="14" fillId="16" borderId="6" xfId="9" applyNumberFormat="1" applyFill="1" applyBorder="1" applyAlignment="1">
      <alignment horizontal="right" vertical="top" wrapText="1"/>
    </xf>
    <xf numFmtId="3" fontId="18" fillId="16" borderId="0" xfId="0" applyNumberFormat="1" applyFont="1" applyFill="1"/>
    <xf numFmtId="0" fontId="19" fillId="0" borderId="0" xfId="0" applyFont="1"/>
    <xf numFmtId="1" fontId="14" fillId="16" borderId="6" xfId="9" applyNumberFormat="1" applyFill="1" applyBorder="1" applyAlignment="1">
      <alignment horizontal="left" vertical="top"/>
    </xf>
    <xf numFmtId="0" fontId="14" fillId="16" borderId="6" xfId="9" applyFill="1" applyBorder="1" applyAlignment="1">
      <alignment horizontal="right" vertical="top" wrapText="1"/>
    </xf>
    <xf numFmtId="0" fontId="14" fillId="16" borderId="6" xfId="9" applyFill="1" applyBorder="1" applyAlignment="1">
      <alignment vertical="top" wrapText="1" indent="6"/>
    </xf>
    <xf numFmtId="0" fontId="28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center" vertical="center"/>
    </xf>
    <xf numFmtId="4" fontId="14" fillId="7" borderId="6" xfId="9" applyNumberFormat="1" applyFill="1" applyBorder="1" applyAlignment="1">
      <alignment horizontal="right" vertical="top" wrapText="1"/>
    </xf>
    <xf numFmtId="0" fontId="18" fillId="0" borderId="0" xfId="0" applyFont="1" applyAlignment="1">
      <alignment horizontal="left"/>
    </xf>
    <xf numFmtId="4" fontId="14" fillId="5" borderId="6" xfId="9" applyNumberFormat="1" applyFill="1" applyBorder="1" applyAlignment="1">
      <alignment horizontal="right" vertical="top" wrapText="1"/>
    </xf>
    <xf numFmtId="3" fontId="18" fillId="17" borderId="0" xfId="0" applyNumberFormat="1" applyFont="1" applyFill="1"/>
    <xf numFmtId="4" fontId="14" fillId="17" borderId="6" xfId="9" applyNumberFormat="1" applyFill="1" applyBorder="1" applyAlignment="1">
      <alignment horizontal="right" vertical="top" wrapText="1"/>
    </xf>
    <xf numFmtId="1" fontId="14" fillId="9" borderId="6" xfId="9" applyNumberFormat="1" applyFill="1" applyBorder="1" applyAlignment="1">
      <alignment horizontal="left" vertical="top"/>
    </xf>
    <xf numFmtId="4" fontId="14" fillId="9" borderId="6" xfId="9" applyNumberFormat="1" applyFill="1" applyBorder="1" applyAlignment="1">
      <alignment horizontal="right" vertical="top" wrapText="1"/>
    </xf>
    <xf numFmtId="0" fontId="14" fillId="9" borderId="6" xfId="9" applyFill="1" applyBorder="1" applyAlignment="1">
      <alignment vertical="top" indent="8"/>
    </xf>
    <xf numFmtId="165" fontId="28" fillId="0" borderId="0" xfId="0" applyNumberFormat="1" applyFont="1" applyAlignment="1">
      <alignment horizontal="center" vertical="top" wrapText="1"/>
    </xf>
    <xf numFmtId="165" fontId="1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wrapText="1"/>
    </xf>
    <xf numFmtId="166" fontId="30" fillId="0" borderId="1" xfId="0" applyNumberFormat="1" applyFont="1" applyBorder="1" applyAlignment="1">
      <alignment wrapText="1"/>
    </xf>
    <xf numFmtId="166" fontId="10" fillId="0" borderId="0" xfId="0" applyNumberFormat="1" applyFont="1" applyAlignment="1">
      <alignment wrapText="1"/>
    </xf>
    <xf numFmtId="166" fontId="10" fillId="0" borderId="3" xfId="0" applyNumberFormat="1" applyFont="1" applyBorder="1" applyAlignment="1">
      <alignment wrapText="1"/>
    </xf>
    <xf numFmtId="167" fontId="30" fillId="0" borderId="1" xfId="0" applyNumberFormat="1" applyFont="1" applyBorder="1" applyAlignment="1">
      <alignment wrapText="1"/>
    </xf>
    <xf numFmtId="0" fontId="30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5" fontId="30" fillId="0" borderId="1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43" fontId="30" fillId="0" borderId="1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justify" vertical="center"/>
    </xf>
    <xf numFmtId="0" fontId="30" fillId="0" borderId="0" xfId="0" applyFont="1" applyAlignment="1">
      <alignment horizontal="center"/>
    </xf>
    <xf numFmtId="3" fontId="30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30" fillId="0" borderId="0" xfId="1" applyNumberFormat="1" applyFont="1" applyFill="1" applyAlignment="1">
      <alignment horizontal="right" vertical="center" wrapText="1"/>
    </xf>
    <xf numFmtId="164" fontId="10" fillId="0" borderId="3" xfId="1" applyNumberFormat="1" applyFont="1" applyFill="1" applyBorder="1" applyAlignment="1">
      <alignment horizontal="right" vertical="center" wrapText="1"/>
    </xf>
    <xf numFmtId="164" fontId="30" fillId="0" borderId="4" xfId="1" applyNumberFormat="1" applyFont="1" applyFill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164" fontId="30" fillId="0" borderId="0" xfId="0" applyNumberFormat="1" applyFont="1"/>
    <xf numFmtId="0" fontId="3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165" fontId="30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166" fontId="10" fillId="0" borderId="4" xfId="8" applyFont="1" applyFill="1" applyBorder="1" applyAlignment="1">
      <alignment horizontal="center"/>
    </xf>
    <xf numFmtId="166" fontId="10" fillId="0" borderId="0" xfId="8" applyFont="1" applyFill="1" applyBorder="1" applyAlignment="1">
      <alignment horizontal="center"/>
    </xf>
    <xf numFmtId="166" fontId="10" fillId="0" borderId="1" xfId="8" applyFont="1" applyFill="1" applyBorder="1" applyAlignment="1">
      <alignment horizontal="center"/>
    </xf>
    <xf numFmtId="166" fontId="10" fillId="0" borderId="1" xfId="8" applyFont="1" applyFill="1" applyBorder="1" applyAlignment="1">
      <alignment horizontal="right"/>
    </xf>
    <xf numFmtId="166" fontId="10" fillId="0" borderId="0" xfId="8" applyFont="1" applyFill="1" applyBorder="1" applyAlignment="1">
      <alignment horizontal="right"/>
    </xf>
    <xf numFmtId="166" fontId="10" fillId="0" borderId="3" xfId="8" applyFont="1" applyFill="1" applyBorder="1" applyAlignment="1">
      <alignment horizontal="right"/>
    </xf>
    <xf numFmtId="166" fontId="31" fillId="0" borderId="0" xfId="0" applyNumberFormat="1" applyFont="1"/>
    <xf numFmtId="43" fontId="31" fillId="0" borderId="0" xfId="1" applyFont="1"/>
    <xf numFmtId="164" fontId="10" fillId="0" borderId="0" xfId="1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6" fontId="10" fillId="0" borderId="1" xfId="0" applyNumberFormat="1" applyFont="1" applyBorder="1" applyAlignment="1">
      <alignment wrapText="1"/>
    </xf>
    <xf numFmtId="164" fontId="30" fillId="0" borderId="1" xfId="1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30" fillId="0" borderId="0" xfId="0" applyNumberFormat="1" applyFont="1" applyAlignment="1">
      <alignment vertical="center" wrapText="1"/>
    </xf>
    <xf numFmtId="164" fontId="3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164" fontId="30" fillId="0" borderId="2" xfId="1" applyNumberFormat="1" applyFont="1" applyFill="1" applyBorder="1" applyAlignment="1">
      <alignment horizontal="right" vertical="center" wrapText="1"/>
    </xf>
    <xf numFmtId="164" fontId="22" fillId="0" borderId="0" xfId="1" applyNumberFormat="1" applyFont="1" applyFill="1" applyAlignment="1">
      <alignment horizontal="right"/>
    </xf>
    <xf numFmtId="164" fontId="22" fillId="0" borderId="0" xfId="0" applyNumberFormat="1" applyFont="1"/>
    <xf numFmtId="164" fontId="10" fillId="0" borderId="1" xfId="1" applyNumberFormat="1" applyFont="1" applyFill="1" applyBorder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 wrapText="1"/>
    </xf>
    <xf numFmtId="164" fontId="38" fillId="0" borderId="0" xfId="1" applyNumberFormat="1" applyFont="1" applyAlignment="1">
      <alignment horizontal="center"/>
    </xf>
    <xf numFmtId="164" fontId="38" fillId="0" borderId="0" xfId="1" applyNumberFormat="1" applyFont="1" applyAlignment="1">
      <alignment horizontal="right"/>
    </xf>
    <xf numFmtId="0" fontId="35" fillId="0" borderId="0" xfId="0" applyFont="1" applyAlignment="1">
      <alignment vertical="center" wrapText="1"/>
    </xf>
    <xf numFmtId="0" fontId="5" fillId="10" borderId="0" xfId="0" applyFont="1" applyFill="1" applyAlignment="1">
      <alignment horizontal="right" vertical="center" wrapText="1"/>
    </xf>
    <xf numFmtId="3" fontId="5" fillId="10" borderId="0" xfId="0" applyNumberFormat="1" applyFont="1" applyFill="1" applyAlignment="1">
      <alignment horizontal="right" vertical="center" wrapText="1"/>
    </xf>
    <xf numFmtId="14" fontId="6" fillId="0" borderId="0" xfId="0" applyNumberFormat="1" applyFont="1" applyAlignment="1">
      <alignment vertical="center" wrapText="1"/>
    </xf>
    <xf numFmtId="9" fontId="30" fillId="0" borderId="0" xfId="10" applyFont="1"/>
    <xf numFmtId="14" fontId="6" fillId="0" borderId="0" xfId="0" applyNumberFormat="1" applyFont="1" applyAlignment="1">
      <alignment horizontal="right" vertical="center" wrapText="1"/>
    </xf>
    <xf numFmtId="0" fontId="7" fillId="10" borderId="0" xfId="0" applyFont="1" applyFill="1" applyAlignment="1">
      <alignment horizontal="right" vertical="center" wrapText="1"/>
    </xf>
    <xf numFmtId="3" fontId="30" fillId="0" borderId="0" xfId="0" applyNumberFormat="1" applyFont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right" vertical="center" wrapText="1"/>
    </xf>
    <xf numFmtId="164" fontId="3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horizontal="center" vertical="center" wrapText="1"/>
    </xf>
    <xf numFmtId="164" fontId="10" fillId="0" borderId="3" xfId="1" applyNumberFormat="1" applyFont="1" applyFill="1" applyBorder="1" applyAlignment="1">
      <alignment vertical="center" wrapText="1"/>
    </xf>
    <xf numFmtId="164" fontId="30" fillId="0" borderId="0" xfId="0" applyNumberFormat="1" applyFont="1" applyAlignment="1">
      <alignment vertical="center" wrapText="1"/>
    </xf>
    <xf numFmtId="164" fontId="30" fillId="0" borderId="4" xfId="1" applyNumberFormat="1" applyFont="1" applyFill="1" applyBorder="1" applyAlignment="1">
      <alignment vertical="center" wrapText="1"/>
    </xf>
    <xf numFmtId="166" fontId="30" fillId="0" borderId="0" xfId="0" applyNumberFormat="1" applyFont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43" fontId="30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6" fontId="30" fillId="0" borderId="0" xfId="0" applyNumberFormat="1" applyFont="1"/>
    <xf numFmtId="164" fontId="39" fillId="0" borderId="1" xfId="1" applyNumberFormat="1" applyFont="1" applyBorder="1" applyAlignment="1">
      <alignment horizontal="right" vertical="center" wrapText="1"/>
    </xf>
    <xf numFmtId="164" fontId="36" fillId="0" borderId="0" xfId="1" applyNumberFormat="1" applyFont="1" applyAlignment="1">
      <alignment horizontal="center"/>
    </xf>
    <xf numFmtId="164" fontId="31" fillId="2" borderId="0" xfId="1" applyNumberFormat="1" applyFont="1" applyFill="1" applyAlignment="1">
      <alignment horizontal="right" vertical="center" wrapText="1"/>
    </xf>
    <xf numFmtId="166" fontId="31" fillId="0" borderId="0" xfId="0" applyNumberFormat="1" applyFont="1" applyAlignment="1">
      <alignment wrapText="1"/>
    </xf>
    <xf numFmtId="166" fontId="31" fillId="0" borderId="1" xfId="0" applyNumberFormat="1" applyFont="1" applyBorder="1" applyAlignment="1">
      <alignment wrapText="1"/>
    </xf>
    <xf numFmtId="164" fontId="31" fillId="2" borderId="2" xfId="1" applyNumberFormat="1" applyFont="1" applyFill="1" applyBorder="1" applyAlignment="1">
      <alignment horizontal="right" vertical="center" wrapText="1"/>
    </xf>
    <xf numFmtId="164" fontId="36" fillId="0" borderId="0" xfId="1" applyNumberFormat="1" applyFont="1" applyAlignment="1">
      <alignment horizontal="right"/>
    </xf>
    <xf numFmtId="43" fontId="39" fillId="2" borderId="3" xfId="1" applyFont="1" applyFill="1" applyBorder="1" applyAlignment="1">
      <alignment horizontal="right" vertical="center" wrapText="1"/>
    </xf>
    <xf numFmtId="164" fontId="39" fillId="2" borderId="3" xfId="1" applyNumberFormat="1" applyFont="1" applyFill="1" applyBorder="1" applyAlignment="1">
      <alignment horizontal="right" vertical="center" wrapText="1"/>
    </xf>
    <xf numFmtId="164" fontId="18" fillId="0" borderId="0" xfId="1" applyNumberFormat="1" applyFont="1"/>
    <xf numFmtId="164" fontId="18" fillId="0" borderId="0" xfId="1" applyNumberFormat="1" applyFont="1" applyAlignment="1">
      <alignment horizontal="center" wrapText="1"/>
    </xf>
    <xf numFmtId="14" fontId="18" fillId="0" borderId="0" xfId="1" applyNumberFormat="1" applyFont="1"/>
    <xf numFmtId="0" fontId="0" fillId="9" borderId="0" xfId="0" applyFill="1"/>
    <xf numFmtId="3" fontId="0" fillId="9" borderId="0" xfId="0" applyNumberFormat="1" applyFill="1"/>
    <xf numFmtId="0" fontId="16" fillId="0" borderId="0" xfId="11" applyFont="1"/>
    <xf numFmtId="0" fontId="14" fillId="0" borderId="0" xfId="11"/>
    <xf numFmtId="0" fontId="16" fillId="3" borderId="6" xfId="11" applyFont="1" applyFill="1" applyBorder="1" applyAlignment="1">
      <alignment vertical="center" wrapText="1"/>
    </xf>
    <xf numFmtId="0" fontId="16" fillId="3" borderId="6" xfId="11" applyFont="1" applyFill="1" applyBorder="1" applyAlignment="1">
      <alignment horizontal="center" vertical="center" wrapText="1"/>
    </xf>
    <xf numFmtId="0" fontId="16" fillId="4" borderId="6" xfId="11" applyFont="1" applyFill="1" applyBorder="1" applyAlignment="1">
      <alignment vertical="top" wrapText="1"/>
    </xf>
    <xf numFmtId="0" fontId="16" fillId="4" borderId="6" xfId="11" applyFont="1" applyFill="1" applyBorder="1" applyAlignment="1">
      <alignment vertical="top"/>
    </xf>
    <xf numFmtId="4" fontId="16" fillId="4" borderId="6" xfId="11" applyNumberFormat="1" applyFont="1" applyFill="1" applyBorder="1" applyAlignment="1">
      <alignment horizontal="right" vertical="top" wrapText="1"/>
    </xf>
    <xf numFmtId="0" fontId="16" fillId="4" borderId="6" xfId="11" applyFont="1" applyFill="1" applyBorder="1" applyAlignment="1">
      <alignment horizontal="right" vertical="top" wrapText="1"/>
    </xf>
    <xf numFmtId="0" fontId="14" fillId="4" borderId="6" xfId="11" applyFill="1" applyBorder="1" applyAlignment="1">
      <alignment vertical="top" wrapText="1" indent="2"/>
    </xf>
    <xf numFmtId="0" fontId="14" fillId="4" borderId="6" xfId="11" applyFill="1" applyBorder="1" applyAlignment="1">
      <alignment vertical="top"/>
    </xf>
    <xf numFmtId="0" fontId="14" fillId="4" borderId="6" xfId="11" applyFill="1" applyBorder="1" applyAlignment="1">
      <alignment horizontal="right" vertical="top" wrapText="1"/>
    </xf>
    <xf numFmtId="4" fontId="14" fillId="4" borderId="6" xfId="11" applyNumberFormat="1" applyFill="1" applyBorder="1" applyAlignment="1">
      <alignment horizontal="right" vertical="top" wrapText="1"/>
    </xf>
    <xf numFmtId="0" fontId="14" fillId="0" borderId="6" xfId="11" applyBorder="1" applyAlignment="1">
      <alignment vertical="top"/>
    </xf>
    <xf numFmtId="0" fontId="14" fillId="0" borderId="6" xfId="11" applyBorder="1" applyAlignment="1">
      <alignment horizontal="right" vertical="top" wrapText="1"/>
    </xf>
    <xf numFmtId="4" fontId="14" fillId="0" borderId="6" xfId="11" applyNumberFormat="1" applyBorder="1" applyAlignment="1">
      <alignment horizontal="right" vertical="top" wrapText="1"/>
    </xf>
    <xf numFmtId="2" fontId="14" fillId="0" borderId="6" xfId="11" applyNumberFormat="1" applyBorder="1" applyAlignment="1">
      <alignment horizontal="right" vertical="top" wrapText="1"/>
    </xf>
    <xf numFmtId="0" fontId="24" fillId="4" borderId="6" xfId="11" applyFont="1" applyFill="1" applyBorder="1" applyAlignment="1">
      <alignment vertical="top" wrapText="1" indent="2"/>
    </xf>
    <xf numFmtId="0" fontId="24" fillId="4" borderId="6" xfId="11" applyFont="1" applyFill="1" applyBorder="1" applyAlignment="1">
      <alignment vertical="top"/>
    </xf>
    <xf numFmtId="4" fontId="24" fillId="4" borderId="6" xfId="11" applyNumberFormat="1" applyFont="1" applyFill="1" applyBorder="1" applyAlignment="1">
      <alignment horizontal="right" vertical="top" wrapText="1"/>
    </xf>
    <xf numFmtId="0" fontId="24" fillId="4" borderId="6" xfId="11" applyFont="1" applyFill="1" applyBorder="1" applyAlignment="1">
      <alignment horizontal="right" vertical="top" wrapText="1"/>
    </xf>
    <xf numFmtId="0" fontId="14" fillId="4" borderId="6" xfId="11" applyFill="1" applyBorder="1" applyAlignment="1">
      <alignment vertical="top" wrapText="1" indent="4"/>
    </xf>
    <xf numFmtId="2" fontId="14" fillId="4" borderId="6" xfId="11" applyNumberFormat="1" applyFill="1" applyBorder="1" applyAlignment="1">
      <alignment horizontal="right" vertical="top" wrapText="1"/>
    </xf>
    <xf numFmtId="0" fontId="24" fillId="4" borderId="6" xfId="11" applyFont="1" applyFill="1" applyBorder="1" applyAlignment="1">
      <alignment vertical="top" wrapText="1" indent="4"/>
    </xf>
    <xf numFmtId="0" fontId="14" fillId="4" borderId="6" xfId="11" applyFill="1" applyBorder="1" applyAlignment="1">
      <alignment vertical="top" wrapText="1" indent="6"/>
    </xf>
    <xf numFmtId="4" fontId="23" fillId="4" borderId="6" xfId="11" applyNumberFormat="1" applyFont="1" applyFill="1" applyBorder="1" applyAlignment="1">
      <alignment horizontal="right" vertical="top" wrapText="1"/>
    </xf>
    <xf numFmtId="4" fontId="17" fillId="4" borderId="6" xfId="11" applyNumberFormat="1" applyFont="1" applyFill="1" applyBorder="1" applyAlignment="1">
      <alignment horizontal="right" vertical="top" wrapText="1"/>
    </xf>
    <xf numFmtId="2" fontId="24" fillId="4" borderId="6" xfId="11" applyNumberFormat="1" applyFont="1" applyFill="1" applyBorder="1" applyAlignment="1">
      <alignment horizontal="right" vertical="top" wrapText="1"/>
    </xf>
    <xf numFmtId="40" fontId="14" fillId="3" borderId="6" xfId="12" applyNumberFormat="1" applyFill="1" applyBorder="1" applyAlignment="1">
      <alignment horizontal="right" vertical="top" wrapText="1"/>
    </xf>
    <xf numFmtId="169" fontId="0" fillId="0" borderId="0" xfId="0" applyNumberFormat="1"/>
    <xf numFmtId="4" fontId="20" fillId="4" borderId="6" xfId="11" applyNumberFormat="1" applyFont="1" applyFill="1" applyBorder="1" applyAlignment="1">
      <alignment horizontal="right" vertical="top" wrapText="1"/>
    </xf>
    <xf numFmtId="4" fontId="40" fillId="4" borderId="6" xfId="11" applyNumberFormat="1" applyFont="1" applyFill="1" applyBorder="1" applyAlignment="1">
      <alignment horizontal="right" vertical="top" wrapText="1"/>
    </xf>
    <xf numFmtId="0" fontId="41" fillId="18" borderId="6" xfId="4" applyFont="1" applyFill="1" applyBorder="1" applyAlignment="1">
      <alignment vertical="top" wrapText="1"/>
    </xf>
    <xf numFmtId="0" fontId="41" fillId="18" borderId="10" xfId="4" applyFont="1" applyFill="1" applyBorder="1" applyAlignment="1">
      <alignment vertical="top" wrapText="1" indent="2"/>
    </xf>
    <xf numFmtId="0" fontId="41" fillId="18" borderId="10" xfId="4" applyFont="1" applyFill="1" applyBorder="1" applyAlignment="1">
      <alignment vertical="top"/>
    </xf>
    <xf numFmtId="0" fontId="41" fillId="18" borderId="10" xfId="4" applyFont="1" applyFill="1" applyBorder="1" applyAlignment="1">
      <alignment horizontal="right" vertical="top" wrapText="1"/>
    </xf>
    <xf numFmtId="4" fontId="41" fillId="18" borderId="10" xfId="4" applyNumberFormat="1" applyFont="1" applyFill="1" applyBorder="1" applyAlignment="1">
      <alignment horizontal="right" vertical="top" wrapText="1"/>
    </xf>
    <xf numFmtId="0" fontId="42" fillId="0" borderId="10" xfId="4" applyFont="1" applyBorder="1" applyAlignment="1">
      <alignment vertical="top"/>
    </xf>
    <xf numFmtId="0" fontId="42" fillId="0" borderId="10" xfId="4" applyFont="1" applyBorder="1" applyAlignment="1">
      <alignment horizontal="right" vertical="top" wrapText="1"/>
    </xf>
    <xf numFmtId="4" fontId="42" fillId="0" borderId="10" xfId="4" applyNumberFormat="1" applyFont="1" applyBorder="1" applyAlignment="1">
      <alignment horizontal="right" vertical="top" wrapText="1"/>
    </xf>
    <xf numFmtId="0" fontId="45" fillId="0" borderId="0" xfId="0" applyFont="1"/>
    <xf numFmtId="0" fontId="44" fillId="0" borderId="0" xfId="0" applyFont="1" applyAlignment="1">
      <alignment vertical="center" wrapText="1"/>
    </xf>
    <xf numFmtId="164" fontId="44" fillId="0" borderId="0" xfId="1" applyNumberFormat="1" applyFont="1" applyAlignment="1">
      <alignment horizontal="right" vertical="center" wrapText="1"/>
    </xf>
    <xf numFmtId="166" fontId="44" fillId="0" borderId="0" xfId="0" applyNumberFormat="1" applyFont="1" applyAlignment="1">
      <alignment wrapText="1"/>
    </xf>
    <xf numFmtId="164" fontId="44" fillId="0" borderId="0" xfId="0" applyNumberFormat="1" applyFont="1" applyAlignment="1">
      <alignment horizontal="right" vertical="center" wrapText="1"/>
    </xf>
    <xf numFmtId="0" fontId="45" fillId="0" borderId="0" xfId="0" applyFont="1" applyAlignment="1">
      <alignment vertical="center" wrapText="1"/>
    </xf>
    <xf numFmtId="166" fontId="44" fillId="0" borderId="1" xfId="0" applyNumberFormat="1" applyFont="1" applyBorder="1" applyAlignment="1">
      <alignment wrapText="1"/>
    </xf>
    <xf numFmtId="164" fontId="45" fillId="0" borderId="1" xfId="1" applyNumberFormat="1" applyFont="1" applyBorder="1" applyAlignment="1">
      <alignment horizontal="right" vertical="center" wrapText="1"/>
    </xf>
    <xf numFmtId="166" fontId="45" fillId="0" borderId="0" xfId="0" applyNumberFormat="1" applyFont="1" applyAlignment="1">
      <alignment wrapText="1"/>
    </xf>
    <xf numFmtId="166" fontId="44" fillId="0" borderId="0" xfId="0" applyNumberFormat="1" applyFont="1" applyAlignment="1">
      <alignment horizontal="right" wrapText="1"/>
    </xf>
    <xf numFmtId="164" fontId="45" fillId="0" borderId="0" xfId="1" applyNumberFormat="1" applyFont="1" applyFill="1" applyAlignment="1">
      <alignment horizontal="right" vertical="center" wrapText="1"/>
    </xf>
    <xf numFmtId="164" fontId="44" fillId="0" borderId="3" xfId="0" applyNumberFormat="1" applyFont="1" applyBorder="1" applyAlignment="1">
      <alignment horizontal="right" vertical="center" wrapText="1"/>
    </xf>
    <xf numFmtId="166" fontId="44" fillId="0" borderId="3" xfId="0" applyNumberFormat="1" applyFont="1" applyBorder="1" applyAlignment="1">
      <alignment wrapText="1"/>
    </xf>
    <xf numFmtId="164" fontId="45" fillId="0" borderId="0" xfId="0" applyNumberFormat="1" applyFont="1"/>
    <xf numFmtId="164" fontId="45" fillId="0" borderId="0" xfId="1" applyNumberFormat="1" applyFont="1" applyFill="1" applyBorder="1" applyAlignment="1">
      <alignment horizontal="right" vertical="center" wrapText="1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 vertical="center" wrapText="1"/>
    </xf>
    <xf numFmtId="49" fontId="45" fillId="0" borderId="0" xfId="0" applyNumberFormat="1" applyFont="1" applyAlignment="1">
      <alignment horizontal="left" vertical="center"/>
    </xf>
    <xf numFmtId="168" fontId="45" fillId="0" borderId="0" xfId="0" applyNumberFormat="1" applyFont="1" applyAlignment="1">
      <alignment horizontal="right"/>
    </xf>
    <xf numFmtId="43" fontId="45" fillId="0" borderId="0" xfId="0" applyNumberFormat="1" applyFont="1" applyAlignment="1">
      <alignment horizontal="right"/>
    </xf>
    <xf numFmtId="0" fontId="14" fillId="0" borderId="0" xfId="4"/>
    <xf numFmtId="0" fontId="41" fillId="18" borderId="10" xfId="4" applyFont="1" applyFill="1" applyBorder="1" applyAlignment="1">
      <alignment vertical="top" wrapText="1"/>
    </xf>
    <xf numFmtId="0" fontId="42" fillId="18" borderId="10" xfId="4" applyFont="1" applyFill="1" applyBorder="1" applyAlignment="1">
      <alignment vertical="top" wrapText="1" indent="4"/>
    </xf>
    <xf numFmtId="0" fontId="42" fillId="18" borderId="10" xfId="4" applyFont="1" applyFill="1" applyBorder="1" applyAlignment="1">
      <alignment horizontal="right" vertical="top" wrapText="1"/>
    </xf>
    <xf numFmtId="0" fontId="42" fillId="0" borderId="10" xfId="4" applyFont="1" applyBorder="1" applyAlignment="1">
      <alignment vertical="top" indent="6"/>
    </xf>
    <xf numFmtId="0" fontId="42" fillId="0" borderId="10" xfId="4" applyFont="1" applyBorder="1" applyAlignment="1">
      <alignment vertical="top" indent="8"/>
    </xf>
    <xf numFmtId="0" fontId="42" fillId="0" borderId="10" xfId="4" applyFont="1" applyBorder="1" applyAlignment="1">
      <alignment vertical="top" indent="10"/>
    </xf>
    <xf numFmtId="0" fontId="42" fillId="18" borderId="10" xfId="4" applyFont="1" applyFill="1" applyBorder="1" applyAlignment="1">
      <alignment vertical="top"/>
    </xf>
    <xf numFmtId="4" fontId="42" fillId="18" borderId="10" xfId="4" applyNumberFormat="1" applyFont="1" applyFill="1" applyBorder="1" applyAlignment="1">
      <alignment horizontal="right" vertical="top" wrapText="1"/>
    </xf>
    <xf numFmtId="4" fontId="42" fillId="7" borderId="10" xfId="4" applyNumberFormat="1" applyFont="1" applyFill="1" applyBorder="1" applyAlignment="1">
      <alignment horizontal="right" vertical="top" wrapText="1"/>
    </xf>
    <xf numFmtId="0" fontId="42" fillId="7" borderId="10" xfId="4" applyFont="1" applyFill="1" applyBorder="1" applyAlignment="1">
      <alignment horizontal="right" vertical="top" wrapText="1"/>
    </xf>
    <xf numFmtId="0" fontId="42" fillId="7" borderId="10" xfId="4" applyFont="1" applyFill="1" applyBorder="1" applyAlignment="1">
      <alignment vertical="top"/>
    </xf>
    <xf numFmtId="0" fontId="16" fillId="3" borderId="6" xfId="4" applyFont="1" applyFill="1" applyBorder="1" applyAlignment="1">
      <alignment vertical="center" wrapText="1"/>
    </xf>
    <xf numFmtId="1" fontId="16" fillId="4" borderId="6" xfId="4" applyNumberFormat="1" applyFont="1" applyFill="1" applyBorder="1" applyAlignment="1">
      <alignment horizontal="left" vertical="top"/>
    </xf>
    <xf numFmtId="0" fontId="16" fillId="4" borderId="6" xfId="4" applyFont="1" applyFill="1" applyBorder="1" applyAlignment="1">
      <alignment vertical="top" wrapText="1"/>
    </xf>
    <xf numFmtId="4" fontId="16" fillId="4" borderId="6" xfId="4" applyNumberFormat="1" applyFont="1" applyFill="1" applyBorder="1" applyAlignment="1">
      <alignment horizontal="right" vertical="top" wrapText="1"/>
    </xf>
    <xf numFmtId="0" fontId="16" fillId="4" borderId="6" xfId="4" applyFont="1" applyFill="1" applyBorder="1" applyAlignment="1">
      <alignment horizontal="right" vertical="top" wrapText="1"/>
    </xf>
    <xf numFmtId="0" fontId="14" fillId="14" borderId="6" xfId="4" applyFill="1" applyBorder="1" applyAlignment="1">
      <alignment vertical="top" wrapText="1" indent="2"/>
    </xf>
    <xf numFmtId="0" fontId="14" fillId="14" borderId="6" xfId="4" applyFill="1" applyBorder="1" applyAlignment="1">
      <alignment horizontal="right" vertical="top" wrapText="1"/>
    </xf>
    <xf numFmtId="0" fontId="14" fillId="0" borderId="6" xfId="4" applyBorder="1" applyAlignment="1">
      <alignment vertical="top" indent="4"/>
    </xf>
    <xf numFmtId="1" fontId="14" fillId="0" borderId="6" xfId="4" applyNumberFormat="1" applyBorder="1" applyAlignment="1">
      <alignment horizontal="left" vertical="top"/>
    </xf>
    <xf numFmtId="4" fontId="14" fillId="0" borderId="6" xfId="4" applyNumberFormat="1" applyBorder="1" applyAlignment="1">
      <alignment horizontal="right" vertical="top" wrapText="1"/>
    </xf>
    <xf numFmtId="0" fontId="14" fillId="0" borderId="6" xfId="4" applyBorder="1" applyAlignment="1">
      <alignment horizontal="right" vertical="top" wrapText="1"/>
    </xf>
    <xf numFmtId="0" fontId="14" fillId="0" borderId="6" xfId="4" applyBorder="1" applyAlignment="1">
      <alignment vertical="top" indent="6"/>
    </xf>
    <xf numFmtId="0" fontId="14" fillId="14" borderId="6" xfId="4" applyFill="1" applyBorder="1" applyAlignment="1">
      <alignment vertical="top"/>
    </xf>
    <xf numFmtId="4" fontId="14" fillId="14" borderId="6" xfId="4" applyNumberFormat="1" applyFill="1" applyBorder="1" applyAlignment="1">
      <alignment horizontal="right" vertical="top" wrapText="1"/>
    </xf>
    <xf numFmtId="0" fontId="16" fillId="4" borderId="6" xfId="4" applyFont="1" applyFill="1" applyBorder="1" applyAlignment="1">
      <alignment vertical="top"/>
    </xf>
    <xf numFmtId="3" fontId="0" fillId="7" borderId="0" xfId="0" applyNumberFormat="1" applyFill="1"/>
    <xf numFmtId="4" fontId="14" fillId="7" borderId="6" xfId="4" applyNumberFormat="1" applyFill="1" applyBorder="1" applyAlignment="1">
      <alignment horizontal="right" vertical="top" wrapText="1"/>
    </xf>
    <xf numFmtId="0" fontId="41" fillId="18" borderId="6" xfId="4" applyFont="1" applyFill="1" applyBorder="1" applyAlignment="1">
      <alignment vertical="top"/>
    </xf>
    <xf numFmtId="0" fontId="41" fillId="18" borderId="17" xfId="4" applyFont="1" applyFill="1" applyBorder="1" applyAlignment="1">
      <alignment vertical="top"/>
    </xf>
    <xf numFmtId="0" fontId="41" fillId="18" borderId="20" xfId="4" applyFont="1" applyFill="1" applyBorder="1" applyAlignment="1">
      <alignment horizontal="center" vertical="top"/>
    </xf>
    <xf numFmtId="0" fontId="41" fillId="18" borderId="21" xfId="4" applyFont="1" applyFill="1" applyBorder="1" applyAlignment="1">
      <alignment horizontal="right" vertical="top" wrapText="1"/>
    </xf>
    <xf numFmtId="0" fontId="41" fillId="18" borderId="22" xfId="4" applyFont="1" applyFill="1" applyBorder="1" applyAlignment="1">
      <alignment horizontal="center" vertical="top"/>
    </xf>
    <xf numFmtId="2" fontId="41" fillId="18" borderId="23" xfId="4" applyNumberFormat="1" applyFont="1" applyFill="1" applyBorder="1" applyAlignment="1">
      <alignment horizontal="right" vertical="top" wrapText="1"/>
    </xf>
    <xf numFmtId="0" fontId="42" fillId="0" borderId="10" xfId="4" applyFont="1" applyBorder="1" applyAlignment="1">
      <alignment vertical="top" wrapText="1"/>
    </xf>
    <xf numFmtId="0" fontId="42" fillId="0" borderId="10" xfId="4" applyFont="1" applyBorder="1" applyAlignment="1">
      <alignment horizontal="left" vertical="top"/>
    </xf>
    <xf numFmtId="0" fontId="42" fillId="0" borderId="20" xfId="4" applyFont="1" applyBorder="1" applyAlignment="1">
      <alignment horizontal="center" vertical="top"/>
    </xf>
    <xf numFmtId="4" fontId="42" fillId="0" borderId="21" xfId="4" applyNumberFormat="1" applyFont="1" applyBorder="1" applyAlignment="1">
      <alignment horizontal="right" vertical="top" wrapText="1"/>
    </xf>
    <xf numFmtId="0" fontId="42" fillId="0" borderId="22" xfId="4" applyFont="1" applyBorder="1" applyAlignment="1">
      <alignment horizontal="center" vertical="top"/>
    </xf>
    <xf numFmtId="0" fontId="42" fillId="0" borderId="23" xfId="4" applyFont="1" applyBorder="1" applyAlignment="1">
      <alignment horizontal="right" vertical="top" wrapText="1"/>
    </xf>
    <xf numFmtId="4" fontId="41" fillId="18" borderId="21" xfId="4" applyNumberFormat="1" applyFont="1" applyFill="1" applyBorder="1" applyAlignment="1">
      <alignment horizontal="right" vertical="top" wrapText="1"/>
    </xf>
    <xf numFmtId="0" fontId="16" fillId="3" borderId="6" xfId="4" applyFont="1" applyFill="1" applyBorder="1" applyAlignment="1">
      <alignment horizontal="center" vertical="center"/>
    </xf>
    <xf numFmtId="0" fontId="16" fillId="3" borderId="17" xfId="4" applyFont="1" applyFill="1" applyBorder="1" applyAlignment="1">
      <alignment horizontal="center" vertical="center"/>
    </xf>
    <xf numFmtId="0" fontId="14" fillId="4" borderId="24" xfId="4" applyFill="1" applyBorder="1" applyAlignment="1">
      <alignment horizontal="center" vertical="top"/>
    </xf>
    <xf numFmtId="0" fontId="14" fillId="4" borderId="17" xfId="4" applyFill="1" applyBorder="1" applyAlignment="1">
      <alignment horizontal="right" vertical="top" wrapText="1"/>
    </xf>
    <xf numFmtId="0" fontId="14" fillId="4" borderId="13" xfId="4" applyFill="1" applyBorder="1" applyAlignment="1">
      <alignment horizontal="center" vertical="top"/>
    </xf>
    <xf numFmtId="2" fontId="14" fillId="4" borderId="25" xfId="4" applyNumberFormat="1" applyFill="1" applyBorder="1" applyAlignment="1">
      <alignment horizontal="right" vertical="top" wrapText="1"/>
    </xf>
    <xf numFmtId="0" fontId="14" fillId="0" borderId="6" xfId="4" applyBorder="1" applyAlignment="1">
      <alignment vertical="top"/>
    </xf>
    <xf numFmtId="0" fontId="14" fillId="0" borderId="6" xfId="4" applyBorder="1" applyAlignment="1">
      <alignment vertical="top" wrapText="1"/>
    </xf>
    <xf numFmtId="0" fontId="14" fillId="0" borderId="24" xfId="4" applyBorder="1" applyAlignment="1">
      <alignment horizontal="center" vertical="top"/>
    </xf>
    <xf numFmtId="4" fontId="14" fillId="0" borderId="17" xfId="4" applyNumberFormat="1" applyBorder="1" applyAlignment="1">
      <alignment horizontal="right" vertical="top" wrapText="1"/>
    </xf>
    <xf numFmtId="0" fontId="14" fillId="0" borderId="13" xfId="4" applyBorder="1" applyAlignment="1">
      <alignment horizontal="center" vertical="top"/>
    </xf>
    <xf numFmtId="0" fontId="14" fillId="0" borderId="25" xfId="4" applyBorder="1" applyAlignment="1">
      <alignment horizontal="right" vertical="top" wrapText="1"/>
    </xf>
    <xf numFmtId="4" fontId="14" fillId="4" borderId="17" xfId="4" applyNumberFormat="1" applyFill="1" applyBorder="1" applyAlignment="1">
      <alignment horizontal="right" vertical="top" wrapText="1"/>
    </xf>
    <xf numFmtId="0" fontId="14" fillId="4" borderId="6" xfId="4" applyFill="1" applyBorder="1" applyAlignment="1">
      <alignment vertical="top"/>
    </xf>
    <xf numFmtId="4" fontId="14" fillId="0" borderId="0" xfId="4" applyNumberFormat="1"/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right" wrapText="1"/>
    </xf>
    <xf numFmtId="0" fontId="45" fillId="0" borderId="0" xfId="0" applyFont="1" applyAlignment="1">
      <alignment vertical="center"/>
    </xf>
    <xf numFmtId="0" fontId="49" fillId="0" borderId="0" xfId="15" applyFont="1"/>
    <xf numFmtId="0" fontId="48" fillId="18" borderId="6" xfId="15" applyFont="1" applyFill="1" applyBorder="1" applyAlignment="1">
      <alignment vertical="top" wrapText="1"/>
    </xf>
    <xf numFmtId="0" fontId="48" fillId="18" borderId="10" xfId="15" applyFont="1" applyFill="1" applyBorder="1" applyAlignment="1">
      <alignment vertical="top"/>
    </xf>
    <xf numFmtId="0" fontId="48" fillId="18" borderId="10" xfId="15" applyFont="1" applyFill="1" applyBorder="1" applyAlignment="1">
      <alignment vertical="top" wrapText="1"/>
    </xf>
    <xf numFmtId="0" fontId="48" fillId="18" borderId="10" xfId="15" applyFont="1" applyFill="1" applyBorder="1" applyAlignment="1">
      <alignment horizontal="right" vertical="top" wrapText="1"/>
    </xf>
    <xf numFmtId="0" fontId="49" fillId="0" borderId="10" xfId="15" applyFont="1" applyBorder="1" applyAlignment="1">
      <alignment vertical="top" indent="2"/>
    </xf>
    <xf numFmtId="0" fontId="49" fillId="0" borderId="10" xfId="15" applyFont="1" applyBorder="1" applyAlignment="1">
      <alignment vertical="top"/>
    </xf>
    <xf numFmtId="4" fontId="49" fillId="0" borderId="10" xfId="15" applyNumberFormat="1" applyFont="1" applyBorder="1" applyAlignment="1">
      <alignment horizontal="right" vertical="top" wrapText="1"/>
    </xf>
    <xf numFmtId="0" fontId="49" fillId="0" borderId="10" xfId="15" applyFont="1" applyBorder="1" applyAlignment="1">
      <alignment horizontal="right" vertical="top" wrapText="1"/>
    </xf>
    <xf numFmtId="0" fontId="49" fillId="0" borderId="10" xfId="15" applyFont="1" applyBorder="1" applyAlignment="1">
      <alignment vertical="top" indent="4"/>
    </xf>
    <xf numFmtId="0" fontId="49" fillId="0" borderId="10" xfId="15" applyFont="1" applyBorder="1" applyAlignment="1">
      <alignment vertical="top" indent="6"/>
    </xf>
    <xf numFmtId="2" fontId="49" fillId="0" borderId="10" xfId="15" applyNumberFormat="1" applyFont="1" applyBorder="1" applyAlignment="1">
      <alignment horizontal="right" vertical="top" wrapText="1"/>
    </xf>
    <xf numFmtId="4" fontId="48" fillId="18" borderId="10" xfId="15" applyNumberFormat="1" applyFont="1" applyFill="1" applyBorder="1" applyAlignment="1">
      <alignment horizontal="right" vertical="top" wrapText="1"/>
    </xf>
    <xf numFmtId="0" fontId="51" fillId="18" borderId="6" xfId="15" applyFont="1" applyFill="1" applyBorder="1" applyAlignment="1">
      <alignment vertical="top" wrapText="1"/>
    </xf>
    <xf numFmtId="0" fontId="51" fillId="18" borderId="10" xfId="15" applyFont="1" applyFill="1" applyBorder="1" applyAlignment="1">
      <alignment vertical="top"/>
    </xf>
    <xf numFmtId="0" fontId="51" fillId="18" borderId="10" xfId="15" applyFont="1" applyFill="1" applyBorder="1" applyAlignment="1">
      <alignment vertical="top" wrapText="1"/>
    </xf>
    <xf numFmtId="0" fontId="51" fillId="18" borderId="10" xfId="15" applyFont="1" applyFill="1" applyBorder="1" applyAlignment="1">
      <alignment horizontal="right" vertical="top" wrapText="1"/>
    </xf>
    <xf numFmtId="0" fontId="14" fillId="0" borderId="10" xfId="15" applyBorder="1" applyAlignment="1">
      <alignment vertical="top" indent="2"/>
    </xf>
    <xf numFmtId="0" fontId="14" fillId="0" borderId="10" xfId="15" applyBorder="1" applyAlignment="1">
      <alignment vertical="top"/>
    </xf>
    <xf numFmtId="4" fontId="17" fillId="0" borderId="10" xfId="15" applyNumberFormat="1" applyFont="1" applyBorder="1" applyAlignment="1">
      <alignment horizontal="right" vertical="top" wrapText="1"/>
    </xf>
    <xf numFmtId="0" fontId="14" fillId="0" borderId="10" xfId="15" applyBorder="1" applyAlignment="1">
      <alignment horizontal="right" vertical="top" wrapText="1"/>
    </xf>
    <xf numFmtId="0" fontId="14" fillId="0" borderId="10" xfId="15" applyBorder="1" applyAlignment="1">
      <alignment vertical="top" indent="4"/>
    </xf>
    <xf numFmtId="4" fontId="14" fillId="0" borderId="10" xfId="15" applyNumberFormat="1" applyBorder="1" applyAlignment="1">
      <alignment horizontal="right" vertical="top" wrapText="1"/>
    </xf>
    <xf numFmtId="0" fontId="14" fillId="0" borderId="10" xfId="15" applyBorder="1" applyAlignment="1">
      <alignment vertical="top" indent="6"/>
    </xf>
    <xf numFmtId="2" fontId="14" fillId="0" borderId="10" xfId="15" applyNumberFormat="1" applyBorder="1" applyAlignment="1">
      <alignment horizontal="right" vertical="top" wrapText="1"/>
    </xf>
    <xf numFmtId="4" fontId="51" fillId="18" borderId="10" xfId="15" applyNumberFormat="1" applyFont="1" applyFill="1" applyBorder="1" applyAlignment="1">
      <alignment horizontal="right" vertical="top" wrapText="1"/>
    </xf>
    <xf numFmtId="0" fontId="14" fillId="0" borderId="0" xfId="15"/>
    <xf numFmtId="0" fontId="48" fillId="18" borderId="6" xfId="16" applyFont="1" applyFill="1" applyBorder="1" applyAlignment="1">
      <alignment vertical="top"/>
    </xf>
    <xf numFmtId="4" fontId="48" fillId="18" borderId="6" xfId="16" applyNumberFormat="1" applyFont="1" applyFill="1" applyBorder="1" applyAlignment="1">
      <alignment horizontal="right" vertical="top" wrapText="1"/>
    </xf>
    <xf numFmtId="0" fontId="49" fillId="9" borderId="10" xfId="16" applyFont="1" applyFill="1" applyBorder="1" applyAlignment="1">
      <alignment vertical="top" wrapText="1" indent="2"/>
    </xf>
    <xf numFmtId="4" fontId="49" fillId="9" borderId="10" xfId="16" applyNumberFormat="1" applyFont="1" applyFill="1" applyBorder="1" applyAlignment="1">
      <alignment horizontal="right" vertical="top" wrapText="1"/>
    </xf>
    <xf numFmtId="4" fontId="50" fillId="9" borderId="10" xfId="16" applyNumberFormat="1" applyFont="1" applyFill="1" applyBorder="1" applyAlignment="1">
      <alignment horizontal="right" vertical="top" wrapText="1"/>
    </xf>
    <xf numFmtId="0" fontId="41" fillId="18" borderId="6" xfId="16" applyFont="1" applyFill="1" applyBorder="1" applyAlignment="1">
      <alignment vertical="top"/>
    </xf>
    <xf numFmtId="4" fontId="41" fillId="18" borderId="6" xfId="16" applyNumberFormat="1" applyFont="1" applyFill="1" applyBorder="1" applyAlignment="1">
      <alignment horizontal="right" vertical="top" wrapText="1"/>
    </xf>
    <xf numFmtId="0" fontId="42" fillId="9" borderId="10" xfId="16" applyFont="1" applyFill="1" applyBorder="1" applyAlignment="1">
      <alignment vertical="top" wrapText="1" indent="2"/>
    </xf>
    <xf numFmtId="4" fontId="43" fillId="9" borderId="10" xfId="16" applyNumberFormat="1" applyFont="1" applyFill="1" applyBorder="1" applyAlignment="1">
      <alignment horizontal="right" vertical="top" wrapText="1"/>
    </xf>
    <xf numFmtId="4" fontId="42" fillId="9" borderId="10" xfId="16" applyNumberFormat="1" applyFont="1" applyFill="1" applyBorder="1" applyAlignment="1">
      <alignment horizontal="right" vertical="top" wrapText="1"/>
    </xf>
    <xf numFmtId="0" fontId="41" fillId="18" borderId="10" xfId="15" applyFont="1" applyFill="1" applyBorder="1" applyAlignment="1">
      <alignment vertical="top" wrapText="1" indent="2"/>
    </xf>
    <xf numFmtId="0" fontId="42" fillId="0" borderId="10" xfId="15" applyFont="1" applyBorder="1" applyAlignment="1">
      <alignment vertical="top" wrapText="1" indent="4"/>
    </xf>
    <xf numFmtId="4" fontId="41" fillId="18" borderId="10" xfId="15" applyNumberFormat="1" applyFont="1" applyFill="1" applyBorder="1" applyAlignment="1">
      <alignment horizontal="right" vertical="top" wrapText="1"/>
    </xf>
    <xf numFmtId="4" fontId="42" fillId="0" borderId="10" xfId="15" applyNumberFormat="1" applyFont="1" applyBorder="1" applyAlignment="1">
      <alignment horizontal="right" vertical="top" wrapText="1"/>
    </xf>
    <xf numFmtId="0" fontId="49" fillId="9" borderId="10" xfId="15" applyFont="1" applyFill="1" applyBorder="1" applyAlignment="1">
      <alignment vertical="top"/>
    </xf>
    <xf numFmtId="4" fontId="49" fillId="9" borderId="10" xfId="15" applyNumberFormat="1" applyFont="1" applyFill="1" applyBorder="1" applyAlignment="1">
      <alignment horizontal="right" vertical="top" wrapText="1"/>
    </xf>
    <xf numFmtId="0" fontId="49" fillId="9" borderId="10" xfId="15" applyFont="1" applyFill="1" applyBorder="1" applyAlignment="1">
      <alignment horizontal="right" vertical="top" wrapText="1"/>
    </xf>
    <xf numFmtId="0" fontId="49" fillId="9" borderId="10" xfId="15" applyFont="1" applyFill="1" applyBorder="1" applyAlignment="1">
      <alignment vertical="top" indent="4"/>
    </xf>
    <xf numFmtId="0" fontId="49" fillId="7" borderId="10" xfId="15" applyFont="1" applyFill="1" applyBorder="1" applyAlignment="1">
      <alignment vertical="top"/>
    </xf>
    <xf numFmtId="0" fontId="49" fillId="7" borderId="10" xfId="15" applyFont="1" applyFill="1" applyBorder="1" applyAlignment="1">
      <alignment horizontal="right" vertical="top" wrapText="1"/>
    </xf>
    <xf numFmtId="4" fontId="49" fillId="7" borderId="10" xfId="15" applyNumberFormat="1" applyFont="1" applyFill="1" applyBorder="1" applyAlignment="1">
      <alignment horizontal="right" vertical="top" wrapText="1"/>
    </xf>
    <xf numFmtId="2" fontId="49" fillId="7" borderId="10" xfId="15" applyNumberFormat="1" applyFont="1" applyFill="1" applyBorder="1" applyAlignment="1">
      <alignment horizontal="right" vertical="top" wrapText="1"/>
    </xf>
    <xf numFmtId="0" fontId="18" fillId="7" borderId="0" xfId="0" applyFont="1" applyFill="1"/>
    <xf numFmtId="0" fontId="49" fillId="16" borderId="10" xfId="15" applyFont="1" applyFill="1" applyBorder="1" applyAlignment="1">
      <alignment vertical="top"/>
    </xf>
    <xf numFmtId="4" fontId="49" fillId="16" borderId="10" xfId="15" applyNumberFormat="1" applyFont="1" applyFill="1" applyBorder="1" applyAlignment="1">
      <alignment horizontal="right" vertical="top" wrapText="1"/>
    </xf>
    <xf numFmtId="0" fontId="49" fillId="16" borderId="10" xfId="15" applyFont="1" applyFill="1" applyBorder="1" applyAlignment="1">
      <alignment horizontal="right" vertical="top" wrapText="1"/>
    </xf>
    <xf numFmtId="0" fontId="18" fillId="16" borderId="0" xfId="0" applyFont="1" applyFill="1"/>
    <xf numFmtId="0" fontId="49" fillId="5" borderId="10" xfId="15" applyFont="1" applyFill="1" applyBorder="1" applyAlignment="1">
      <alignment vertical="top"/>
    </xf>
    <xf numFmtId="4" fontId="49" fillId="5" borderId="10" xfId="15" applyNumberFormat="1" applyFont="1" applyFill="1" applyBorder="1" applyAlignment="1">
      <alignment horizontal="right" vertical="top" wrapText="1"/>
    </xf>
    <xf numFmtId="0" fontId="49" fillId="5" borderId="10" xfId="15" applyFont="1" applyFill="1" applyBorder="1" applyAlignment="1">
      <alignment horizontal="right" vertical="top" wrapText="1"/>
    </xf>
    <xf numFmtId="0" fontId="49" fillId="5" borderId="10" xfId="16" applyFont="1" applyFill="1" applyBorder="1" applyAlignment="1">
      <alignment vertical="top" wrapText="1" indent="2"/>
    </xf>
    <xf numFmtId="4" fontId="49" fillId="5" borderId="10" xfId="16" applyNumberFormat="1" applyFont="1" applyFill="1" applyBorder="1" applyAlignment="1">
      <alignment horizontal="right" vertical="top" wrapText="1"/>
    </xf>
    <xf numFmtId="0" fontId="49" fillId="12" borderId="10" xfId="16" applyFont="1" applyFill="1" applyBorder="1" applyAlignment="1">
      <alignment vertical="top" wrapText="1" indent="2"/>
    </xf>
    <xf numFmtId="4" fontId="49" fillId="12" borderId="10" xfId="16" applyNumberFormat="1" applyFont="1" applyFill="1" applyBorder="1" applyAlignment="1">
      <alignment horizontal="right" vertical="top" wrapText="1"/>
    </xf>
    <xf numFmtId="2" fontId="49" fillId="5" borderId="10" xfId="16" applyNumberFormat="1" applyFont="1" applyFill="1" applyBorder="1" applyAlignment="1">
      <alignment horizontal="right" vertical="top" wrapText="1"/>
    </xf>
    <xf numFmtId="0" fontId="49" fillId="19" borderId="10" xfId="16" applyFont="1" applyFill="1" applyBorder="1" applyAlignment="1">
      <alignment vertical="top" wrapText="1" indent="2"/>
    </xf>
    <xf numFmtId="4" fontId="49" fillId="19" borderId="10" xfId="16" applyNumberFormat="1" applyFont="1" applyFill="1" applyBorder="1" applyAlignment="1">
      <alignment horizontal="right" vertical="top" wrapText="1"/>
    </xf>
    <xf numFmtId="3" fontId="18" fillId="19" borderId="0" xfId="0" applyNumberFormat="1" applyFont="1" applyFill="1"/>
    <xf numFmtId="0" fontId="49" fillId="20" borderId="10" xfId="16" applyFont="1" applyFill="1" applyBorder="1" applyAlignment="1">
      <alignment vertical="top" wrapText="1" indent="2"/>
    </xf>
    <xf numFmtId="4" fontId="49" fillId="20" borderId="10" xfId="16" applyNumberFormat="1" applyFont="1" applyFill="1" applyBorder="1" applyAlignment="1">
      <alignment horizontal="right" vertical="top" wrapText="1"/>
    </xf>
    <xf numFmtId="3" fontId="18" fillId="20" borderId="0" xfId="0" applyNumberFormat="1" applyFont="1" applyFill="1"/>
    <xf numFmtId="0" fontId="49" fillId="10" borderId="10" xfId="16" applyFont="1" applyFill="1" applyBorder="1" applyAlignment="1">
      <alignment vertical="top" wrapText="1" indent="2"/>
    </xf>
    <xf numFmtId="4" fontId="49" fillId="10" borderId="10" xfId="16" applyNumberFormat="1" applyFont="1" applyFill="1" applyBorder="1" applyAlignment="1">
      <alignment horizontal="right" vertical="top" wrapText="1"/>
    </xf>
    <xf numFmtId="0" fontId="49" fillId="21" borderId="10" xfId="16" applyFont="1" applyFill="1" applyBorder="1" applyAlignment="1">
      <alignment vertical="top" wrapText="1" indent="2"/>
    </xf>
    <xf numFmtId="4" fontId="49" fillId="21" borderId="10" xfId="16" applyNumberFormat="1" applyFont="1" applyFill="1" applyBorder="1" applyAlignment="1">
      <alignment horizontal="right" vertical="top" wrapText="1"/>
    </xf>
    <xf numFmtId="3" fontId="18" fillId="21" borderId="0" xfId="0" applyNumberFormat="1" applyFont="1" applyFill="1"/>
    <xf numFmtId="0" fontId="52" fillId="0" borderId="10" xfId="16" applyFont="1" applyBorder="1" applyAlignment="1">
      <alignment vertical="top" wrapText="1" indent="2"/>
    </xf>
    <xf numFmtId="4" fontId="52" fillId="0" borderId="10" xfId="16" applyNumberFormat="1" applyFont="1" applyBorder="1" applyAlignment="1">
      <alignment horizontal="right" vertical="top" wrapText="1"/>
    </xf>
    <xf numFmtId="3" fontId="52" fillId="0" borderId="0" xfId="0" applyNumberFormat="1" applyFont="1"/>
    <xf numFmtId="0" fontId="53" fillId="0" borderId="10" xfId="16" applyFont="1" applyBorder="1" applyAlignment="1">
      <alignment vertical="top" wrapText="1" indent="2"/>
    </xf>
    <xf numFmtId="4" fontId="53" fillId="0" borderId="10" xfId="16" applyNumberFormat="1" applyFont="1" applyBorder="1" applyAlignment="1">
      <alignment horizontal="right" vertical="top" wrapText="1"/>
    </xf>
    <xf numFmtId="0" fontId="52" fillId="0" borderId="12" xfId="16" applyFont="1" applyBorder="1" applyAlignment="1">
      <alignment vertical="top" wrapText="1" indent="2"/>
    </xf>
    <xf numFmtId="4" fontId="52" fillId="0" borderId="12" xfId="16" applyNumberFormat="1" applyFont="1" applyBorder="1" applyAlignment="1">
      <alignment horizontal="right" vertical="top" wrapText="1"/>
    </xf>
    <xf numFmtId="0" fontId="53" fillId="0" borderId="11" xfId="16" applyFont="1" applyBorder="1" applyAlignment="1">
      <alignment vertical="top" wrapText="1" indent="2"/>
    </xf>
    <xf numFmtId="4" fontId="53" fillId="0" borderId="11" xfId="16" applyNumberFormat="1" applyFont="1" applyBorder="1" applyAlignment="1">
      <alignment horizontal="right" vertical="top" wrapText="1"/>
    </xf>
    <xf numFmtId="0" fontId="53" fillId="0" borderId="0" xfId="16" applyFont="1" applyAlignment="1">
      <alignment vertical="top" wrapText="1" indent="2"/>
    </xf>
    <xf numFmtId="4" fontId="53" fillId="0" borderId="0" xfId="16" applyNumberFormat="1" applyFont="1" applyAlignment="1">
      <alignment horizontal="right" vertical="top" wrapText="1"/>
    </xf>
    <xf numFmtId="0" fontId="42" fillId="22" borderId="10" xfId="16" applyFont="1" applyFill="1" applyBorder="1" applyAlignment="1">
      <alignment vertical="top" wrapText="1" indent="2"/>
    </xf>
    <xf numFmtId="4" fontId="42" fillId="22" borderId="10" xfId="16" applyNumberFormat="1" applyFont="1" applyFill="1" applyBorder="1" applyAlignment="1">
      <alignment horizontal="right" vertical="top" wrapText="1"/>
    </xf>
    <xf numFmtId="3" fontId="18" fillId="22" borderId="0" xfId="0" applyNumberFormat="1" applyFont="1" applyFill="1"/>
    <xf numFmtId="0" fontId="42" fillId="7" borderId="10" xfId="16" applyFont="1" applyFill="1" applyBorder="1" applyAlignment="1">
      <alignment vertical="top" wrapText="1" indent="2"/>
    </xf>
    <xf numFmtId="4" fontId="42" fillId="7" borderId="10" xfId="16" applyNumberFormat="1" applyFont="1" applyFill="1" applyBorder="1" applyAlignment="1">
      <alignment horizontal="right" vertical="top" wrapText="1"/>
    </xf>
    <xf numFmtId="0" fontId="42" fillId="19" borderId="10" xfId="16" applyFont="1" applyFill="1" applyBorder="1" applyAlignment="1">
      <alignment vertical="top" wrapText="1" indent="2"/>
    </xf>
    <xf numFmtId="4" fontId="42" fillId="19" borderId="10" xfId="16" applyNumberFormat="1" applyFont="1" applyFill="1" applyBorder="1" applyAlignment="1">
      <alignment horizontal="right" vertical="top" wrapText="1"/>
    </xf>
    <xf numFmtId="0" fontId="42" fillId="12" borderId="10" xfId="16" applyFont="1" applyFill="1" applyBorder="1" applyAlignment="1">
      <alignment vertical="top" wrapText="1" indent="2"/>
    </xf>
    <xf numFmtId="4" fontId="42" fillId="12" borderId="10" xfId="16" applyNumberFormat="1" applyFont="1" applyFill="1" applyBorder="1" applyAlignment="1">
      <alignment horizontal="right" vertical="top" wrapText="1"/>
    </xf>
    <xf numFmtId="0" fontId="42" fillId="23" borderId="10" xfId="16" applyFont="1" applyFill="1" applyBorder="1" applyAlignment="1">
      <alignment vertical="top" wrapText="1" indent="2"/>
    </xf>
    <xf numFmtId="4" fontId="42" fillId="23" borderId="10" xfId="16" applyNumberFormat="1" applyFont="1" applyFill="1" applyBorder="1" applyAlignment="1">
      <alignment horizontal="right" vertical="top" wrapText="1"/>
    </xf>
    <xf numFmtId="3" fontId="18" fillId="23" borderId="0" xfId="0" applyNumberFormat="1" applyFont="1" applyFill="1"/>
    <xf numFmtId="0" fontId="42" fillId="5" borderId="10" xfId="16" applyFont="1" applyFill="1" applyBorder="1" applyAlignment="1">
      <alignment vertical="top" wrapText="1" indent="2"/>
    </xf>
    <xf numFmtId="4" fontId="42" fillId="5" borderId="10" xfId="16" applyNumberFormat="1" applyFont="1" applyFill="1" applyBorder="1" applyAlignment="1">
      <alignment horizontal="right" vertical="top" wrapText="1"/>
    </xf>
    <xf numFmtId="2" fontId="42" fillId="5" borderId="10" xfId="16" applyNumberFormat="1" applyFont="1" applyFill="1" applyBorder="1" applyAlignment="1">
      <alignment horizontal="right" vertical="top" wrapText="1"/>
    </xf>
    <xf numFmtId="0" fontId="54" fillId="0" borderId="10" xfId="16" applyFont="1" applyBorder="1" applyAlignment="1">
      <alignment vertical="top" wrapText="1" indent="2"/>
    </xf>
    <xf numFmtId="4" fontId="54" fillId="0" borderId="10" xfId="16" applyNumberFormat="1" applyFont="1" applyBorder="1" applyAlignment="1">
      <alignment horizontal="right" vertical="top" wrapText="1"/>
    </xf>
    <xf numFmtId="3" fontId="55" fillId="0" borderId="0" xfId="0" applyNumberFormat="1" applyFont="1"/>
    <xf numFmtId="0" fontId="20" fillId="0" borderId="10" xfId="16" applyFont="1" applyBorder="1" applyAlignment="1">
      <alignment vertical="top" wrapText="1" indent="2"/>
    </xf>
    <xf numFmtId="4" fontId="20" fillId="0" borderId="10" xfId="16" applyNumberFormat="1" applyFont="1" applyBorder="1" applyAlignment="1">
      <alignment horizontal="right" vertical="top" wrapText="1"/>
    </xf>
    <xf numFmtId="2" fontId="20" fillId="0" borderId="10" xfId="16" applyNumberFormat="1" applyFont="1" applyBorder="1" applyAlignment="1">
      <alignment horizontal="right" vertical="top" wrapText="1"/>
    </xf>
    <xf numFmtId="4" fontId="14" fillId="5" borderId="10" xfId="15" applyNumberFormat="1" applyFill="1" applyBorder="1" applyAlignment="1">
      <alignment horizontal="right" vertical="top" wrapText="1"/>
    </xf>
    <xf numFmtId="0" fontId="14" fillId="5" borderId="10" xfId="15" applyFill="1" applyBorder="1" applyAlignment="1">
      <alignment vertical="top"/>
    </xf>
    <xf numFmtId="0" fontId="14" fillId="5" borderId="10" xfId="15" applyFill="1" applyBorder="1" applyAlignment="1">
      <alignment horizontal="right" vertical="top" wrapText="1"/>
    </xf>
    <xf numFmtId="0" fontId="41" fillId="18" borderId="6" xfId="9" applyFont="1" applyFill="1" applyBorder="1" applyAlignment="1">
      <alignment vertical="top" wrapText="1"/>
    </xf>
    <xf numFmtId="0" fontId="56" fillId="18" borderId="10" xfId="9" applyFont="1" applyFill="1" applyBorder="1" applyAlignment="1">
      <alignment vertical="top" wrapText="1"/>
    </xf>
    <xf numFmtId="0" fontId="56" fillId="18" borderId="10" xfId="9" applyFont="1" applyFill="1" applyBorder="1" applyAlignment="1">
      <alignment vertical="top"/>
    </xf>
    <xf numFmtId="4" fontId="56" fillId="18" borderId="10" xfId="9" applyNumberFormat="1" applyFont="1" applyFill="1" applyBorder="1" applyAlignment="1">
      <alignment horizontal="right" vertical="top" wrapText="1"/>
    </xf>
    <xf numFmtId="0" fontId="56" fillId="18" borderId="10" xfId="9" applyFont="1" applyFill="1" applyBorder="1" applyAlignment="1">
      <alignment horizontal="right" vertical="top" wrapText="1"/>
    </xf>
    <xf numFmtId="0" fontId="41" fillId="18" borderId="10" xfId="9" applyFont="1" applyFill="1" applyBorder="1" applyAlignment="1">
      <alignment vertical="top" wrapText="1" indent="2"/>
    </xf>
    <xf numFmtId="0" fontId="41" fillId="18" borderId="10" xfId="9" applyFont="1" applyFill="1" applyBorder="1" applyAlignment="1">
      <alignment vertical="top"/>
    </xf>
    <xf numFmtId="4" fontId="41" fillId="18" borderId="10" xfId="9" applyNumberFormat="1" applyFont="1" applyFill="1" applyBorder="1" applyAlignment="1">
      <alignment horizontal="right" vertical="top" wrapText="1"/>
    </xf>
    <xf numFmtId="0" fontId="41" fillId="18" borderId="10" xfId="9" applyFont="1" applyFill="1" applyBorder="1" applyAlignment="1">
      <alignment horizontal="right" vertical="top" wrapText="1"/>
    </xf>
    <xf numFmtId="0" fontId="42" fillId="0" borderId="10" xfId="9" applyFont="1" applyBorder="1" applyAlignment="1">
      <alignment vertical="top"/>
    </xf>
    <xf numFmtId="4" fontId="42" fillId="0" borderId="10" xfId="9" applyNumberFormat="1" applyFont="1" applyBorder="1" applyAlignment="1">
      <alignment horizontal="right" vertical="top" wrapText="1"/>
    </xf>
    <xf numFmtId="0" fontId="42" fillId="0" borderId="10" xfId="9" applyFont="1" applyBorder="1" applyAlignment="1">
      <alignment horizontal="right" vertical="top" wrapText="1"/>
    </xf>
    <xf numFmtId="0" fontId="41" fillId="18" borderId="10" xfId="9" applyFont="1" applyFill="1" applyBorder="1" applyAlignment="1">
      <alignment vertical="top" wrapText="1" indent="4"/>
    </xf>
    <xf numFmtId="4" fontId="57" fillId="18" borderId="10" xfId="9" applyNumberFormat="1" applyFont="1" applyFill="1" applyBorder="1" applyAlignment="1">
      <alignment horizontal="right" vertical="top" wrapText="1"/>
    </xf>
    <xf numFmtId="4" fontId="43" fillId="18" borderId="10" xfId="9" applyNumberFormat="1" applyFont="1" applyFill="1" applyBorder="1" applyAlignment="1">
      <alignment horizontal="right" vertical="top" wrapText="1"/>
    </xf>
    <xf numFmtId="0" fontId="41" fillId="18" borderId="6" xfId="9" applyFont="1" applyFill="1" applyBorder="1" applyAlignment="1">
      <alignment vertical="top"/>
    </xf>
    <xf numFmtId="40" fontId="41" fillId="18" borderId="6" xfId="9" applyNumberFormat="1" applyFont="1" applyFill="1" applyBorder="1" applyAlignment="1">
      <alignment horizontal="right" vertical="top" wrapText="1"/>
    </xf>
    <xf numFmtId="0" fontId="41" fillId="18" borderId="10" xfId="9" applyFont="1" applyFill="1" applyBorder="1" applyAlignment="1">
      <alignment vertical="top" wrapText="1"/>
    </xf>
    <xf numFmtId="0" fontId="42" fillId="0" borderId="10" xfId="9" applyFont="1" applyBorder="1" applyAlignment="1">
      <alignment vertical="top" indent="2"/>
    </xf>
    <xf numFmtId="4" fontId="43" fillId="0" borderId="10" xfId="9" applyNumberFormat="1" applyFont="1" applyBorder="1" applyAlignment="1">
      <alignment horizontal="right" vertical="top" wrapText="1"/>
    </xf>
    <xf numFmtId="0" fontId="42" fillId="0" borderId="10" xfId="9" applyFont="1" applyBorder="1" applyAlignment="1">
      <alignment vertical="top" indent="4"/>
    </xf>
    <xf numFmtId="0" fontId="42" fillId="0" borderId="10" xfId="9" applyFont="1" applyBorder="1" applyAlignment="1">
      <alignment vertical="top" indent="6"/>
    </xf>
    <xf numFmtId="2" fontId="42" fillId="0" borderId="10" xfId="9" applyNumberFormat="1" applyFont="1" applyBorder="1" applyAlignment="1">
      <alignment horizontal="right" vertical="top" wrapText="1"/>
    </xf>
    <xf numFmtId="0" fontId="42" fillId="9" borderId="10" xfId="9" applyFont="1" applyFill="1" applyBorder="1" applyAlignment="1">
      <alignment vertical="top"/>
    </xf>
    <xf numFmtId="0" fontId="42" fillId="9" borderId="10" xfId="9" applyFont="1" applyFill="1" applyBorder="1" applyAlignment="1">
      <alignment horizontal="right" vertical="top" wrapText="1"/>
    </xf>
    <xf numFmtId="4" fontId="42" fillId="9" borderId="10" xfId="9" applyNumberFormat="1" applyFont="1" applyFill="1" applyBorder="1" applyAlignment="1">
      <alignment horizontal="right" vertical="top" wrapText="1"/>
    </xf>
    <xf numFmtId="0" fontId="41" fillId="18" borderId="6" xfId="17" applyFont="1" applyFill="1" applyBorder="1" applyAlignment="1">
      <alignment vertical="top" wrapText="1"/>
    </xf>
    <xf numFmtId="0" fontId="41" fillId="18" borderId="10" xfId="17" applyFont="1" applyFill="1" applyBorder="1" applyAlignment="1">
      <alignment vertical="top"/>
    </xf>
    <xf numFmtId="0" fontId="41" fillId="18" borderId="10" xfId="17" applyFont="1" applyFill="1" applyBorder="1" applyAlignment="1">
      <alignment vertical="top" wrapText="1"/>
    </xf>
    <xf numFmtId="0" fontId="41" fillId="18" borderId="10" xfId="17" applyFont="1" applyFill="1" applyBorder="1" applyAlignment="1">
      <alignment horizontal="right" vertical="top" wrapText="1"/>
    </xf>
    <xf numFmtId="0" fontId="42" fillId="0" borderId="10" xfId="17" applyFont="1" applyBorder="1" applyAlignment="1">
      <alignment vertical="top" indent="2"/>
    </xf>
    <xf numFmtId="0" fontId="42" fillId="0" borderId="10" xfId="17" applyFont="1" applyBorder="1" applyAlignment="1">
      <alignment vertical="top"/>
    </xf>
    <xf numFmtId="4" fontId="43" fillId="0" borderId="10" xfId="17" applyNumberFormat="1" applyFont="1" applyBorder="1" applyAlignment="1">
      <alignment horizontal="right" vertical="top" wrapText="1"/>
    </xf>
    <xf numFmtId="0" fontId="42" fillId="0" borderId="10" xfId="17" applyFont="1" applyBorder="1" applyAlignment="1">
      <alignment horizontal="right" vertical="top" wrapText="1"/>
    </xf>
    <xf numFmtId="0" fontId="42" fillId="0" borderId="10" xfId="17" applyFont="1" applyBorder="1" applyAlignment="1">
      <alignment vertical="top" indent="4"/>
    </xf>
    <xf numFmtId="4" fontId="42" fillId="0" borderId="10" xfId="17" applyNumberFormat="1" applyFont="1" applyBorder="1" applyAlignment="1">
      <alignment horizontal="right" vertical="top" wrapText="1"/>
    </xf>
    <xf numFmtId="0" fontId="42" fillId="0" borderId="10" xfId="17" applyFont="1" applyBorder="1" applyAlignment="1">
      <alignment vertical="top" indent="6"/>
    </xf>
    <xf numFmtId="2" fontId="42" fillId="0" borderId="10" xfId="17" applyNumberFormat="1" applyFont="1" applyBorder="1" applyAlignment="1">
      <alignment horizontal="right" vertical="top" wrapText="1"/>
    </xf>
    <xf numFmtId="4" fontId="41" fillId="18" borderId="10" xfId="17" applyNumberFormat="1" applyFont="1" applyFill="1" applyBorder="1" applyAlignment="1">
      <alignment horizontal="right" vertical="top" wrapText="1"/>
    </xf>
    <xf numFmtId="0" fontId="42" fillId="9" borderId="10" xfId="17" applyFont="1" applyFill="1" applyBorder="1" applyAlignment="1">
      <alignment vertical="top"/>
    </xf>
    <xf numFmtId="0" fontId="42" fillId="9" borderId="10" xfId="17" applyFont="1" applyFill="1" applyBorder="1" applyAlignment="1">
      <alignment horizontal="right" vertical="top" wrapText="1"/>
    </xf>
    <xf numFmtId="4" fontId="42" fillId="9" borderId="10" xfId="17" applyNumberFormat="1" applyFont="1" applyFill="1" applyBorder="1" applyAlignment="1">
      <alignment horizontal="right" vertical="top" wrapText="1"/>
    </xf>
    <xf numFmtId="0" fontId="42" fillId="0" borderId="10" xfId="17" applyFont="1" applyBorder="1" applyAlignment="1">
      <alignment vertical="top" wrapText="1" indent="2"/>
    </xf>
    <xf numFmtId="0" fontId="41" fillId="18" borderId="6" xfId="17" applyFont="1" applyFill="1" applyBorder="1" applyAlignment="1">
      <alignment vertical="top"/>
    </xf>
    <xf numFmtId="4" fontId="41" fillId="18" borderId="6" xfId="17" applyNumberFormat="1" applyFont="1" applyFill="1" applyBorder="1" applyAlignment="1">
      <alignment horizontal="right" vertical="top" wrapText="1"/>
    </xf>
    <xf numFmtId="0" fontId="42" fillId="9" borderId="10" xfId="17" applyFont="1" applyFill="1" applyBorder="1" applyAlignment="1">
      <alignment vertical="top" wrapText="1" indent="2"/>
    </xf>
    <xf numFmtId="4" fontId="43" fillId="9" borderId="10" xfId="17" applyNumberFormat="1" applyFont="1" applyFill="1" applyBorder="1" applyAlignment="1">
      <alignment horizontal="right" vertical="top" wrapText="1"/>
    </xf>
    <xf numFmtId="0" fontId="42" fillId="6" borderId="10" xfId="17" applyFont="1" applyFill="1" applyBorder="1" applyAlignment="1">
      <alignment vertical="top" wrapText="1" indent="2"/>
    </xf>
    <xf numFmtId="4" fontId="42" fillId="6" borderId="10" xfId="17" applyNumberFormat="1" applyFont="1" applyFill="1" applyBorder="1" applyAlignment="1">
      <alignment horizontal="right" vertical="top" wrapText="1"/>
    </xf>
    <xf numFmtId="0" fontId="42" fillId="24" borderId="10" xfId="17" applyFont="1" applyFill="1" applyBorder="1" applyAlignment="1">
      <alignment vertical="top" wrapText="1" indent="2"/>
    </xf>
    <xf numFmtId="4" fontId="42" fillId="24" borderId="10" xfId="17" applyNumberFormat="1" applyFont="1" applyFill="1" applyBorder="1" applyAlignment="1">
      <alignment horizontal="right" vertical="top" wrapText="1"/>
    </xf>
    <xf numFmtId="3" fontId="18" fillId="24" borderId="0" xfId="0" applyNumberFormat="1" applyFont="1" applyFill="1"/>
    <xf numFmtId="0" fontId="42" fillId="25" borderId="10" xfId="17" applyFont="1" applyFill="1" applyBorder="1" applyAlignment="1">
      <alignment vertical="top" wrapText="1" indent="2"/>
    </xf>
    <xf numFmtId="4" fontId="42" fillId="25" borderId="10" xfId="17" applyNumberFormat="1" applyFont="1" applyFill="1" applyBorder="1" applyAlignment="1">
      <alignment horizontal="right" vertical="top" wrapText="1"/>
    </xf>
    <xf numFmtId="3" fontId="18" fillId="25" borderId="0" xfId="0" applyNumberFormat="1" applyFont="1" applyFill="1"/>
    <xf numFmtId="0" fontId="58" fillId="0" borderId="10" xfId="17" applyFont="1" applyBorder="1" applyAlignment="1">
      <alignment vertical="top" wrapText="1" indent="2"/>
    </xf>
    <xf numFmtId="4" fontId="58" fillId="0" borderId="10" xfId="17" applyNumberFormat="1" applyFont="1" applyBorder="1" applyAlignment="1">
      <alignment horizontal="right" vertical="top" wrapText="1"/>
    </xf>
    <xf numFmtId="0" fontId="20" fillId="0" borderId="10" xfId="17" applyFont="1" applyBorder="1" applyAlignment="1">
      <alignment vertical="top" wrapText="1" indent="2"/>
    </xf>
    <xf numFmtId="4" fontId="20" fillId="0" borderId="10" xfId="17" applyNumberFormat="1" applyFont="1" applyBorder="1" applyAlignment="1">
      <alignment horizontal="right" vertical="top" wrapText="1"/>
    </xf>
    <xf numFmtId="4" fontId="57" fillId="0" borderId="10" xfId="17" applyNumberFormat="1" applyFont="1" applyBorder="1" applyAlignment="1">
      <alignment horizontal="right" vertical="top" wrapText="1"/>
    </xf>
    <xf numFmtId="0" fontId="42" fillId="5" borderId="10" xfId="17" applyFont="1" applyFill="1" applyBorder="1" applyAlignment="1">
      <alignment vertical="top" wrapText="1" indent="2"/>
    </xf>
    <xf numFmtId="4" fontId="42" fillId="5" borderId="10" xfId="17" applyNumberFormat="1" applyFont="1" applyFill="1" applyBorder="1" applyAlignment="1">
      <alignment horizontal="right" vertical="top" wrapText="1"/>
    </xf>
    <xf numFmtId="0" fontId="42" fillId="15" borderId="10" xfId="17" applyFont="1" applyFill="1" applyBorder="1" applyAlignment="1">
      <alignment vertical="top" wrapText="1" indent="2"/>
    </xf>
    <xf numFmtId="4" fontId="42" fillId="15" borderId="10" xfId="17" applyNumberFormat="1" applyFont="1" applyFill="1" applyBorder="1" applyAlignment="1">
      <alignment horizontal="right" vertical="top" wrapText="1"/>
    </xf>
    <xf numFmtId="3" fontId="18" fillId="15" borderId="0" xfId="0" applyNumberFormat="1" applyFont="1" applyFill="1"/>
    <xf numFmtId="0" fontId="42" fillId="16" borderId="10" xfId="17" applyFont="1" applyFill="1" applyBorder="1" applyAlignment="1">
      <alignment vertical="top" wrapText="1" indent="2"/>
    </xf>
    <xf numFmtId="4" fontId="42" fillId="16" borderId="10" xfId="17" applyNumberFormat="1" applyFont="1" applyFill="1" applyBorder="1" applyAlignment="1">
      <alignment horizontal="right" vertical="top" wrapText="1"/>
    </xf>
    <xf numFmtId="0" fontId="42" fillId="26" borderId="10" xfId="17" applyFont="1" applyFill="1" applyBorder="1" applyAlignment="1">
      <alignment vertical="top" wrapText="1" indent="2"/>
    </xf>
    <xf numFmtId="4" fontId="42" fillId="26" borderId="10" xfId="17" applyNumberFormat="1" applyFont="1" applyFill="1" applyBorder="1" applyAlignment="1">
      <alignment horizontal="right" vertical="top" wrapText="1"/>
    </xf>
    <xf numFmtId="3" fontId="18" fillId="26" borderId="0" xfId="0" applyNumberFormat="1" applyFont="1" applyFill="1"/>
    <xf numFmtId="4" fontId="18" fillId="9" borderId="0" xfId="0" applyNumberFormat="1" applyFont="1" applyFill="1"/>
    <xf numFmtId="0" fontId="41" fillId="18" borderId="10" xfId="9" applyFont="1" applyFill="1" applyBorder="1" applyAlignment="1">
      <alignment vertical="top" wrapText="1" indent="6"/>
    </xf>
    <xf numFmtId="0" fontId="48" fillId="18" borderId="6" xfId="9" applyFont="1" applyFill="1" applyBorder="1" applyAlignment="1">
      <alignment vertical="top" wrapText="1"/>
    </xf>
    <xf numFmtId="0" fontId="48" fillId="18" borderId="10" xfId="9" applyFont="1" applyFill="1" applyBorder="1" applyAlignment="1">
      <alignment vertical="top"/>
    </xf>
    <xf numFmtId="0" fontId="48" fillId="18" borderId="10" xfId="9" applyFont="1" applyFill="1" applyBorder="1" applyAlignment="1">
      <alignment vertical="top" wrapText="1"/>
    </xf>
    <xf numFmtId="4" fontId="48" fillId="18" borderId="10" xfId="9" applyNumberFormat="1" applyFont="1" applyFill="1" applyBorder="1" applyAlignment="1">
      <alignment horizontal="right" vertical="top" wrapText="1"/>
    </xf>
    <xf numFmtId="0" fontId="48" fillId="18" borderId="10" xfId="9" applyFont="1" applyFill="1" applyBorder="1" applyAlignment="1">
      <alignment horizontal="right" vertical="top" wrapText="1"/>
    </xf>
    <xf numFmtId="0" fontId="48" fillId="18" borderId="10" xfId="9" applyFont="1" applyFill="1" applyBorder="1" applyAlignment="1">
      <alignment vertical="top" indent="2"/>
    </xf>
    <xf numFmtId="0" fontId="48" fillId="18" borderId="10" xfId="9" applyFont="1" applyFill="1" applyBorder="1" applyAlignment="1">
      <alignment vertical="top" wrapText="1" indent="2"/>
    </xf>
    <xf numFmtId="0" fontId="48" fillId="18" borderId="10" xfId="9" applyFont="1" applyFill="1" applyBorder="1" applyAlignment="1">
      <alignment vertical="top" indent="4"/>
    </xf>
    <xf numFmtId="0" fontId="48" fillId="18" borderId="10" xfId="9" applyFont="1" applyFill="1" applyBorder="1" applyAlignment="1">
      <alignment vertical="top" wrapText="1" indent="4"/>
    </xf>
    <xf numFmtId="0" fontId="48" fillId="18" borderId="10" xfId="9" applyFont="1" applyFill="1" applyBorder="1" applyAlignment="1">
      <alignment vertical="top" indent="6"/>
    </xf>
    <xf numFmtId="0" fontId="48" fillId="18" borderId="10" xfId="9" applyFont="1" applyFill="1" applyBorder="1" applyAlignment="1">
      <alignment vertical="top" wrapText="1" indent="6"/>
    </xf>
    <xf numFmtId="0" fontId="49" fillId="0" borderId="10" xfId="9" applyFont="1" applyBorder="1" applyAlignment="1">
      <alignment vertical="top" indent="8"/>
    </xf>
    <xf numFmtId="0" fontId="49" fillId="0" borderId="10" xfId="9" applyFont="1" applyBorder="1" applyAlignment="1">
      <alignment vertical="top"/>
    </xf>
    <xf numFmtId="4" fontId="49" fillId="0" borderId="10" xfId="9" applyNumberFormat="1" applyFont="1" applyBorder="1" applyAlignment="1">
      <alignment horizontal="right" vertical="top" wrapText="1"/>
    </xf>
    <xf numFmtId="0" fontId="49" fillId="0" borderId="10" xfId="9" applyFont="1" applyBorder="1" applyAlignment="1">
      <alignment horizontal="right" vertical="top" wrapText="1"/>
    </xf>
    <xf numFmtId="0" fontId="49" fillId="0" borderId="10" xfId="9" applyFont="1" applyBorder="1" applyAlignment="1">
      <alignment vertical="top" indent="10"/>
    </xf>
    <xf numFmtId="0" fontId="49" fillId="0" borderId="10" xfId="9" applyFont="1" applyBorder="1" applyAlignment="1">
      <alignment vertical="top" indent="6"/>
    </xf>
    <xf numFmtId="0" fontId="51" fillId="18" borderId="6" xfId="9" applyFont="1" applyFill="1" applyBorder="1" applyAlignment="1">
      <alignment vertical="top" wrapText="1"/>
    </xf>
    <xf numFmtId="0" fontId="51" fillId="18" borderId="10" xfId="9" applyFont="1" applyFill="1" applyBorder="1" applyAlignment="1">
      <alignment vertical="top"/>
    </xf>
    <xf numFmtId="0" fontId="51" fillId="18" borderId="10" xfId="9" applyFont="1" applyFill="1" applyBorder="1" applyAlignment="1">
      <alignment vertical="top" wrapText="1"/>
    </xf>
    <xf numFmtId="4" fontId="51" fillId="18" borderId="10" xfId="9" applyNumberFormat="1" applyFont="1" applyFill="1" applyBorder="1" applyAlignment="1">
      <alignment horizontal="right" vertical="top" wrapText="1"/>
    </xf>
    <xf numFmtId="0" fontId="51" fillId="18" borderId="10" xfId="9" applyFont="1" applyFill="1" applyBorder="1" applyAlignment="1">
      <alignment horizontal="right" vertical="top" wrapText="1"/>
    </xf>
    <xf numFmtId="0" fontId="51" fillId="18" borderId="10" xfId="9" applyFont="1" applyFill="1" applyBorder="1" applyAlignment="1">
      <alignment vertical="top" indent="2"/>
    </xf>
    <xf numFmtId="0" fontId="51" fillId="18" borderId="10" xfId="9" applyFont="1" applyFill="1" applyBorder="1" applyAlignment="1">
      <alignment vertical="top" wrapText="1" indent="2"/>
    </xf>
    <xf numFmtId="0" fontId="51" fillId="18" borderId="10" xfId="9" applyFont="1" applyFill="1" applyBorder="1" applyAlignment="1">
      <alignment vertical="top" indent="4"/>
    </xf>
    <xf numFmtId="0" fontId="51" fillId="18" borderId="10" xfId="9" applyFont="1" applyFill="1" applyBorder="1" applyAlignment="1">
      <alignment vertical="top" wrapText="1" indent="4"/>
    </xf>
    <xf numFmtId="0" fontId="14" fillId="0" borderId="10" xfId="9" applyBorder="1" applyAlignment="1">
      <alignment vertical="top" indent="6"/>
    </xf>
    <xf numFmtId="0" fontId="14" fillId="0" borderId="10" xfId="9" applyBorder="1" applyAlignment="1">
      <alignment vertical="top"/>
    </xf>
    <xf numFmtId="4" fontId="14" fillId="0" borderId="10" xfId="9" applyNumberFormat="1" applyBorder="1" applyAlignment="1">
      <alignment horizontal="right" vertical="top" wrapText="1"/>
    </xf>
    <xf numFmtId="0" fontId="14" fillId="0" borderId="10" xfId="9" applyBorder="1" applyAlignment="1">
      <alignment horizontal="right" vertical="top" wrapText="1"/>
    </xf>
    <xf numFmtId="0" fontId="14" fillId="0" borderId="10" xfId="9" applyBorder="1" applyAlignment="1">
      <alignment vertical="top" indent="8"/>
    </xf>
    <xf numFmtId="0" fontId="14" fillId="0" borderId="10" xfId="9" applyBorder="1" applyAlignment="1">
      <alignment vertical="top" indent="10"/>
    </xf>
    <xf numFmtId="0" fontId="60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164" fontId="61" fillId="0" borderId="1" xfId="1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 wrapText="1"/>
    </xf>
    <xf numFmtId="164" fontId="60" fillId="0" borderId="0" xfId="1" applyNumberFormat="1" applyFont="1" applyFill="1" applyAlignment="1">
      <alignment horizontal="right" vertical="center" wrapText="1"/>
    </xf>
    <xf numFmtId="0" fontId="60" fillId="0" borderId="0" xfId="0" applyFont="1" applyAlignment="1">
      <alignment vertical="center" wrapText="1"/>
    </xf>
    <xf numFmtId="170" fontId="60" fillId="0" borderId="0" xfId="18" quotePrefix="1" applyNumberFormat="1" applyFont="1" applyFill="1" applyBorder="1" applyProtection="1">
      <protection locked="0"/>
    </xf>
    <xf numFmtId="164" fontId="60" fillId="0" borderId="0" xfId="1" applyNumberFormat="1" applyFont="1" applyFill="1" applyBorder="1" applyAlignment="1">
      <alignment horizontal="right" vertical="center" wrapText="1"/>
    </xf>
    <xf numFmtId="170" fontId="60" fillId="0" borderId="1" xfId="18" quotePrefix="1" applyNumberFormat="1" applyFont="1" applyFill="1" applyBorder="1" applyProtection="1">
      <protection locked="0"/>
    </xf>
    <xf numFmtId="170" fontId="61" fillId="0" borderId="0" xfId="18" quotePrefix="1" applyNumberFormat="1" applyFont="1" applyFill="1" applyBorder="1" applyProtection="1">
      <protection locked="0"/>
    </xf>
    <xf numFmtId="170" fontId="60" fillId="0" borderId="0" xfId="18" quotePrefix="1" applyNumberFormat="1" applyFont="1" applyFill="1" applyBorder="1" applyAlignment="1" applyProtection="1">
      <alignment horizontal="right"/>
      <protection locked="0"/>
    </xf>
    <xf numFmtId="170" fontId="60" fillId="0" borderId="1" xfId="18" quotePrefix="1" applyNumberFormat="1" applyFont="1" applyFill="1" applyBorder="1" applyAlignment="1" applyProtection="1">
      <alignment horizontal="right"/>
      <protection locked="0"/>
    </xf>
    <xf numFmtId="170" fontId="61" fillId="0" borderId="4" xfId="18" quotePrefix="1" applyNumberFormat="1" applyFont="1" applyFill="1" applyBorder="1" applyProtection="1">
      <protection locked="0"/>
    </xf>
    <xf numFmtId="37" fontId="60" fillId="0" borderId="0" xfId="0" applyNumberFormat="1" applyFont="1" applyAlignment="1">
      <alignment vertical="center" wrapText="1"/>
    </xf>
    <xf numFmtId="164" fontId="60" fillId="0" borderId="1" xfId="1" applyNumberFormat="1" applyFont="1" applyFill="1" applyBorder="1" applyAlignment="1">
      <alignment horizontal="right" vertical="center" wrapText="1"/>
    </xf>
    <xf numFmtId="164" fontId="61" fillId="0" borderId="4" xfId="1" applyNumberFormat="1" applyFont="1" applyFill="1" applyBorder="1" applyAlignment="1">
      <alignment horizontal="right" vertical="center" wrapText="1"/>
    </xf>
    <xf numFmtId="164" fontId="60" fillId="0" borderId="0" xfId="0" applyNumberFormat="1" applyFont="1" applyAlignment="1">
      <alignment horizontal="center" vertical="center" wrapText="1"/>
    </xf>
    <xf numFmtId="164" fontId="61" fillId="0" borderId="3" xfId="1" applyNumberFormat="1" applyFont="1" applyFill="1" applyBorder="1" applyAlignment="1">
      <alignment horizontal="right" vertical="center" wrapText="1"/>
    </xf>
    <xf numFmtId="164" fontId="61" fillId="0" borderId="0" xfId="1" applyNumberFormat="1" applyFont="1" applyFill="1" applyBorder="1" applyAlignment="1">
      <alignment horizontal="right" vertical="center" wrapText="1"/>
    </xf>
    <xf numFmtId="0" fontId="62" fillId="0" borderId="0" xfId="0" applyFont="1"/>
    <xf numFmtId="0" fontId="62" fillId="0" borderId="0" xfId="0" applyFont="1" applyAlignment="1">
      <alignment horizontal="right" wrapText="1"/>
    </xf>
    <xf numFmtId="0" fontId="62" fillId="0" borderId="0" xfId="0" applyFont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right" vertical="center" wrapText="1"/>
    </xf>
    <xf numFmtId="0" fontId="63" fillId="0" borderId="0" xfId="0" applyFont="1" applyAlignment="1">
      <alignment vertical="center" wrapText="1"/>
    </xf>
    <xf numFmtId="0" fontId="62" fillId="0" borderId="0" xfId="0" applyFont="1" applyAlignment="1">
      <alignment vertical="center" wrapText="1"/>
    </xf>
    <xf numFmtId="164" fontId="62" fillId="0" borderId="0" xfId="1" applyNumberFormat="1" applyFont="1" applyFill="1" applyAlignment="1">
      <alignment horizontal="right" vertical="center" wrapText="1"/>
    </xf>
    <xf numFmtId="164" fontId="63" fillId="0" borderId="3" xfId="1" applyNumberFormat="1" applyFont="1" applyFill="1" applyBorder="1" applyAlignment="1">
      <alignment vertical="center" wrapText="1"/>
    </xf>
    <xf numFmtId="164" fontId="63" fillId="0" borderId="0" xfId="1" applyNumberFormat="1" applyFont="1" applyFill="1" applyBorder="1" applyAlignment="1">
      <alignment horizontal="right" vertical="center" wrapText="1"/>
    </xf>
    <xf numFmtId="164" fontId="62" fillId="0" borderId="4" xfId="1" applyNumberFormat="1" applyFont="1" applyFill="1" applyBorder="1" applyAlignment="1">
      <alignment vertical="center" wrapText="1"/>
    </xf>
    <xf numFmtId="164" fontId="62" fillId="0" borderId="0" xfId="1" applyNumberFormat="1" applyFont="1" applyFill="1" applyBorder="1" applyAlignment="1">
      <alignment horizontal="right" vertical="center" wrapText="1"/>
    </xf>
    <xf numFmtId="164" fontId="62" fillId="0" borderId="0" xfId="0" applyNumberFormat="1" applyFont="1"/>
    <xf numFmtId="166" fontId="62" fillId="0" borderId="1" xfId="0" applyNumberFormat="1" applyFont="1" applyBorder="1" applyAlignment="1">
      <alignment wrapText="1"/>
    </xf>
    <xf numFmtId="0" fontId="62" fillId="0" borderId="0" xfId="0" applyFont="1" applyAlignment="1">
      <alignment horizontal="right" vertical="center" wrapText="1"/>
    </xf>
    <xf numFmtId="164" fontId="63" fillId="0" borderId="5" xfId="0" applyNumberFormat="1" applyFont="1" applyBorder="1" applyAlignment="1">
      <alignment vertical="center" wrapText="1"/>
    </xf>
    <xf numFmtId="164" fontId="63" fillId="0" borderId="0" xfId="0" applyNumberFormat="1" applyFont="1" applyAlignment="1">
      <alignment horizontal="right" vertical="center" wrapText="1"/>
    </xf>
    <xf numFmtId="164" fontId="62" fillId="0" borderId="0" xfId="0" applyNumberFormat="1" applyFont="1" applyAlignment="1">
      <alignment vertical="center" wrapText="1"/>
    </xf>
    <xf numFmtId="0" fontId="62" fillId="0" borderId="0" xfId="0" applyFont="1" applyAlignment="1">
      <alignment horizontal="center"/>
    </xf>
    <xf numFmtId="166" fontId="62" fillId="0" borderId="0" xfId="0" applyNumberFormat="1" applyFont="1"/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right" wrapText="1"/>
    </xf>
    <xf numFmtId="165" fontId="44" fillId="0" borderId="0" xfId="0" applyNumberFormat="1" applyFont="1" applyAlignment="1">
      <alignment horizontal="center" vertical="center" wrapText="1"/>
    </xf>
    <xf numFmtId="3" fontId="45" fillId="0" borderId="0" xfId="0" applyNumberFormat="1" applyFont="1" applyAlignment="1">
      <alignment horizontal="right" vertical="center" wrapText="1"/>
    </xf>
    <xf numFmtId="166" fontId="45" fillId="0" borderId="1" xfId="0" applyNumberFormat="1" applyFont="1" applyBorder="1" applyAlignment="1">
      <alignment wrapText="1"/>
    </xf>
    <xf numFmtId="3" fontId="45" fillId="0" borderId="1" xfId="0" applyNumberFormat="1" applyFont="1" applyBorder="1" applyAlignment="1">
      <alignment horizontal="right" vertical="center" wrapText="1"/>
    </xf>
    <xf numFmtId="165" fontId="45" fillId="0" borderId="1" xfId="0" applyNumberFormat="1" applyFont="1" applyBorder="1" applyAlignment="1">
      <alignment horizontal="center" vertical="top" wrapText="1"/>
    </xf>
    <xf numFmtId="0" fontId="45" fillId="0" borderId="0" xfId="0" applyFont="1" applyAlignment="1">
      <alignment horizontal="right" vertical="center" wrapText="1"/>
    </xf>
    <xf numFmtId="166" fontId="45" fillId="0" borderId="1" xfId="0" applyNumberFormat="1" applyFont="1" applyBorder="1" applyAlignment="1">
      <alignment horizontal="center" wrapText="1"/>
    </xf>
    <xf numFmtId="0" fontId="45" fillId="0" borderId="0" xfId="0" applyFont="1" applyAlignment="1">
      <alignment horizontal="justify" vertical="center"/>
    </xf>
    <xf numFmtId="166" fontId="45" fillId="0" borderId="0" xfId="0" applyNumberFormat="1" applyFont="1"/>
    <xf numFmtId="3" fontId="45" fillId="0" borderId="0" xfId="0" applyNumberFormat="1" applyFont="1"/>
    <xf numFmtId="166" fontId="45" fillId="0" borderId="0" xfId="0" applyNumberFormat="1" applyFont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0" fillId="0" borderId="0" xfId="17" applyFont="1" applyAlignment="1">
      <alignment horizontal="left" wrapText="1"/>
    </xf>
    <xf numFmtId="0" fontId="42" fillId="0" borderId="11" xfId="9" applyFont="1" applyBorder="1" applyAlignment="1">
      <alignment vertical="top" wrapText="1" indent="6"/>
    </xf>
    <xf numFmtId="0" fontId="42" fillId="0" borderId="12" xfId="9" applyFont="1" applyBorder="1" applyAlignment="1">
      <alignment vertical="top" wrapText="1" indent="6"/>
    </xf>
    <xf numFmtId="0" fontId="42" fillId="0" borderId="11" xfId="9" applyFont="1" applyBorder="1" applyAlignment="1">
      <alignment vertical="top" wrapText="1" indent="4"/>
    </xf>
    <xf numFmtId="0" fontId="42" fillId="0" borderId="12" xfId="9" applyFont="1" applyBorder="1" applyAlignment="1">
      <alignment vertical="top" wrapText="1" indent="4"/>
    </xf>
    <xf numFmtId="0" fontId="41" fillId="18" borderId="7" xfId="9" applyFont="1" applyFill="1" applyBorder="1" applyAlignment="1">
      <alignment vertical="top" wrapText="1"/>
    </xf>
    <xf numFmtId="0" fontId="41" fillId="18" borderId="8" xfId="9" applyFont="1" applyFill="1" applyBorder="1" applyAlignment="1">
      <alignment vertical="top" wrapText="1"/>
    </xf>
    <xf numFmtId="0" fontId="41" fillId="18" borderId="6" xfId="9" applyFont="1" applyFill="1" applyBorder="1" applyAlignment="1">
      <alignment vertical="top" wrapText="1"/>
    </xf>
    <xf numFmtId="0" fontId="41" fillId="18" borderId="7" xfId="4" applyFont="1" applyFill="1" applyBorder="1" applyAlignment="1">
      <alignment vertical="top"/>
    </xf>
    <xf numFmtId="0" fontId="41" fillId="18" borderId="15" xfId="4" applyFont="1" applyFill="1" applyBorder="1" applyAlignment="1">
      <alignment vertical="top"/>
    </xf>
    <xf numFmtId="0" fontId="41" fillId="18" borderId="19" xfId="4" applyFont="1" applyFill="1" applyBorder="1" applyAlignment="1">
      <alignment vertical="top"/>
    </xf>
    <xf numFmtId="0" fontId="41" fillId="18" borderId="17" xfId="4" applyFont="1" applyFill="1" applyBorder="1" applyAlignment="1">
      <alignment vertical="top"/>
    </xf>
    <xf numFmtId="0" fontId="41" fillId="18" borderId="18" xfId="4" applyFont="1" applyFill="1" applyBorder="1" applyAlignment="1">
      <alignment vertical="top"/>
    </xf>
    <xf numFmtId="0" fontId="41" fillId="18" borderId="13" xfId="4" applyFont="1" applyFill="1" applyBorder="1" applyAlignment="1">
      <alignment vertical="top"/>
    </xf>
    <xf numFmtId="0" fontId="41" fillId="18" borderId="8" xfId="4" applyFont="1" applyFill="1" applyBorder="1" applyAlignment="1">
      <alignment vertical="top"/>
    </xf>
    <xf numFmtId="0" fontId="41" fillId="18" borderId="14" xfId="4" applyFont="1" applyFill="1" applyBorder="1" applyAlignment="1">
      <alignment vertical="top"/>
    </xf>
    <xf numFmtId="0" fontId="41" fillId="18" borderId="16" xfId="4" applyFont="1" applyFill="1" applyBorder="1" applyAlignment="1">
      <alignment vertical="top"/>
    </xf>
    <xf numFmtId="0" fontId="41" fillId="18" borderId="7" xfId="4" applyFont="1" applyFill="1" applyBorder="1" applyAlignment="1">
      <alignment horizontal="center" vertical="top"/>
    </xf>
    <xf numFmtId="0" fontId="41" fillId="18" borderId="6" xfId="4" applyFont="1" applyFill="1" applyBorder="1" applyAlignment="1">
      <alignment horizontal="center" vertical="top"/>
    </xf>
    <xf numFmtId="2" fontId="42" fillId="0" borderId="10" xfId="4" applyNumberFormat="1" applyFont="1" applyBorder="1" applyAlignment="1">
      <alignment horizontal="right" vertical="top" wrapText="1"/>
    </xf>
    <xf numFmtId="0" fontId="42" fillId="0" borderId="21" xfId="4" applyFont="1" applyBorder="1" applyAlignment="1">
      <alignment horizontal="right" vertical="top" wrapText="1"/>
    </xf>
    <xf numFmtId="4" fontId="42" fillId="0" borderId="10" xfId="4" applyNumberFormat="1" applyFont="1" applyBorder="1" applyAlignment="1">
      <alignment horizontal="right" vertical="top" wrapText="1"/>
    </xf>
    <xf numFmtId="0" fontId="41" fillId="18" borderId="10" xfId="4" applyFont="1" applyFill="1" applyBorder="1" applyAlignment="1">
      <alignment vertical="top"/>
    </xf>
    <xf numFmtId="4" fontId="41" fillId="18" borderId="10" xfId="4" applyNumberFormat="1" applyFont="1" applyFill="1" applyBorder="1" applyAlignment="1">
      <alignment horizontal="right" vertical="top" wrapText="1"/>
    </xf>
    <xf numFmtId="2" fontId="41" fillId="18" borderId="10" xfId="4" applyNumberFormat="1" applyFont="1" applyFill="1" applyBorder="1" applyAlignment="1">
      <alignment horizontal="right" vertical="top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0" fontId="16" fillId="3" borderId="7" xfId="4" applyFont="1" applyFill="1" applyBorder="1" applyAlignment="1">
      <alignment horizontal="center" vertical="center"/>
    </xf>
    <xf numFmtId="0" fontId="16" fillId="3" borderId="8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6" fillId="3" borderId="16" xfId="4" applyFont="1" applyFill="1" applyBorder="1" applyAlignment="1">
      <alignment horizontal="center" vertical="center"/>
    </xf>
    <xf numFmtId="0" fontId="16" fillId="3" borderId="6" xfId="4" applyFont="1" applyFill="1" applyBorder="1" applyAlignment="1">
      <alignment horizontal="center" vertical="center"/>
    </xf>
    <xf numFmtId="4" fontId="14" fillId="0" borderId="6" xfId="4" applyNumberFormat="1" applyBorder="1" applyAlignment="1">
      <alignment horizontal="right" vertical="top" wrapText="1"/>
    </xf>
    <xf numFmtId="0" fontId="14" fillId="0" borderId="17" xfId="4" applyBorder="1" applyAlignment="1">
      <alignment horizontal="right" vertical="top" wrapText="1"/>
    </xf>
    <xf numFmtId="0" fontId="16" fillId="3" borderId="19" xfId="4" applyFont="1" applyFill="1" applyBorder="1" applyAlignment="1">
      <alignment horizontal="center" vertical="center"/>
    </xf>
    <xf numFmtId="0" fontId="16" fillId="3" borderId="17" xfId="4" applyFont="1" applyFill="1" applyBorder="1" applyAlignment="1">
      <alignment horizontal="center" vertical="center"/>
    </xf>
    <xf numFmtId="0" fontId="16" fillId="3" borderId="18" xfId="4" applyFont="1" applyFill="1" applyBorder="1" applyAlignment="1">
      <alignment horizontal="center" vertical="center"/>
    </xf>
    <xf numFmtId="2" fontId="14" fillId="0" borderId="6" xfId="4" applyNumberFormat="1" applyBorder="1" applyAlignment="1">
      <alignment horizontal="right" vertical="top" wrapText="1"/>
    </xf>
    <xf numFmtId="0" fontId="14" fillId="4" borderId="6" xfId="4" applyFill="1" applyBorder="1" applyAlignment="1">
      <alignment vertical="top"/>
    </xf>
    <xf numFmtId="4" fontId="14" fillId="4" borderId="6" xfId="4" applyNumberFormat="1" applyFill="1" applyBorder="1" applyAlignment="1">
      <alignment horizontal="right" vertical="top" wrapText="1"/>
    </xf>
    <xf numFmtId="2" fontId="14" fillId="4" borderId="6" xfId="4" applyNumberFormat="1" applyFill="1" applyBorder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4" fillId="0" borderId="7" xfId="11" applyBorder="1" applyAlignment="1">
      <alignment vertical="top" wrapText="1" indent="6"/>
    </xf>
    <xf numFmtId="0" fontId="14" fillId="0" borderId="8" xfId="11" applyBorder="1" applyAlignment="1">
      <alignment vertical="top" wrapText="1" indent="6"/>
    </xf>
    <xf numFmtId="0" fontId="14" fillId="0" borderId="7" xfId="11" applyBorder="1" applyAlignment="1">
      <alignment vertical="top" wrapText="1" indent="4"/>
    </xf>
    <xf numFmtId="0" fontId="14" fillId="0" borderId="8" xfId="11" applyBorder="1" applyAlignment="1">
      <alignment vertical="top" wrapText="1" indent="4"/>
    </xf>
    <xf numFmtId="0" fontId="16" fillId="3" borderId="7" xfId="11" applyFont="1" applyFill="1" applyBorder="1" applyAlignment="1">
      <alignment horizontal="center" vertical="center" wrapText="1"/>
    </xf>
    <xf numFmtId="0" fontId="16" fillId="3" borderId="8" xfId="11" applyFont="1" applyFill="1" applyBorder="1" applyAlignment="1">
      <alignment horizontal="center" vertical="center" wrapText="1"/>
    </xf>
    <xf numFmtId="0" fontId="16" fillId="3" borderId="6" xfId="1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166" fontId="10" fillId="0" borderId="0" xfId="8" applyFont="1" applyFill="1" applyBorder="1" applyAlignment="1">
      <alignment horizontal="center"/>
    </xf>
    <xf numFmtId="166" fontId="10" fillId="0" borderId="1" xfId="8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6" fillId="3" borderId="7" xfId="6" applyFont="1" applyFill="1" applyBorder="1" applyAlignment="1">
      <alignment vertical="center" wrapText="1"/>
    </xf>
    <xf numFmtId="0" fontId="16" fillId="3" borderId="8" xfId="6" applyFont="1" applyFill="1" applyBorder="1" applyAlignment="1">
      <alignment vertical="center" wrapText="1"/>
    </xf>
    <xf numFmtId="0" fontId="16" fillId="3" borderId="6" xfId="6" applyFont="1" applyFill="1" applyBorder="1" applyAlignment="1">
      <alignment horizontal="center" vertical="center" wrapText="1"/>
    </xf>
    <xf numFmtId="0" fontId="29" fillId="3" borderId="7" xfId="9" applyFont="1" applyFill="1" applyBorder="1" applyAlignment="1">
      <alignment horizontal="center" vertical="center" wrapText="1"/>
    </xf>
    <xf numFmtId="0" fontId="29" fillId="3" borderId="9" xfId="9" applyFont="1" applyFill="1" applyBorder="1" applyAlignment="1">
      <alignment horizontal="center" vertical="center" wrapText="1"/>
    </xf>
    <xf numFmtId="0" fontId="29" fillId="3" borderId="8" xfId="9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3" borderId="7" xfId="9" applyFont="1" applyFill="1" applyBorder="1" applyAlignment="1">
      <alignment horizontal="center" vertical="center" wrapText="1"/>
    </xf>
    <xf numFmtId="0" fontId="16" fillId="3" borderId="9" xfId="9" applyFont="1" applyFill="1" applyBorder="1" applyAlignment="1">
      <alignment horizontal="center" vertical="center" wrapText="1"/>
    </xf>
    <xf numFmtId="0" fontId="16" fillId="3" borderId="8" xfId="9" applyFont="1" applyFill="1" applyBorder="1" applyAlignment="1">
      <alignment horizontal="center" vertical="center" wrapText="1"/>
    </xf>
    <xf numFmtId="0" fontId="16" fillId="3" borderId="7" xfId="4" applyFont="1" applyFill="1" applyBorder="1" applyAlignment="1">
      <alignment horizontal="center" vertical="center" wrapText="1"/>
    </xf>
    <xf numFmtId="0" fontId="16" fillId="3" borderId="8" xfId="4" applyFont="1" applyFill="1" applyBorder="1" applyAlignment="1">
      <alignment horizontal="center" vertical="center" wrapText="1"/>
    </xf>
    <xf numFmtId="0" fontId="41" fillId="18" borderId="7" xfId="4" applyFont="1" applyFill="1" applyBorder="1" applyAlignment="1">
      <alignment vertical="top" wrapText="1"/>
    </xf>
    <xf numFmtId="0" fontId="41" fillId="18" borderId="9" xfId="4" applyFont="1" applyFill="1" applyBorder="1" applyAlignment="1">
      <alignment vertical="top" wrapText="1"/>
    </xf>
    <xf numFmtId="0" fontId="41" fillId="18" borderId="8" xfId="4" applyFont="1" applyFill="1" applyBorder="1" applyAlignment="1">
      <alignment vertical="top" wrapText="1"/>
    </xf>
  </cellXfs>
  <cellStyles count="19">
    <cellStyle name="Comma [0]_Книга1" xfId="18" xr:uid="{2463B7AB-A66C-46D8-9C6A-816D4C9614C5}"/>
    <cellStyle name="Debit" xfId="8" xr:uid="{E4B01F94-DFC4-4297-A8B1-DD1811FF657D}"/>
    <cellStyle name="Обычный" xfId="0" builtinId="0"/>
    <cellStyle name="Обычный 2" xfId="13" xr:uid="{FADCCF81-8D5C-4E4D-AEF4-38EB2EB97380}"/>
    <cellStyle name="Обычный_5610 1 кв 2022_2021" xfId="15" xr:uid="{CD7956C8-E019-4F92-A97B-1B3DD98F7CD6}"/>
    <cellStyle name="Обычный_Анализ 5710 2 кв" xfId="17" xr:uid="{4F2B9676-22ED-46B0-B4A0-13041E19975F}"/>
    <cellStyle name="Обычный_Лист1" xfId="4" xr:uid="{05558D7C-0C91-426E-A3C7-4A6C4787BCB0}"/>
    <cellStyle name="Обычный_Лист10" xfId="6" xr:uid="{4B311A56-7F77-4A58-97C5-E104E3FA609B}"/>
    <cellStyle name="Обычный_Лист2" xfId="9" xr:uid="{FF910487-24BC-4DA9-A368-A460D06EB887}"/>
    <cellStyle name="Обычный_Лист5" xfId="11" xr:uid="{5298ECCE-52FC-484E-B1E3-51925DD0AADC}"/>
    <cellStyle name="Обычный_Лист8" xfId="2" xr:uid="{69776F60-3509-4137-9533-F256CB5FE827}"/>
    <cellStyle name="Обычный_Опер расходы" xfId="5" xr:uid="{3C31678E-739D-4396-A33E-FF2341BDA914}"/>
    <cellStyle name="Обычный_Операционные расходы" xfId="16" xr:uid="{7285CDA7-BCF3-4627-80D0-EB0FA639D02C}"/>
    <cellStyle name="Обычный_ОСВ 2 кв 2021" xfId="12" xr:uid="{06E9F92F-7FF5-4AF8-A102-1C7005A62D71}"/>
    <cellStyle name="Обычный_расчет к ОПиУ" xfId="3" xr:uid="{734BA0AC-069A-4AF6-B9DF-7274E1A35BCB}"/>
    <cellStyle name="Обычный_Связаные стороны" xfId="7" xr:uid="{2D053187-3AA7-46E5-B59D-43098BC003FC}"/>
    <cellStyle name="Процентный" xfId="10" builtinId="5"/>
    <cellStyle name="Финансовый" xfId="1" builtinId="3"/>
    <cellStyle name="Финансовый 2" xfId="14" xr:uid="{C34E629F-DBD5-4F2B-8E86-EABC67B7A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KASE/2022/&#1051;&#1080;&#1089;&#1090;&#1080;&#1085;&#1075;/3%20&#1082;&#1074;%202022/CF_3009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f -22"/>
      <sheetName val="CF-21"/>
      <sheetName val="CF-21 2Q"/>
      <sheetName val="CF-21 1Q"/>
      <sheetName val="Баланс 30092022"/>
      <sheetName val="Баланс 01072022"/>
      <sheetName val="Баланс 30092021"/>
      <sheetName val="Баланс 30062021"/>
      <sheetName val="Баланс 31032021"/>
      <sheetName val="1 кв 2021"/>
      <sheetName val="К сч"/>
    </sheetNames>
    <sheetDataSet>
      <sheetData sheetId="0" refreshError="1"/>
      <sheetData sheetId="1">
        <row r="40">
          <cell r="B40" t="str">
            <v>Поступления от продажи инвестиций</v>
          </cell>
        </row>
        <row r="41">
          <cell r="B41" t="str">
            <v>Предоставление займов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7605-4B57-442B-9152-9A5ED1E56E17}">
  <dimension ref="A1:D38"/>
  <sheetViews>
    <sheetView tabSelected="1" view="pageBreakPreview" zoomScaleNormal="100" zoomScaleSheetLayoutView="100" workbookViewId="0">
      <selection activeCell="A23" sqref="A23"/>
    </sheetView>
  </sheetViews>
  <sheetFormatPr defaultRowHeight="15" x14ac:dyDescent="0.25"/>
  <cols>
    <col min="1" max="1" width="68.42578125" style="346" customWidth="1"/>
    <col min="2" max="2" width="9.140625" style="683"/>
    <col min="3" max="3" width="22.7109375" style="346" customWidth="1"/>
    <col min="4" max="4" width="24" style="346" customWidth="1"/>
    <col min="5" max="16384" width="9.140625" style="346"/>
  </cols>
  <sheetData>
    <row r="1" spans="1:4" x14ac:dyDescent="0.25">
      <c r="A1" s="696" t="s">
        <v>20</v>
      </c>
      <c r="B1" s="696"/>
      <c r="C1" s="696"/>
      <c r="D1" s="696"/>
    </row>
    <row r="2" spans="1:4" x14ac:dyDescent="0.25">
      <c r="A2" s="696" t="s">
        <v>777</v>
      </c>
      <c r="B2" s="696"/>
      <c r="C2" s="696"/>
      <c r="D2" s="696"/>
    </row>
    <row r="3" spans="1:4" x14ac:dyDescent="0.25">
      <c r="A3" s="696" t="s">
        <v>799</v>
      </c>
      <c r="B3" s="696"/>
      <c r="C3" s="696"/>
      <c r="D3" s="696"/>
    </row>
    <row r="4" spans="1:4" x14ac:dyDescent="0.25">
      <c r="A4" s="641"/>
      <c r="B4" s="641"/>
      <c r="C4" s="641"/>
      <c r="D4" s="641"/>
    </row>
    <row r="5" spans="1:4" ht="60" x14ac:dyDescent="0.25">
      <c r="A5" s="684" t="s">
        <v>336</v>
      </c>
      <c r="B5" s="362" t="s">
        <v>1</v>
      </c>
      <c r="C5" s="685" t="s">
        <v>826</v>
      </c>
      <c r="D5" s="685" t="s">
        <v>827</v>
      </c>
    </row>
    <row r="6" spans="1:4" x14ac:dyDescent="0.25">
      <c r="A6" s="351" t="s">
        <v>2</v>
      </c>
      <c r="B6" s="362">
        <v>3</v>
      </c>
      <c r="C6" s="686">
        <v>272262</v>
      </c>
      <c r="D6" s="686">
        <v>93182</v>
      </c>
    </row>
    <row r="7" spans="1:4" ht="15.75" thickBot="1" x14ac:dyDescent="0.3">
      <c r="A7" s="351" t="s">
        <v>3</v>
      </c>
      <c r="B7" s="362">
        <v>4</v>
      </c>
      <c r="C7" s="687">
        <v>-351</v>
      </c>
      <c r="D7" s="687">
        <v>-188</v>
      </c>
    </row>
    <row r="8" spans="1:4" x14ac:dyDescent="0.25">
      <c r="A8" s="347" t="s">
        <v>4</v>
      </c>
      <c r="B8" s="362" t="s">
        <v>5</v>
      </c>
      <c r="C8" s="349">
        <v>271911</v>
      </c>
      <c r="D8" s="349">
        <v>92994</v>
      </c>
    </row>
    <row r="9" spans="1:4" x14ac:dyDescent="0.25">
      <c r="A9" s="351" t="s">
        <v>6</v>
      </c>
      <c r="B9" s="362">
        <v>5</v>
      </c>
      <c r="C9" s="686">
        <v>172629</v>
      </c>
      <c r="D9" s="686">
        <v>1381</v>
      </c>
    </row>
    <row r="10" spans="1:4" x14ac:dyDescent="0.25">
      <c r="A10" s="351" t="s">
        <v>7</v>
      </c>
      <c r="B10" s="362">
        <v>6</v>
      </c>
      <c r="C10" s="354">
        <v>-373508</v>
      </c>
      <c r="D10" s="354">
        <v>-386780</v>
      </c>
    </row>
    <row r="11" spans="1:4" ht="15.75" thickBot="1" x14ac:dyDescent="0.3">
      <c r="A11" s="351" t="s">
        <v>8</v>
      </c>
      <c r="B11" s="362">
        <v>7</v>
      </c>
      <c r="C11" s="688">
        <v>1802</v>
      </c>
      <c r="D11" s="687">
        <v>7307</v>
      </c>
    </row>
    <row r="12" spans="1:4" x14ac:dyDescent="0.25">
      <c r="A12" s="347" t="s">
        <v>9</v>
      </c>
      <c r="B12" s="362" t="s">
        <v>5</v>
      </c>
      <c r="C12" s="349">
        <v>72834</v>
      </c>
      <c r="D12" s="349">
        <v>-285098</v>
      </c>
    </row>
    <row r="13" spans="1:4" x14ac:dyDescent="0.25">
      <c r="A13" s="351" t="s">
        <v>10</v>
      </c>
      <c r="B13" s="362" t="s">
        <v>5</v>
      </c>
      <c r="C13" s="354">
        <v>-3153</v>
      </c>
      <c r="D13" s="354">
        <v>-532</v>
      </c>
    </row>
    <row r="14" spans="1:4" x14ac:dyDescent="0.25">
      <c r="A14" s="347" t="s">
        <v>11</v>
      </c>
      <c r="B14" s="362" t="s">
        <v>5</v>
      </c>
      <c r="C14" s="349">
        <v>69681</v>
      </c>
      <c r="D14" s="349">
        <v>-285630</v>
      </c>
    </row>
    <row r="15" spans="1:4" ht="15.75" thickBot="1" x14ac:dyDescent="0.3">
      <c r="A15" s="351" t="s">
        <v>19</v>
      </c>
      <c r="B15" s="362"/>
      <c r="C15" s="689">
        <v>0</v>
      </c>
      <c r="D15" s="689">
        <v>0</v>
      </c>
    </row>
    <row r="16" spans="1:4" x14ac:dyDescent="0.25">
      <c r="A16" s="347" t="s">
        <v>13</v>
      </c>
      <c r="B16" s="362" t="s">
        <v>5</v>
      </c>
      <c r="C16" s="349">
        <v>69681</v>
      </c>
      <c r="D16" s="349">
        <v>-285630</v>
      </c>
    </row>
    <row r="17" spans="1:4" ht="15.75" thickBot="1" x14ac:dyDescent="0.3">
      <c r="A17" s="351" t="s">
        <v>14</v>
      </c>
      <c r="B17" s="362" t="s">
        <v>5</v>
      </c>
      <c r="C17" s="689">
        <v>0</v>
      </c>
      <c r="D17" s="689">
        <v>0</v>
      </c>
    </row>
    <row r="18" spans="1:4" ht="15.75" thickBot="1" x14ac:dyDescent="0.3">
      <c r="A18" s="347" t="s">
        <v>15</v>
      </c>
      <c r="B18" s="362" t="s">
        <v>5</v>
      </c>
      <c r="C18" s="358">
        <v>69681</v>
      </c>
      <c r="D18" s="358">
        <v>-285630</v>
      </c>
    </row>
    <row r="19" spans="1:4" ht="15.75" thickTop="1" x14ac:dyDescent="0.25">
      <c r="A19" s="351"/>
      <c r="B19" s="362" t="s">
        <v>5</v>
      </c>
      <c r="C19" s="690"/>
      <c r="D19" s="690"/>
    </row>
    <row r="20" spans="1:4" ht="15.75" thickBot="1" x14ac:dyDescent="0.3">
      <c r="A20" s="351" t="s">
        <v>16</v>
      </c>
      <c r="B20" s="362" t="s">
        <v>829</v>
      </c>
      <c r="C20" s="691">
        <v>35</v>
      </c>
      <c r="D20" s="691">
        <v>-152</v>
      </c>
    </row>
    <row r="21" spans="1:4" x14ac:dyDescent="0.25">
      <c r="A21" s="351"/>
      <c r="B21" s="362"/>
      <c r="C21" s="695"/>
      <c r="D21" s="695"/>
    </row>
    <row r="22" spans="1:4" x14ac:dyDescent="0.25">
      <c r="A22" s="351"/>
      <c r="B22" s="362"/>
      <c r="C22" s="695"/>
      <c r="D22" s="695"/>
    </row>
    <row r="23" spans="1:4" x14ac:dyDescent="0.25">
      <c r="A23" s="351"/>
      <c r="B23" s="362"/>
      <c r="C23" s="695"/>
      <c r="D23" s="695"/>
    </row>
    <row r="24" spans="1:4" x14ac:dyDescent="0.25">
      <c r="A24" s="351"/>
      <c r="B24" s="362"/>
      <c r="C24" s="695"/>
      <c r="D24" s="695"/>
    </row>
    <row r="25" spans="1:4" x14ac:dyDescent="0.25">
      <c r="A25" s="351"/>
      <c r="B25" s="362"/>
      <c r="C25" s="695"/>
      <c r="D25" s="695"/>
    </row>
    <row r="26" spans="1:4" x14ac:dyDescent="0.25">
      <c r="A26" s="351"/>
      <c r="B26" s="362"/>
      <c r="C26" s="695"/>
      <c r="D26" s="695"/>
    </row>
    <row r="27" spans="1:4" x14ac:dyDescent="0.25">
      <c r="A27" s="351"/>
      <c r="B27" s="362"/>
      <c r="C27" s="695"/>
      <c r="D27" s="695"/>
    </row>
    <row r="28" spans="1:4" x14ac:dyDescent="0.25">
      <c r="A28" s="692"/>
    </row>
    <row r="30" spans="1:4" x14ac:dyDescent="0.25">
      <c r="C30" s="693"/>
      <c r="D30" s="694"/>
    </row>
    <row r="31" spans="1:4" x14ac:dyDescent="0.25">
      <c r="C31" s="693"/>
    </row>
    <row r="32" spans="1:4" x14ac:dyDescent="0.25">
      <c r="A32" s="351" t="s">
        <v>530</v>
      </c>
      <c r="B32" s="426"/>
      <c r="C32" s="426"/>
      <c r="D32" s="426"/>
    </row>
    <row r="33" spans="1:4" x14ac:dyDescent="0.25">
      <c r="A33" s="363" t="s">
        <v>474</v>
      </c>
      <c r="B33" s="423"/>
      <c r="C33" s="423"/>
      <c r="D33" s="362" t="s">
        <v>473</v>
      </c>
    </row>
    <row r="34" spans="1:4" x14ac:dyDescent="0.25">
      <c r="A34" s="424"/>
      <c r="B34" s="423"/>
      <c r="C34" s="423"/>
      <c r="D34" s="362" t="s">
        <v>532</v>
      </c>
    </row>
    <row r="35" spans="1:4" x14ac:dyDescent="0.25">
      <c r="A35" s="426"/>
      <c r="B35" s="426"/>
      <c r="C35" s="426"/>
    </row>
    <row r="36" spans="1:4" x14ac:dyDescent="0.25">
      <c r="A36" s="351" t="s">
        <v>531</v>
      </c>
      <c r="B36" s="426"/>
      <c r="C36" s="426"/>
    </row>
    <row r="37" spans="1:4" x14ac:dyDescent="0.25">
      <c r="A37" s="363" t="s">
        <v>475</v>
      </c>
      <c r="B37" s="423"/>
      <c r="C37" s="423"/>
      <c r="D37" s="362" t="s">
        <v>473</v>
      </c>
    </row>
    <row r="38" spans="1:4" x14ac:dyDescent="0.25">
      <c r="A38" s="424"/>
      <c r="B38" s="423"/>
      <c r="C38" s="423"/>
      <c r="D38" s="362" t="s">
        <v>532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5B8E-3970-4B9E-BF23-41525E74544B}">
  <sheetPr filterMode="1">
    <tabColor theme="7" tint="0.79998168889431442"/>
  </sheetPr>
  <dimension ref="A1:P269"/>
  <sheetViews>
    <sheetView topLeftCell="A233" workbookViewId="0">
      <selection activeCell="I17" sqref="I17:J17"/>
    </sheetView>
  </sheetViews>
  <sheetFormatPr defaultRowHeight="11.25" x14ac:dyDescent="0.2"/>
  <cols>
    <col min="1" max="1" width="9.140625" style="61"/>
    <col min="2" max="3" width="44.7109375" style="61" customWidth="1"/>
    <col min="4" max="4" width="30.85546875" style="61" customWidth="1"/>
    <col min="5" max="6" width="9.140625" style="61"/>
    <col min="7" max="7" width="10" style="61" bestFit="1" customWidth="1"/>
    <col min="8" max="11" width="9.140625" style="61"/>
    <col min="12" max="12" width="10" style="61" bestFit="1" customWidth="1"/>
    <col min="13" max="13" width="9.140625" style="61"/>
    <col min="14" max="14" width="9.28515625" style="61" bestFit="1" customWidth="1"/>
    <col min="15" max="16384" width="9.140625" style="61"/>
  </cols>
  <sheetData>
    <row r="1" spans="1:14" x14ac:dyDescent="0.2">
      <c r="A1" s="711" t="s">
        <v>594</v>
      </c>
      <c r="B1" s="706" t="s">
        <v>595</v>
      </c>
      <c r="C1" s="706" t="s">
        <v>596</v>
      </c>
      <c r="D1" s="713" t="s">
        <v>597</v>
      </c>
      <c r="E1" s="715" t="s">
        <v>139</v>
      </c>
      <c r="F1" s="715"/>
      <c r="G1" s="715"/>
      <c r="H1" s="716" t="s">
        <v>140</v>
      </c>
      <c r="I1" s="716"/>
      <c r="J1" s="716"/>
      <c r="K1" s="706" t="s">
        <v>598</v>
      </c>
      <c r="L1" s="706"/>
      <c r="M1" s="706" t="s">
        <v>599</v>
      </c>
      <c r="N1" s="706"/>
    </row>
    <row r="2" spans="1:14" x14ac:dyDescent="0.2">
      <c r="A2" s="707"/>
      <c r="B2" s="712"/>
      <c r="C2" s="712"/>
      <c r="D2" s="714"/>
      <c r="E2" s="395" t="s">
        <v>137</v>
      </c>
      <c r="F2" s="709"/>
      <c r="G2" s="709"/>
      <c r="H2" s="396" t="s">
        <v>137</v>
      </c>
      <c r="I2" s="710"/>
      <c r="J2" s="710"/>
      <c r="K2" s="707"/>
      <c r="L2" s="708"/>
      <c r="M2" s="707"/>
      <c r="N2" s="708"/>
    </row>
    <row r="3" spans="1:14" x14ac:dyDescent="0.2">
      <c r="A3" s="340" t="s">
        <v>600</v>
      </c>
      <c r="B3" s="340"/>
      <c r="C3" s="340"/>
      <c r="D3" s="340"/>
      <c r="E3" s="340"/>
      <c r="F3" s="340"/>
      <c r="G3" s="340"/>
      <c r="H3" s="340"/>
      <c r="I3" s="340"/>
      <c r="J3" s="340"/>
      <c r="K3" s="397"/>
      <c r="L3" s="398"/>
      <c r="M3" s="399"/>
      <c r="N3" s="400">
        <v>0</v>
      </c>
    </row>
    <row r="4" spans="1:14" ht="29.25" hidden="1" customHeight="1" x14ac:dyDescent="0.2">
      <c r="A4" s="343" t="s">
        <v>601</v>
      </c>
      <c r="B4" s="401" t="s">
        <v>602</v>
      </c>
      <c r="C4" s="401" t="s">
        <v>603</v>
      </c>
      <c r="D4" s="401" t="s">
        <v>604</v>
      </c>
      <c r="E4" s="402" t="s">
        <v>512</v>
      </c>
      <c r="F4" s="719">
        <v>6621.77</v>
      </c>
      <c r="G4" s="719"/>
      <c r="H4" s="402" t="s">
        <v>605</v>
      </c>
      <c r="I4" s="718" t="s">
        <v>5</v>
      </c>
      <c r="J4" s="718"/>
      <c r="K4" s="403" t="s">
        <v>606</v>
      </c>
      <c r="L4" s="404">
        <v>6621.77</v>
      </c>
      <c r="M4" s="405"/>
      <c r="N4" s="406"/>
    </row>
    <row r="5" spans="1:14" ht="29.25" hidden="1" customHeight="1" x14ac:dyDescent="0.2">
      <c r="A5" s="343" t="s">
        <v>601</v>
      </c>
      <c r="B5" s="401" t="s">
        <v>602</v>
      </c>
      <c r="C5" s="401" t="s">
        <v>603</v>
      </c>
      <c r="D5" s="401" t="s">
        <v>604</v>
      </c>
      <c r="E5" s="402" t="s">
        <v>512</v>
      </c>
      <c r="F5" s="719">
        <v>6051.54</v>
      </c>
      <c r="G5" s="719"/>
      <c r="H5" s="402" t="s">
        <v>605</v>
      </c>
      <c r="I5" s="718" t="s">
        <v>5</v>
      </c>
      <c r="J5" s="718"/>
      <c r="K5" s="403" t="s">
        <v>606</v>
      </c>
      <c r="L5" s="404">
        <v>12673.31</v>
      </c>
      <c r="M5" s="405"/>
      <c r="N5" s="406"/>
    </row>
    <row r="6" spans="1:14" ht="29.25" customHeight="1" x14ac:dyDescent="0.2">
      <c r="A6" s="343" t="s">
        <v>601</v>
      </c>
      <c r="B6" s="401" t="s">
        <v>602</v>
      </c>
      <c r="C6" s="401" t="s">
        <v>603</v>
      </c>
      <c r="D6" s="401" t="s">
        <v>607</v>
      </c>
      <c r="E6" s="402" t="s">
        <v>512</v>
      </c>
      <c r="F6" s="719">
        <v>2118.67</v>
      </c>
      <c r="G6" s="719"/>
      <c r="H6" s="402" t="s">
        <v>608</v>
      </c>
      <c r="I6" s="718" t="s">
        <v>5</v>
      </c>
      <c r="J6" s="718"/>
      <c r="K6" s="403" t="s">
        <v>606</v>
      </c>
      <c r="L6" s="404">
        <v>14791.98</v>
      </c>
      <c r="M6" s="405"/>
      <c r="N6" s="406"/>
    </row>
    <row r="7" spans="1:14" ht="29.25" customHeight="1" x14ac:dyDescent="0.2">
      <c r="A7" s="343" t="s">
        <v>601</v>
      </c>
      <c r="B7" s="401" t="s">
        <v>602</v>
      </c>
      <c r="C7" s="401" t="s">
        <v>609</v>
      </c>
      <c r="D7" s="401" t="s">
        <v>610</v>
      </c>
      <c r="E7" s="402" t="s">
        <v>512</v>
      </c>
      <c r="F7" s="717">
        <v>657.65</v>
      </c>
      <c r="G7" s="717"/>
      <c r="H7" s="402" t="s">
        <v>608</v>
      </c>
      <c r="I7" s="718" t="s">
        <v>5</v>
      </c>
      <c r="J7" s="718"/>
      <c r="K7" s="403" t="s">
        <v>606</v>
      </c>
      <c r="L7" s="404">
        <v>15449.63</v>
      </c>
      <c r="M7" s="405"/>
      <c r="N7" s="406"/>
    </row>
    <row r="8" spans="1:14" ht="29.25" customHeight="1" x14ac:dyDescent="0.2">
      <c r="A8" s="343" t="s">
        <v>601</v>
      </c>
      <c r="B8" s="401" t="s">
        <v>602</v>
      </c>
      <c r="C8" s="401" t="s">
        <v>609</v>
      </c>
      <c r="D8" s="401" t="s">
        <v>611</v>
      </c>
      <c r="E8" s="402" t="s">
        <v>512</v>
      </c>
      <c r="F8" s="719">
        <v>198756.03</v>
      </c>
      <c r="G8" s="719"/>
      <c r="H8" s="402" t="s">
        <v>608</v>
      </c>
      <c r="I8" s="718" t="s">
        <v>5</v>
      </c>
      <c r="J8" s="718"/>
      <c r="K8" s="403" t="s">
        <v>606</v>
      </c>
      <c r="L8" s="404">
        <v>214205.66</v>
      </c>
      <c r="M8" s="405"/>
      <c r="N8" s="406"/>
    </row>
    <row r="9" spans="1:14" ht="29.25" customHeight="1" x14ac:dyDescent="0.2">
      <c r="A9" s="343" t="s">
        <v>601</v>
      </c>
      <c r="B9" s="401" t="s">
        <v>602</v>
      </c>
      <c r="C9" s="401" t="s">
        <v>609</v>
      </c>
      <c r="D9" s="401" t="s">
        <v>612</v>
      </c>
      <c r="E9" s="402" t="s">
        <v>512</v>
      </c>
      <c r="F9" s="719">
        <v>5358.42</v>
      </c>
      <c r="G9" s="719"/>
      <c r="H9" s="402" t="s">
        <v>608</v>
      </c>
      <c r="I9" s="718" t="s">
        <v>5</v>
      </c>
      <c r="J9" s="718"/>
      <c r="K9" s="403" t="s">
        <v>606</v>
      </c>
      <c r="L9" s="404">
        <v>219564.08</v>
      </c>
      <c r="M9" s="405"/>
      <c r="N9" s="406"/>
    </row>
    <row r="10" spans="1:14" ht="29.25" customHeight="1" x14ac:dyDescent="0.2">
      <c r="A10" s="343" t="s">
        <v>601</v>
      </c>
      <c r="B10" s="401" t="s">
        <v>602</v>
      </c>
      <c r="C10" s="401" t="s">
        <v>609</v>
      </c>
      <c r="D10" s="401" t="s">
        <v>613</v>
      </c>
      <c r="E10" s="402" t="s">
        <v>512</v>
      </c>
      <c r="F10" s="717">
        <v>280.35000000000002</v>
      </c>
      <c r="G10" s="717"/>
      <c r="H10" s="402" t="s">
        <v>608</v>
      </c>
      <c r="I10" s="718" t="s">
        <v>5</v>
      </c>
      <c r="J10" s="718"/>
      <c r="K10" s="403" t="s">
        <v>606</v>
      </c>
      <c r="L10" s="404">
        <v>219844.43</v>
      </c>
      <c r="M10" s="405"/>
      <c r="N10" s="406"/>
    </row>
    <row r="11" spans="1:14" ht="29.25" customHeight="1" x14ac:dyDescent="0.2">
      <c r="A11" s="343" t="s">
        <v>601</v>
      </c>
      <c r="B11" s="401" t="s">
        <v>602</v>
      </c>
      <c r="C11" s="401" t="s">
        <v>609</v>
      </c>
      <c r="D11" s="401" t="s">
        <v>614</v>
      </c>
      <c r="E11" s="402" t="s">
        <v>512</v>
      </c>
      <c r="F11" s="717">
        <v>280.35000000000002</v>
      </c>
      <c r="G11" s="717"/>
      <c r="H11" s="402" t="s">
        <v>608</v>
      </c>
      <c r="I11" s="718" t="s">
        <v>5</v>
      </c>
      <c r="J11" s="718"/>
      <c r="K11" s="403" t="s">
        <v>606</v>
      </c>
      <c r="L11" s="404">
        <v>220124.78</v>
      </c>
      <c r="M11" s="405"/>
      <c r="N11" s="406"/>
    </row>
    <row r="12" spans="1:14" ht="29.25" customHeight="1" x14ac:dyDescent="0.2">
      <c r="A12" s="343" t="s">
        <v>601</v>
      </c>
      <c r="B12" s="401" t="s">
        <v>602</v>
      </c>
      <c r="C12" s="401" t="s">
        <v>609</v>
      </c>
      <c r="D12" s="401" t="s">
        <v>615</v>
      </c>
      <c r="E12" s="402" t="s">
        <v>512</v>
      </c>
      <c r="F12" s="717">
        <v>280.35000000000002</v>
      </c>
      <c r="G12" s="717"/>
      <c r="H12" s="402" t="s">
        <v>608</v>
      </c>
      <c r="I12" s="718" t="s">
        <v>5</v>
      </c>
      <c r="J12" s="718"/>
      <c r="K12" s="403" t="s">
        <v>606</v>
      </c>
      <c r="L12" s="404">
        <v>220405.13</v>
      </c>
      <c r="M12" s="405"/>
      <c r="N12" s="406"/>
    </row>
    <row r="13" spans="1:14" ht="29.25" customHeight="1" x14ac:dyDescent="0.2">
      <c r="A13" s="343" t="s">
        <v>601</v>
      </c>
      <c r="B13" s="401" t="s">
        <v>602</v>
      </c>
      <c r="C13" s="401" t="s">
        <v>609</v>
      </c>
      <c r="D13" s="401" t="s">
        <v>616</v>
      </c>
      <c r="E13" s="402" t="s">
        <v>512</v>
      </c>
      <c r="F13" s="717">
        <v>280.35000000000002</v>
      </c>
      <c r="G13" s="717"/>
      <c r="H13" s="402" t="s">
        <v>608</v>
      </c>
      <c r="I13" s="718" t="s">
        <v>5</v>
      </c>
      <c r="J13" s="718"/>
      <c r="K13" s="403" t="s">
        <v>606</v>
      </c>
      <c r="L13" s="404">
        <v>220685.48</v>
      </c>
      <c r="M13" s="405"/>
      <c r="N13" s="406"/>
    </row>
    <row r="14" spans="1:14" ht="29.25" customHeight="1" x14ac:dyDescent="0.2">
      <c r="A14" s="343" t="s">
        <v>601</v>
      </c>
      <c r="B14" s="401" t="s">
        <v>602</v>
      </c>
      <c r="C14" s="401" t="s">
        <v>609</v>
      </c>
      <c r="D14" s="401" t="s">
        <v>617</v>
      </c>
      <c r="E14" s="402" t="s">
        <v>512</v>
      </c>
      <c r="F14" s="717">
        <v>280.35000000000002</v>
      </c>
      <c r="G14" s="717"/>
      <c r="H14" s="402" t="s">
        <v>608</v>
      </c>
      <c r="I14" s="718" t="s">
        <v>5</v>
      </c>
      <c r="J14" s="718"/>
      <c r="K14" s="403" t="s">
        <v>606</v>
      </c>
      <c r="L14" s="404">
        <v>220965.83</v>
      </c>
      <c r="M14" s="405"/>
      <c r="N14" s="406"/>
    </row>
    <row r="15" spans="1:14" ht="29.25" customHeight="1" x14ac:dyDescent="0.2">
      <c r="A15" s="343" t="s">
        <v>601</v>
      </c>
      <c r="B15" s="401" t="s">
        <v>602</v>
      </c>
      <c r="C15" s="401" t="s">
        <v>609</v>
      </c>
      <c r="D15" s="401" t="s">
        <v>618</v>
      </c>
      <c r="E15" s="402" t="s">
        <v>512</v>
      </c>
      <c r="F15" s="717">
        <v>280.35000000000002</v>
      </c>
      <c r="G15" s="717"/>
      <c r="H15" s="402" t="s">
        <v>608</v>
      </c>
      <c r="I15" s="718" t="s">
        <v>5</v>
      </c>
      <c r="J15" s="718"/>
      <c r="K15" s="403" t="s">
        <v>606</v>
      </c>
      <c r="L15" s="404">
        <v>221246.18</v>
      </c>
      <c r="M15" s="405"/>
      <c r="N15" s="406"/>
    </row>
    <row r="16" spans="1:14" ht="29.25" customHeight="1" x14ac:dyDescent="0.2">
      <c r="A16" s="343" t="s">
        <v>601</v>
      </c>
      <c r="B16" s="401" t="s">
        <v>602</v>
      </c>
      <c r="C16" s="401" t="s">
        <v>609</v>
      </c>
      <c r="D16" s="401" t="s">
        <v>619</v>
      </c>
      <c r="E16" s="402" t="s">
        <v>512</v>
      </c>
      <c r="F16" s="717">
        <v>280.35000000000002</v>
      </c>
      <c r="G16" s="717"/>
      <c r="H16" s="402" t="s">
        <v>608</v>
      </c>
      <c r="I16" s="718" t="s">
        <v>5</v>
      </c>
      <c r="J16" s="718"/>
      <c r="K16" s="403" t="s">
        <v>606</v>
      </c>
      <c r="L16" s="404">
        <v>221526.53</v>
      </c>
      <c r="M16" s="405"/>
      <c r="N16" s="406"/>
    </row>
    <row r="17" spans="1:14" ht="29.25" customHeight="1" x14ac:dyDescent="0.2">
      <c r="A17" s="343" t="s">
        <v>601</v>
      </c>
      <c r="B17" s="401" t="s">
        <v>602</v>
      </c>
      <c r="C17" s="401" t="s">
        <v>609</v>
      </c>
      <c r="D17" s="401" t="s">
        <v>620</v>
      </c>
      <c r="E17" s="402" t="s">
        <v>512</v>
      </c>
      <c r="F17" s="717">
        <v>280.35000000000002</v>
      </c>
      <c r="G17" s="717"/>
      <c r="H17" s="402" t="s">
        <v>608</v>
      </c>
      <c r="I17" s="718" t="s">
        <v>5</v>
      </c>
      <c r="J17" s="718"/>
      <c r="K17" s="403" t="s">
        <v>606</v>
      </c>
      <c r="L17" s="404">
        <v>221806.88</v>
      </c>
      <c r="M17" s="405"/>
      <c r="N17" s="406"/>
    </row>
    <row r="18" spans="1:14" ht="29.25" customHeight="1" x14ac:dyDescent="0.2">
      <c r="A18" s="343" t="s">
        <v>601</v>
      </c>
      <c r="B18" s="401" t="s">
        <v>602</v>
      </c>
      <c r="C18" s="401" t="s">
        <v>609</v>
      </c>
      <c r="D18" s="401" t="s">
        <v>621</v>
      </c>
      <c r="E18" s="402" t="s">
        <v>512</v>
      </c>
      <c r="F18" s="717">
        <v>280.35000000000002</v>
      </c>
      <c r="G18" s="717"/>
      <c r="H18" s="402" t="s">
        <v>608</v>
      </c>
      <c r="I18" s="718" t="s">
        <v>5</v>
      </c>
      <c r="J18" s="718"/>
      <c r="K18" s="403" t="s">
        <v>606</v>
      </c>
      <c r="L18" s="404">
        <v>222087.23</v>
      </c>
      <c r="M18" s="405"/>
      <c r="N18" s="406"/>
    </row>
    <row r="19" spans="1:14" ht="29.25" customHeight="1" x14ac:dyDescent="0.2">
      <c r="A19" s="343" t="s">
        <v>601</v>
      </c>
      <c r="B19" s="401" t="s">
        <v>602</v>
      </c>
      <c r="C19" s="401" t="s">
        <v>609</v>
      </c>
      <c r="D19" s="401" t="s">
        <v>622</v>
      </c>
      <c r="E19" s="402" t="s">
        <v>512</v>
      </c>
      <c r="F19" s="717">
        <v>280.35000000000002</v>
      </c>
      <c r="G19" s="717"/>
      <c r="H19" s="402" t="s">
        <v>608</v>
      </c>
      <c r="I19" s="718" t="s">
        <v>5</v>
      </c>
      <c r="J19" s="718"/>
      <c r="K19" s="403" t="s">
        <v>606</v>
      </c>
      <c r="L19" s="404">
        <v>222367.58</v>
      </c>
      <c r="M19" s="405"/>
      <c r="N19" s="406"/>
    </row>
    <row r="20" spans="1:14" ht="29.25" customHeight="1" x14ac:dyDescent="0.2">
      <c r="A20" s="343" t="s">
        <v>601</v>
      </c>
      <c r="B20" s="401" t="s">
        <v>602</v>
      </c>
      <c r="C20" s="401" t="s">
        <v>609</v>
      </c>
      <c r="D20" s="401" t="s">
        <v>623</v>
      </c>
      <c r="E20" s="402" t="s">
        <v>512</v>
      </c>
      <c r="F20" s="719">
        <v>13837.37</v>
      </c>
      <c r="G20" s="719"/>
      <c r="H20" s="402" t="s">
        <v>608</v>
      </c>
      <c r="I20" s="718" t="s">
        <v>5</v>
      </c>
      <c r="J20" s="718"/>
      <c r="K20" s="403" t="s">
        <v>606</v>
      </c>
      <c r="L20" s="404">
        <v>236204.95</v>
      </c>
      <c r="M20" s="405"/>
      <c r="N20" s="406"/>
    </row>
    <row r="21" spans="1:14" ht="29.25" customHeight="1" x14ac:dyDescent="0.2">
      <c r="A21" s="343" t="s">
        <v>601</v>
      </c>
      <c r="B21" s="401" t="s">
        <v>602</v>
      </c>
      <c r="C21" s="401" t="s">
        <v>624</v>
      </c>
      <c r="D21" s="401" t="s">
        <v>625</v>
      </c>
      <c r="E21" s="402" t="s">
        <v>512</v>
      </c>
      <c r="F21" s="719">
        <v>1790.33</v>
      </c>
      <c r="G21" s="719"/>
      <c r="H21" s="402" t="s">
        <v>608</v>
      </c>
      <c r="I21" s="718" t="s">
        <v>5</v>
      </c>
      <c r="J21" s="718"/>
      <c r="K21" s="403" t="s">
        <v>606</v>
      </c>
      <c r="L21" s="404">
        <v>237995.28</v>
      </c>
      <c r="M21" s="405"/>
      <c r="N21" s="406"/>
    </row>
    <row r="22" spans="1:14" ht="29.25" customHeight="1" x14ac:dyDescent="0.2">
      <c r="A22" s="343" t="s">
        <v>601</v>
      </c>
      <c r="B22" s="401" t="s">
        <v>602</v>
      </c>
      <c r="C22" s="401" t="s">
        <v>609</v>
      </c>
      <c r="D22" s="401" t="s">
        <v>626</v>
      </c>
      <c r="E22" s="402" t="s">
        <v>512</v>
      </c>
      <c r="F22" s="719">
        <v>6702.34</v>
      </c>
      <c r="G22" s="719"/>
      <c r="H22" s="402" t="s">
        <v>608</v>
      </c>
      <c r="I22" s="718" t="s">
        <v>5</v>
      </c>
      <c r="J22" s="718"/>
      <c r="K22" s="403" t="s">
        <v>606</v>
      </c>
      <c r="L22" s="404">
        <v>244697.62</v>
      </c>
      <c r="M22" s="405"/>
      <c r="N22" s="406"/>
    </row>
    <row r="23" spans="1:14" ht="29.25" customHeight="1" x14ac:dyDescent="0.2">
      <c r="A23" s="343" t="s">
        <v>601</v>
      </c>
      <c r="B23" s="401" t="s">
        <v>602</v>
      </c>
      <c r="C23" s="401" t="s">
        <v>627</v>
      </c>
      <c r="D23" s="401" t="s">
        <v>628</v>
      </c>
      <c r="E23" s="402" t="s">
        <v>512</v>
      </c>
      <c r="F23" s="719">
        <v>3472.5</v>
      </c>
      <c r="G23" s="719"/>
      <c r="H23" s="402" t="s">
        <v>608</v>
      </c>
      <c r="I23" s="718" t="s">
        <v>5</v>
      </c>
      <c r="J23" s="718"/>
      <c r="K23" s="403" t="s">
        <v>606</v>
      </c>
      <c r="L23" s="404">
        <v>248170.12</v>
      </c>
      <c r="M23" s="405"/>
      <c r="N23" s="406"/>
    </row>
    <row r="24" spans="1:14" ht="29.25" hidden="1" customHeight="1" x14ac:dyDescent="0.2">
      <c r="A24" s="343" t="s">
        <v>601</v>
      </c>
      <c r="B24" s="401" t="s">
        <v>602</v>
      </c>
      <c r="C24" s="401" t="s">
        <v>629</v>
      </c>
      <c r="D24" s="401" t="s">
        <v>630</v>
      </c>
      <c r="E24" s="402" t="s">
        <v>512</v>
      </c>
      <c r="F24" s="719">
        <v>2500</v>
      </c>
      <c r="G24" s="719"/>
      <c r="H24" s="402" t="s">
        <v>608</v>
      </c>
      <c r="I24" s="718" t="s">
        <v>5</v>
      </c>
      <c r="J24" s="718"/>
      <c r="K24" s="403" t="s">
        <v>606</v>
      </c>
      <c r="L24" s="404">
        <v>250670.12</v>
      </c>
      <c r="M24" s="405"/>
      <c r="N24" s="406"/>
    </row>
    <row r="25" spans="1:14" ht="29.25" hidden="1" customHeight="1" x14ac:dyDescent="0.2">
      <c r="A25" s="343" t="s">
        <v>601</v>
      </c>
      <c r="B25" s="401" t="s">
        <v>602</v>
      </c>
      <c r="C25" s="401" t="s">
        <v>603</v>
      </c>
      <c r="D25" s="401" t="s">
        <v>631</v>
      </c>
      <c r="E25" s="402" t="s">
        <v>512</v>
      </c>
      <c r="F25" s="719">
        <v>1160445</v>
      </c>
      <c r="G25" s="719"/>
      <c r="H25" s="402" t="s">
        <v>608</v>
      </c>
      <c r="I25" s="718" t="s">
        <v>5</v>
      </c>
      <c r="J25" s="718"/>
      <c r="K25" s="403" t="s">
        <v>606</v>
      </c>
      <c r="L25" s="404">
        <v>1411115.12</v>
      </c>
      <c r="M25" s="405"/>
      <c r="N25" s="406"/>
    </row>
    <row r="26" spans="1:14" ht="29.25" customHeight="1" x14ac:dyDescent="0.2">
      <c r="A26" s="343" t="s">
        <v>601</v>
      </c>
      <c r="B26" s="401" t="s">
        <v>602</v>
      </c>
      <c r="C26" s="401" t="s">
        <v>632</v>
      </c>
      <c r="D26" s="401" t="s">
        <v>633</v>
      </c>
      <c r="E26" s="402" t="s">
        <v>512</v>
      </c>
      <c r="F26" s="719">
        <v>10878.01</v>
      </c>
      <c r="G26" s="719"/>
      <c r="H26" s="402" t="s">
        <v>608</v>
      </c>
      <c r="I26" s="718" t="s">
        <v>5</v>
      </c>
      <c r="J26" s="718"/>
      <c r="K26" s="403" t="s">
        <v>606</v>
      </c>
      <c r="L26" s="404">
        <v>1421993.13</v>
      </c>
      <c r="M26" s="405"/>
      <c r="N26" s="406"/>
    </row>
    <row r="27" spans="1:14" ht="29.25" customHeight="1" x14ac:dyDescent="0.2">
      <c r="A27" s="343" t="s">
        <v>601</v>
      </c>
      <c r="B27" s="401" t="s">
        <v>602</v>
      </c>
      <c r="C27" s="401" t="s">
        <v>609</v>
      </c>
      <c r="D27" s="401" t="s">
        <v>634</v>
      </c>
      <c r="E27" s="402" t="s">
        <v>512</v>
      </c>
      <c r="F27" s="719">
        <v>6824.54</v>
      </c>
      <c r="G27" s="719"/>
      <c r="H27" s="402" t="s">
        <v>608</v>
      </c>
      <c r="I27" s="718" t="s">
        <v>5</v>
      </c>
      <c r="J27" s="718"/>
      <c r="K27" s="403" t="s">
        <v>606</v>
      </c>
      <c r="L27" s="404">
        <v>1428817.67</v>
      </c>
      <c r="M27" s="405"/>
      <c r="N27" s="406"/>
    </row>
    <row r="28" spans="1:14" ht="29.25" customHeight="1" x14ac:dyDescent="0.2">
      <c r="A28" s="343" t="s">
        <v>601</v>
      </c>
      <c r="B28" s="401" t="s">
        <v>602</v>
      </c>
      <c r="C28" s="401" t="s">
        <v>609</v>
      </c>
      <c r="D28" s="401" t="s">
        <v>635</v>
      </c>
      <c r="E28" s="402" t="s">
        <v>512</v>
      </c>
      <c r="F28" s="717">
        <v>249.87</v>
      </c>
      <c r="G28" s="717"/>
      <c r="H28" s="402" t="s">
        <v>608</v>
      </c>
      <c r="I28" s="718" t="s">
        <v>5</v>
      </c>
      <c r="J28" s="718"/>
      <c r="K28" s="403" t="s">
        <v>606</v>
      </c>
      <c r="L28" s="404">
        <v>1429067.54</v>
      </c>
      <c r="M28" s="405"/>
      <c r="N28" s="406"/>
    </row>
    <row r="29" spans="1:14" ht="29.25" customHeight="1" x14ac:dyDescent="0.2">
      <c r="A29" s="343" t="s">
        <v>601</v>
      </c>
      <c r="B29" s="401" t="s">
        <v>602</v>
      </c>
      <c r="C29" s="401" t="s">
        <v>609</v>
      </c>
      <c r="D29" s="401" t="s">
        <v>636</v>
      </c>
      <c r="E29" s="402" t="s">
        <v>512</v>
      </c>
      <c r="F29" s="719">
        <v>1685.19</v>
      </c>
      <c r="G29" s="719"/>
      <c r="H29" s="402" t="s">
        <v>608</v>
      </c>
      <c r="I29" s="718" t="s">
        <v>5</v>
      </c>
      <c r="J29" s="718"/>
      <c r="K29" s="403" t="s">
        <v>606</v>
      </c>
      <c r="L29" s="404">
        <v>1430752.73</v>
      </c>
      <c r="M29" s="405"/>
      <c r="N29" s="406"/>
    </row>
    <row r="30" spans="1:14" ht="29.25" customHeight="1" x14ac:dyDescent="0.2">
      <c r="A30" s="343" t="s">
        <v>601</v>
      </c>
      <c r="B30" s="401" t="s">
        <v>602</v>
      </c>
      <c r="C30" s="401" t="s">
        <v>637</v>
      </c>
      <c r="D30" s="401" t="s">
        <v>638</v>
      </c>
      <c r="E30" s="402" t="s">
        <v>512</v>
      </c>
      <c r="F30" s="719">
        <v>1649673.25</v>
      </c>
      <c r="G30" s="719"/>
      <c r="H30" s="402" t="s">
        <v>608</v>
      </c>
      <c r="I30" s="718" t="s">
        <v>5</v>
      </c>
      <c r="J30" s="718"/>
      <c r="K30" s="403" t="s">
        <v>606</v>
      </c>
      <c r="L30" s="404">
        <v>3080425.98</v>
      </c>
      <c r="M30" s="405"/>
      <c r="N30" s="406"/>
    </row>
    <row r="31" spans="1:14" ht="29.25" customHeight="1" x14ac:dyDescent="0.2">
      <c r="A31" s="343" t="s">
        <v>601</v>
      </c>
      <c r="B31" s="401" t="s">
        <v>602</v>
      </c>
      <c r="C31" s="401" t="s">
        <v>609</v>
      </c>
      <c r="D31" s="401" t="s">
        <v>639</v>
      </c>
      <c r="E31" s="402" t="s">
        <v>512</v>
      </c>
      <c r="F31" s="717">
        <v>277.23</v>
      </c>
      <c r="G31" s="717"/>
      <c r="H31" s="402" t="s">
        <v>608</v>
      </c>
      <c r="I31" s="718" t="s">
        <v>5</v>
      </c>
      <c r="J31" s="718"/>
      <c r="K31" s="403" t="s">
        <v>606</v>
      </c>
      <c r="L31" s="404">
        <v>3080703.21</v>
      </c>
      <c r="M31" s="405"/>
      <c r="N31" s="406"/>
    </row>
    <row r="32" spans="1:14" ht="29.25" customHeight="1" x14ac:dyDescent="0.2">
      <c r="A32" s="343" t="s">
        <v>601</v>
      </c>
      <c r="B32" s="401" t="s">
        <v>602</v>
      </c>
      <c r="C32" s="401" t="s">
        <v>627</v>
      </c>
      <c r="D32" s="401" t="s">
        <v>640</v>
      </c>
      <c r="E32" s="402" t="s">
        <v>512</v>
      </c>
      <c r="F32" s="719">
        <v>6404.32</v>
      </c>
      <c r="G32" s="719"/>
      <c r="H32" s="402" t="s">
        <v>608</v>
      </c>
      <c r="I32" s="718" t="s">
        <v>5</v>
      </c>
      <c r="J32" s="718"/>
      <c r="K32" s="403" t="s">
        <v>606</v>
      </c>
      <c r="L32" s="404">
        <v>3087107.53</v>
      </c>
      <c r="M32" s="405"/>
      <c r="N32" s="406"/>
    </row>
    <row r="33" spans="1:14" ht="29.25" customHeight="1" x14ac:dyDescent="0.2">
      <c r="A33" s="343" t="s">
        <v>601</v>
      </c>
      <c r="B33" s="401" t="s">
        <v>602</v>
      </c>
      <c r="C33" s="401" t="s">
        <v>603</v>
      </c>
      <c r="D33" s="401" t="s">
        <v>641</v>
      </c>
      <c r="E33" s="402" t="s">
        <v>512</v>
      </c>
      <c r="F33" s="719">
        <v>1059.98</v>
      </c>
      <c r="G33" s="719"/>
      <c r="H33" s="402" t="s">
        <v>608</v>
      </c>
      <c r="I33" s="718" t="s">
        <v>5</v>
      </c>
      <c r="J33" s="718"/>
      <c r="K33" s="403" t="s">
        <v>606</v>
      </c>
      <c r="L33" s="404">
        <v>3088167.51</v>
      </c>
      <c r="M33" s="405"/>
      <c r="N33" s="406"/>
    </row>
    <row r="34" spans="1:14" ht="29.25" customHeight="1" x14ac:dyDescent="0.2">
      <c r="A34" s="343" t="s">
        <v>601</v>
      </c>
      <c r="B34" s="401" t="s">
        <v>602</v>
      </c>
      <c r="C34" s="401" t="s">
        <v>609</v>
      </c>
      <c r="D34" s="401" t="s">
        <v>642</v>
      </c>
      <c r="E34" s="402" t="s">
        <v>512</v>
      </c>
      <c r="F34" s="719">
        <v>2513.5100000000002</v>
      </c>
      <c r="G34" s="719"/>
      <c r="H34" s="402" t="s">
        <v>608</v>
      </c>
      <c r="I34" s="718" t="s">
        <v>5</v>
      </c>
      <c r="J34" s="718"/>
      <c r="K34" s="403" t="s">
        <v>606</v>
      </c>
      <c r="L34" s="404">
        <v>3090681.02</v>
      </c>
      <c r="M34" s="405"/>
      <c r="N34" s="406"/>
    </row>
    <row r="35" spans="1:14" ht="29.25" customHeight="1" x14ac:dyDescent="0.2">
      <c r="A35" s="343" t="s">
        <v>601</v>
      </c>
      <c r="B35" s="401" t="s">
        <v>602</v>
      </c>
      <c r="C35" s="401" t="s">
        <v>603</v>
      </c>
      <c r="D35" s="401" t="s">
        <v>643</v>
      </c>
      <c r="E35" s="402" t="s">
        <v>512</v>
      </c>
      <c r="F35" s="719">
        <v>25299.27</v>
      </c>
      <c r="G35" s="719"/>
      <c r="H35" s="402" t="s">
        <v>608</v>
      </c>
      <c r="I35" s="718" t="s">
        <v>5</v>
      </c>
      <c r="J35" s="718"/>
      <c r="K35" s="403" t="s">
        <v>606</v>
      </c>
      <c r="L35" s="404">
        <v>3115980.29</v>
      </c>
      <c r="M35" s="405"/>
      <c r="N35" s="406"/>
    </row>
    <row r="36" spans="1:14" ht="29.25" customHeight="1" x14ac:dyDescent="0.2">
      <c r="A36" s="343" t="s">
        <v>601</v>
      </c>
      <c r="B36" s="401" t="s">
        <v>602</v>
      </c>
      <c r="C36" s="401" t="s">
        <v>632</v>
      </c>
      <c r="D36" s="401" t="s">
        <v>644</v>
      </c>
      <c r="E36" s="402" t="s">
        <v>512</v>
      </c>
      <c r="F36" s="719">
        <v>33619.769999999997</v>
      </c>
      <c r="G36" s="719"/>
      <c r="H36" s="402" t="s">
        <v>608</v>
      </c>
      <c r="I36" s="718" t="s">
        <v>5</v>
      </c>
      <c r="J36" s="718"/>
      <c r="K36" s="403" t="s">
        <v>606</v>
      </c>
      <c r="L36" s="404">
        <v>3149600.06</v>
      </c>
      <c r="M36" s="405"/>
      <c r="N36" s="406"/>
    </row>
    <row r="37" spans="1:14" ht="29.25" customHeight="1" x14ac:dyDescent="0.2">
      <c r="A37" s="343" t="s">
        <v>601</v>
      </c>
      <c r="B37" s="401" t="s">
        <v>602</v>
      </c>
      <c r="C37" s="401" t="s">
        <v>609</v>
      </c>
      <c r="D37" s="401" t="s">
        <v>645</v>
      </c>
      <c r="E37" s="402" t="s">
        <v>512</v>
      </c>
      <c r="F37" s="719">
        <v>37535.99</v>
      </c>
      <c r="G37" s="719"/>
      <c r="H37" s="402" t="s">
        <v>608</v>
      </c>
      <c r="I37" s="718" t="s">
        <v>5</v>
      </c>
      <c r="J37" s="718"/>
      <c r="K37" s="403" t="s">
        <v>606</v>
      </c>
      <c r="L37" s="404">
        <v>3187136.05</v>
      </c>
      <c r="M37" s="405"/>
      <c r="N37" s="406"/>
    </row>
    <row r="38" spans="1:14" ht="29.25" customHeight="1" x14ac:dyDescent="0.2">
      <c r="A38" s="343" t="s">
        <v>601</v>
      </c>
      <c r="B38" s="401" t="s">
        <v>602</v>
      </c>
      <c r="C38" s="401" t="s">
        <v>627</v>
      </c>
      <c r="D38" s="401" t="s">
        <v>640</v>
      </c>
      <c r="E38" s="402" t="s">
        <v>512</v>
      </c>
      <c r="F38" s="719">
        <v>6436.98</v>
      </c>
      <c r="G38" s="719"/>
      <c r="H38" s="402" t="s">
        <v>608</v>
      </c>
      <c r="I38" s="718" t="s">
        <v>5</v>
      </c>
      <c r="J38" s="718"/>
      <c r="K38" s="403" t="s">
        <v>606</v>
      </c>
      <c r="L38" s="404">
        <v>3193573.03</v>
      </c>
      <c r="M38" s="405"/>
      <c r="N38" s="406"/>
    </row>
    <row r="39" spans="1:14" ht="29.25" customHeight="1" x14ac:dyDescent="0.2">
      <c r="A39" s="343" t="s">
        <v>601</v>
      </c>
      <c r="B39" s="401" t="s">
        <v>602</v>
      </c>
      <c r="C39" s="401" t="s">
        <v>627</v>
      </c>
      <c r="D39" s="401" t="s">
        <v>640</v>
      </c>
      <c r="E39" s="402" t="s">
        <v>512</v>
      </c>
      <c r="F39" s="719">
        <v>6436.98</v>
      </c>
      <c r="G39" s="719"/>
      <c r="H39" s="402" t="s">
        <v>608</v>
      </c>
      <c r="I39" s="718" t="s">
        <v>5</v>
      </c>
      <c r="J39" s="718"/>
      <c r="K39" s="403" t="s">
        <v>606</v>
      </c>
      <c r="L39" s="404">
        <v>3200010.01</v>
      </c>
      <c r="M39" s="405"/>
      <c r="N39" s="406"/>
    </row>
    <row r="40" spans="1:14" ht="29.25" customHeight="1" x14ac:dyDescent="0.2">
      <c r="A40" s="343" t="s">
        <v>601</v>
      </c>
      <c r="B40" s="401" t="s">
        <v>602</v>
      </c>
      <c r="C40" s="401" t="s">
        <v>603</v>
      </c>
      <c r="D40" s="401" t="s">
        <v>646</v>
      </c>
      <c r="E40" s="402" t="s">
        <v>512</v>
      </c>
      <c r="F40" s="719">
        <v>31261.57</v>
      </c>
      <c r="G40" s="719"/>
      <c r="H40" s="402" t="s">
        <v>608</v>
      </c>
      <c r="I40" s="718" t="s">
        <v>5</v>
      </c>
      <c r="J40" s="718"/>
      <c r="K40" s="403" t="s">
        <v>606</v>
      </c>
      <c r="L40" s="404">
        <v>3231271.58</v>
      </c>
      <c r="M40" s="405"/>
      <c r="N40" s="406"/>
    </row>
    <row r="41" spans="1:14" ht="29.25" customHeight="1" x14ac:dyDescent="0.2">
      <c r="A41" s="343" t="s">
        <v>601</v>
      </c>
      <c r="B41" s="401" t="s">
        <v>602</v>
      </c>
      <c r="C41" s="401" t="s">
        <v>609</v>
      </c>
      <c r="D41" s="401" t="s">
        <v>647</v>
      </c>
      <c r="E41" s="402" t="s">
        <v>512</v>
      </c>
      <c r="F41" s="717">
        <v>496.75</v>
      </c>
      <c r="G41" s="717"/>
      <c r="H41" s="402" t="s">
        <v>608</v>
      </c>
      <c r="I41" s="718" t="s">
        <v>5</v>
      </c>
      <c r="J41" s="718"/>
      <c r="K41" s="403" t="s">
        <v>606</v>
      </c>
      <c r="L41" s="404">
        <v>3231768.33</v>
      </c>
      <c r="M41" s="405"/>
      <c r="N41" s="406"/>
    </row>
    <row r="42" spans="1:14" ht="29.25" hidden="1" customHeight="1" x14ac:dyDescent="0.2">
      <c r="A42" s="343" t="s">
        <v>648</v>
      </c>
      <c r="B42" s="401" t="s">
        <v>649</v>
      </c>
      <c r="C42" s="401" t="s">
        <v>603</v>
      </c>
      <c r="D42" s="401" t="s">
        <v>604</v>
      </c>
      <c r="E42" s="402" t="s">
        <v>512</v>
      </c>
      <c r="F42" s="719">
        <v>14404.5</v>
      </c>
      <c r="G42" s="719"/>
      <c r="H42" s="402" t="s">
        <v>605</v>
      </c>
      <c r="I42" s="718" t="s">
        <v>5</v>
      </c>
      <c r="J42" s="718"/>
      <c r="K42" s="403" t="s">
        <v>606</v>
      </c>
      <c r="L42" s="404">
        <v>3246172.83</v>
      </c>
      <c r="M42" s="405"/>
      <c r="N42" s="406"/>
    </row>
    <row r="43" spans="1:14" ht="29.25" customHeight="1" x14ac:dyDescent="0.2">
      <c r="A43" s="343" t="s">
        <v>648</v>
      </c>
      <c r="B43" s="401" t="s">
        <v>649</v>
      </c>
      <c r="C43" s="401" t="s">
        <v>603</v>
      </c>
      <c r="D43" s="401" t="s">
        <v>607</v>
      </c>
      <c r="E43" s="402" t="s">
        <v>512</v>
      </c>
      <c r="F43" s="719">
        <v>2118.67</v>
      </c>
      <c r="G43" s="719"/>
      <c r="H43" s="402" t="s">
        <v>608</v>
      </c>
      <c r="I43" s="718" t="s">
        <v>5</v>
      </c>
      <c r="J43" s="718"/>
      <c r="K43" s="403" t="s">
        <v>606</v>
      </c>
      <c r="L43" s="404">
        <v>3248291.5</v>
      </c>
      <c r="M43" s="405"/>
      <c r="N43" s="406"/>
    </row>
    <row r="44" spans="1:14" ht="29.25" customHeight="1" x14ac:dyDescent="0.2">
      <c r="A44" s="343" t="s">
        <v>648</v>
      </c>
      <c r="B44" s="401" t="s">
        <v>649</v>
      </c>
      <c r="C44" s="401" t="s">
        <v>609</v>
      </c>
      <c r="D44" s="401" t="s">
        <v>610</v>
      </c>
      <c r="E44" s="402" t="s">
        <v>512</v>
      </c>
      <c r="F44" s="717">
        <v>657.65</v>
      </c>
      <c r="G44" s="717"/>
      <c r="H44" s="402" t="s">
        <v>608</v>
      </c>
      <c r="I44" s="718" t="s">
        <v>5</v>
      </c>
      <c r="J44" s="718"/>
      <c r="K44" s="403" t="s">
        <v>606</v>
      </c>
      <c r="L44" s="404">
        <v>3248949.15</v>
      </c>
      <c r="M44" s="405"/>
      <c r="N44" s="406"/>
    </row>
    <row r="45" spans="1:14" ht="29.25" customHeight="1" x14ac:dyDescent="0.2">
      <c r="A45" s="343" t="s">
        <v>648</v>
      </c>
      <c r="B45" s="401" t="s">
        <v>649</v>
      </c>
      <c r="C45" s="401" t="s">
        <v>609</v>
      </c>
      <c r="D45" s="401" t="s">
        <v>611</v>
      </c>
      <c r="E45" s="402" t="s">
        <v>512</v>
      </c>
      <c r="F45" s="719">
        <v>198756.03</v>
      </c>
      <c r="G45" s="719"/>
      <c r="H45" s="402" t="s">
        <v>608</v>
      </c>
      <c r="I45" s="718" t="s">
        <v>5</v>
      </c>
      <c r="J45" s="718"/>
      <c r="K45" s="403" t="s">
        <v>606</v>
      </c>
      <c r="L45" s="404">
        <v>3447705.18</v>
      </c>
      <c r="M45" s="405"/>
      <c r="N45" s="406"/>
    </row>
    <row r="46" spans="1:14" ht="29.25" customHeight="1" x14ac:dyDescent="0.2">
      <c r="A46" s="343" t="s">
        <v>648</v>
      </c>
      <c r="B46" s="401" t="s">
        <v>649</v>
      </c>
      <c r="C46" s="401" t="s">
        <v>609</v>
      </c>
      <c r="D46" s="401" t="s">
        <v>612</v>
      </c>
      <c r="E46" s="402" t="s">
        <v>512</v>
      </c>
      <c r="F46" s="719">
        <v>5358.42</v>
      </c>
      <c r="G46" s="719"/>
      <c r="H46" s="402" t="s">
        <v>608</v>
      </c>
      <c r="I46" s="718" t="s">
        <v>5</v>
      </c>
      <c r="J46" s="718"/>
      <c r="K46" s="403" t="s">
        <v>606</v>
      </c>
      <c r="L46" s="404">
        <v>3453063.6</v>
      </c>
      <c r="M46" s="405"/>
      <c r="N46" s="406"/>
    </row>
    <row r="47" spans="1:14" ht="29.25" customHeight="1" x14ac:dyDescent="0.2">
      <c r="A47" s="343" t="s">
        <v>648</v>
      </c>
      <c r="B47" s="401" t="s">
        <v>649</v>
      </c>
      <c r="C47" s="401" t="s">
        <v>609</v>
      </c>
      <c r="D47" s="401" t="s">
        <v>613</v>
      </c>
      <c r="E47" s="402" t="s">
        <v>512</v>
      </c>
      <c r="F47" s="717">
        <v>280.35000000000002</v>
      </c>
      <c r="G47" s="717"/>
      <c r="H47" s="402" t="s">
        <v>608</v>
      </c>
      <c r="I47" s="718" t="s">
        <v>5</v>
      </c>
      <c r="J47" s="718"/>
      <c r="K47" s="403" t="s">
        <v>606</v>
      </c>
      <c r="L47" s="404">
        <v>3453343.95</v>
      </c>
      <c r="M47" s="405"/>
      <c r="N47" s="406"/>
    </row>
    <row r="48" spans="1:14" ht="29.25" customHeight="1" x14ac:dyDescent="0.2">
      <c r="A48" s="343" t="s">
        <v>648</v>
      </c>
      <c r="B48" s="401" t="s">
        <v>649</v>
      </c>
      <c r="C48" s="401" t="s">
        <v>609</v>
      </c>
      <c r="D48" s="401" t="s">
        <v>614</v>
      </c>
      <c r="E48" s="402" t="s">
        <v>512</v>
      </c>
      <c r="F48" s="717">
        <v>280.35000000000002</v>
      </c>
      <c r="G48" s="717"/>
      <c r="H48" s="402" t="s">
        <v>608</v>
      </c>
      <c r="I48" s="718" t="s">
        <v>5</v>
      </c>
      <c r="J48" s="718"/>
      <c r="K48" s="403" t="s">
        <v>606</v>
      </c>
      <c r="L48" s="404">
        <v>3453624.3</v>
      </c>
      <c r="M48" s="405"/>
      <c r="N48" s="406"/>
    </row>
    <row r="49" spans="1:14" ht="29.25" customHeight="1" x14ac:dyDescent="0.2">
      <c r="A49" s="343" t="s">
        <v>648</v>
      </c>
      <c r="B49" s="401" t="s">
        <v>649</v>
      </c>
      <c r="C49" s="401" t="s">
        <v>609</v>
      </c>
      <c r="D49" s="401" t="s">
        <v>615</v>
      </c>
      <c r="E49" s="402" t="s">
        <v>512</v>
      </c>
      <c r="F49" s="717">
        <v>280.35000000000002</v>
      </c>
      <c r="G49" s="717"/>
      <c r="H49" s="402" t="s">
        <v>608</v>
      </c>
      <c r="I49" s="718" t="s">
        <v>5</v>
      </c>
      <c r="J49" s="718"/>
      <c r="K49" s="403" t="s">
        <v>606</v>
      </c>
      <c r="L49" s="404">
        <v>3453904.65</v>
      </c>
      <c r="M49" s="405"/>
      <c r="N49" s="406"/>
    </row>
    <row r="50" spans="1:14" ht="29.25" customHeight="1" x14ac:dyDescent="0.2">
      <c r="A50" s="343" t="s">
        <v>648</v>
      </c>
      <c r="B50" s="401" t="s">
        <v>649</v>
      </c>
      <c r="C50" s="401" t="s">
        <v>609</v>
      </c>
      <c r="D50" s="401" t="s">
        <v>616</v>
      </c>
      <c r="E50" s="402" t="s">
        <v>512</v>
      </c>
      <c r="F50" s="717">
        <v>280.35000000000002</v>
      </c>
      <c r="G50" s="717"/>
      <c r="H50" s="402" t="s">
        <v>608</v>
      </c>
      <c r="I50" s="718" t="s">
        <v>5</v>
      </c>
      <c r="J50" s="718"/>
      <c r="K50" s="403" t="s">
        <v>606</v>
      </c>
      <c r="L50" s="404">
        <v>3454185</v>
      </c>
      <c r="M50" s="405"/>
      <c r="N50" s="406"/>
    </row>
    <row r="51" spans="1:14" ht="29.25" customHeight="1" x14ac:dyDescent="0.2">
      <c r="A51" s="343" t="s">
        <v>648</v>
      </c>
      <c r="B51" s="401" t="s">
        <v>649</v>
      </c>
      <c r="C51" s="401" t="s">
        <v>609</v>
      </c>
      <c r="D51" s="401" t="s">
        <v>617</v>
      </c>
      <c r="E51" s="402" t="s">
        <v>512</v>
      </c>
      <c r="F51" s="717">
        <v>280.35000000000002</v>
      </c>
      <c r="G51" s="717"/>
      <c r="H51" s="402" t="s">
        <v>608</v>
      </c>
      <c r="I51" s="718" t="s">
        <v>5</v>
      </c>
      <c r="J51" s="718"/>
      <c r="K51" s="403" t="s">
        <v>606</v>
      </c>
      <c r="L51" s="404">
        <v>3454465.35</v>
      </c>
      <c r="M51" s="405"/>
      <c r="N51" s="406"/>
    </row>
    <row r="52" spans="1:14" ht="29.25" customHeight="1" x14ac:dyDescent="0.2">
      <c r="A52" s="343" t="s">
        <v>648</v>
      </c>
      <c r="B52" s="401" t="s">
        <v>649</v>
      </c>
      <c r="C52" s="401" t="s">
        <v>609</v>
      </c>
      <c r="D52" s="401" t="s">
        <v>618</v>
      </c>
      <c r="E52" s="402" t="s">
        <v>512</v>
      </c>
      <c r="F52" s="717">
        <v>280.35000000000002</v>
      </c>
      <c r="G52" s="717"/>
      <c r="H52" s="402" t="s">
        <v>608</v>
      </c>
      <c r="I52" s="718" t="s">
        <v>5</v>
      </c>
      <c r="J52" s="718"/>
      <c r="K52" s="403" t="s">
        <v>606</v>
      </c>
      <c r="L52" s="404">
        <v>3454745.7</v>
      </c>
      <c r="M52" s="405"/>
      <c r="N52" s="406"/>
    </row>
    <row r="53" spans="1:14" ht="29.25" customHeight="1" x14ac:dyDescent="0.2">
      <c r="A53" s="343" t="s">
        <v>648</v>
      </c>
      <c r="B53" s="401" t="s">
        <v>649</v>
      </c>
      <c r="C53" s="401" t="s">
        <v>609</v>
      </c>
      <c r="D53" s="401" t="s">
        <v>619</v>
      </c>
      <c r="E53" s="402" t="s">
        <v>512</v>
      </c>
      <c r="F53" s="717">
        <v>280.35000000000002</v>
      </c>
      <c r="G53" s="717"/>
      <c r="H53" s="402" t="s">
        <v>608</v>
      </c>
      <c r="I53" s="718" t="s">
        <v>5</v>
      </c>
      <c r="J53" s="718"/>
      <c r="K53" s="403" t="s">
        <v>606</v>
      </c>
      <c r="L53" s="404">
        <v>3455026.05</v>
      </c>
      <c r="M53" s="405"/>
      <c r="N53" s="406"/>
    </row>
    <row r="54" spans="1:14" ht="29.25" customHeight="1" x14ac:dyDescent="0.2">
      <c r="A54" s="343" t="s">
        <v>648</v>
      </c>
      <c r="B54" s="401" t="s">
        <v>649</v>
      </c>
      <c r="C54" s="401" t="s">
        <v>609</v>
      </c>
      <c r="D54" s="401" t="s">
        <v>620</v>
      </c>
      <c r="E54" s="402" t="s">
        <v>512</v>
      </c>
      <c r="F54" s="717">
        <v>280.35000000000002</v>
      </c>
      <c r="G54" s="717"/>
      <c r="H54" s="402" t="s">
        <v>608</v>
      </c>
      <c r="I54" s="718" t="s">
        <v>5</v>
      </c>
      <c r="J54" s="718"/>
      <c r="K54" s="403" t="s">
        <v>606</v>
      </c>
      <c r="L54" s="404">
        <v>3455306.4</v>
      </c>
      <c r="M54" s="405"/>
      <c r="N54" s="406"/>
    </row>
    <row r="55" spans="1:14" ht="29.25" customHeight="1" x14ac:dyDescent="0.2">
      <c r="A55" s="343" t="s">
        <v>648</v>
      </c>
      <c r="B55" s="401" t="s">
        <v>649</v>
      </c>
      <c r="C55" s="401" t="s">
        <v>609</v>
      </c>
      <c r="D55" s="401" t="s">
        <v>621</v>
      </c>
      <c r="E55" s="402" t="s">
        <v>512</v>
      </c>
      <c r="F55" s="717">
        <v>280.35000000000002</v>
      </c>
      <c r="G55" s="717"/>
      <c r="H55" s="402" t="s">
        <v>608</v>
      </c>
      <c r="I55" s="718" t="s">
        <v>5</v>
      </c>
      <c r="J55" s="718"/>
      <c r="K55" s="403" t="s">
        <v>606</v>
      </c>
      <c r="L55" s="404">
        <v>3455586.75</v>
      </c>
      <c r="M55" s="405"/>
      <c r="N55" s="406"/>
    </row>
    <row r="56" spans="1:14" ht="29.25" customHeight="1" x14ac:dyDescent="0.2">
      <c r="A56" s="343" t="s">
        <v>648</v>
      </c>
      <c r="B56" s="401" t="s">
        <v>649</v>
      </c>
      <c r="C56" s="401" t="s">
        <v>609</v>
      </c>
      <c r="D56" s="401" t="s">
        <v>622</v>
      </c>
      <c r="E56" s="402" t="s">
        <v>512</v>
      </c>
      <c r="F56" s="717">
        <v>280.35000000000002</v>
      </c>
      <c r="G56" s="717"/>
      <c r="H56" s="402" t="s">
        <v>608</v>
      </c>
      <c r="I56" s="718" t="s">
        <v>5</v>
      </c>
      <c r="J56" s="718"/>
      <c r="K56" s="403" t="s">
        <v>606</v>
      </c>
      <c r="L56" s="404">
        <v>3455867.1</v>
      </c>
      <c r="M56" s="405"/>
      <c r="N56" s="406"/>
    </row>
    <row r="57" spans="1:14" ht="29.25" customHeight="1" x14ac:dyDescent="0.2">
      <c r="A57" s="343" t="s">
        <v>648</v>
      </c>
      <c r="B57" s="401" t="s">
        <v>649</v>
      </c>
      <c r="C57" s="401" t="s">
        <v>609</v>
      </c>
      <c r="D57" s="401" t="s">
        <v>623</v>
      </c>
      <c r="E57" s="402" t="s">
        <v>512</v>
      </c>
      <c r="F57" s="719">
        <v>13837.37</v>
      </c>
      <c r="G57" s="719"/>
      <c r="H57" s="402" t="s">
        <v>608</v>
      </c>
      <c r="I57" s="718" t="s">
        <v>5</v>
      </c>
      <c r="J57" s="718"/>
      <c r="K57" s="403" t="s">
        <v>606</v>
      </c>
      <c r="L57" s="404">
        <v>3469704.47</v>
      </c>
      <c r="M57" s="405"/>
      <c r="N57" s="406"/>
    </row>
    <row r="58" spans="1:14" ht="29.25" customHeight="1" x14ac:dyDescent="0.2">
      <c r="A58" s="343" t="s">
        <v>648</v>
      </c>
      <c r="B58" s="401" t="s">
        <v>649</v>
      </c>
      <c r="C58" s="401" t="s">
        <v>624</v>
      </c>
      <c r="D58" s="401" t="s">
        <v>625</v>
      </c>
      <c r="E58" s="402" t="s">
        <v>512</v>
      </c>
      <c r="F58" s="719">
        <v>1790.33</v>
      </c>
      <c r="G58" s="719"/>
      <c r="H58" s="402" t="s">
        <v>608</v>
      </c>
      <c r="I58" s="718" t="s">
        <v>5</v>
      </c>
      <c r="J58" s="718"/>
      <c r="K58" s="403" t="s">
        <v>606</v>
      </c>
      <c r="L58" s="404">
        <v>3471494.8</v>
      </c>
      <c r="M58" s="405"/>
      <c r="N58" s="406"/>
    </row>
    <row r="59" spans="1:14" ht="29.25" customHeight="1" x14ac:dyDescent="0.2">
      <c r="A59" s="343" t="s">
        <v>648</v>
      </c>
      <c r="B59" s="401" t="s">
        <v>649</v>
      </c>
      <c r="C59" s="401" t="s">
        <v>609</v>
      </c>
      <c r="D59" s="401" t="s">
        <v>626</v>
      </c>
      <c r="E59" s="402" t="s">
        <v>512</v>
      </c>
      <c r="F59" s="719">
        <v>6702.34</v>
      </c>
      <c r="G59" s="719"/>
      <c r="H59" s="402" t="s">
        <v>608</v>
      </c>
      <c r="I59" s="718" t="s">
        <v>5</v>
      </c>
      <c r="J59" s="718"/>
      <c r="K59" s="403" t="s">
        <v>606</v>
      </c>
      <c r="L59" s="404">
        <v>3478197.14</v>
      </c>
      <c r="M59" s="405"/>
      <c r="N59" s="406"/>
    </row>
    <row r="60" spans="1:14" ht="29.25" customHeight="1" x14ac:dyDescent="0.2">
      <c r="A60" s="343" t="s">
        <v>648</v>
      </c>
      <c r="B60" s="401" t="s">
        <v>649</v>
      </c>
      <c r="C60" s="401" t="s">
        <v>627</v>
      </c>
      <c r="D60" s="401" t="s">
        <v>628</v>
      </c>
      <c r="E60" s="402" t="s">
        <v>512</v>
      </c>
      <c r="F60" s="719">
        <v>3472.5</v>
      </c>
      <c r="G60" s="719"/>
      <c r="H60" s="402" t="s">
        <v>608</v>
      </c>
      <c r="I60" s="718" t="s">
        <v>5</v>
      </c>
      <c r="J60" s="718"/>
      <c r="K60" s="403" t="s">
        <v>606</v>
      </c>
      <c r="L60" s="404">
        <v>3481669.64</v>
      </c>
      <c r="M60" s="405"/>
      <c r="N60" s="406"/>
    </row>
    <row r="61" spans="1:14" ht="29.25" hidden="1" customHeight="1" x14ac:dyDescent="0.2">
      <c r="A61" s="343" t="s">
        <v>648</v>
      </c>
      <c r="B61" s="401" t="s">
        <v>649</v>
      </c>
      <c r="C61" s="401" t="s">
        <v>629</v>
      </c>
      <c r="D61" s="401" t="s">
        <v>630</v>
      </c>
      <c r="E61" s="402" t="s">
        <v>512</v>
      </c>
      <c r="F61" s="719">
        <v>2500</v>
      </c>
      <c r="G61" s="719"/>
      <c r="H61" s="402" t="s">
        <v>608</v>
      </c>
      <c r="I61" s="718" t="s">
        <v>5</v>
      </c>
      <c r="J61" s="718"/>
      <c r="K61" s="403" t="s">
        <v>606</v>
      </c>
      <c r="L61" s="404">
        <v>3484169.64</v>
      </c>
      <c r="M61" s="405"/>
      <c r="N61" s="406"/>
    </row>
    <row r="62" spans="1:14" ht="29.25" hidden="1" customHeight="1" x14ac:dyDescent="0.2">
      <c r="A62" s="343" t="s">
        <v>648</v>
      </c>
      <c r="B62" s="401" t="s">
        <v>649</v>
      </c>
      <c r="C62" s="401" t="s">
        <v>603</v>
      </c>
      <c r="D62" s="401" t="s">
        <v>631</v>
      </c>
      <c r="E62" s="402" t="s">
        <v>512</v>
      </c>
      <c r="F62" s="719">
        <v>1160445</v>
      </c>
      <c r="G62" s="719"/>
      <c r="H62" s="402" t="s">
        <v>608</v>
      </c>
      <c r="I62" s="718" t="s">
        <v>5</v>
      </c>
      <c r="J62" s="718"/>
      <c r="K62" s="403" t="s">
        <v>606</v>
      </c>
      <c r="L62" s="404">
        <v>4644614.6399999997</v>
      </c>
      <c r="M62" s="405"/>
      <c r="N62" s="406"/>
    </row>
    <row r="63" spans="1:14" ht="29.25" customHeight="1" x14ac:dyDescent="0.2">
      <c r="A63" s="343" t="s">
        <v>648</v>
      </c>
      <c r="B63" s="401" t="s">
        <v>649</v>
      </c>
      <c r="C63" s="401" t="s">
        <v>632</v>
      </c>
      <c r="D63" s="401" t="s">
        <v>633</v>
      </c>
      <c r="E63" s="402" t="s">
        <v>512</v>
      </c>
      <c r="F63" s="719">
        <v>10878.01</v>
      </c>
      <c r="G63" s="719"/>
      <c r="H63" s="402" t="s">
        <v>608</v>
      </c>
      <c r="I63" s="718" t="s">
        <v>5</v>
      </c>
      <c r="J63" s="718"/>
      <c r="K63" s="403" t="s">
        <v>606</v>
      </c>
      <c r="L63" s="404">
        <v>4655492.6500000004</v>
      </c>
      <c r="M63" s="405"/>
      <c r="N63" s="406"/>
    </row>
    <row r="64" spans="1:14" ht="29.25" customHeight="1" x14ac:dyDescent="0.2">
      <c r="A64" s="343" t="s">
        <v>648</v>
      </c>
      <c r="B64" s="401" t="s">
        <v>649</v>
      </c>
      <c r="C64" s="401" t="s">
        <v>609</v>
      </c>
      <c r="D64" s="401" t="s">
        <v>634</v>
      </c>
      <c r="E64" s="402" t="s">
        <v>512</v>
      </c>
      <c r="F64" s="719">
        <v>6824.54</v>
      </c>
      <c r="G64" s="719"/>
      <c r="H64" s="402" t="s">
        <v>608</v>
      </c>
      <c r="I64" s="718" t="s">
        <v>5</v>
      </c>
      <c r="J64" s="718"/>
      <c r="K64" s="403" t="s">
        <v>606</v>
      </c>
      <c r="L64" s="404">
        <v>4662317.1900000004</v>
      </c>
      <c r="M64" s="405"/>
      <c r="N64" s="406"/>
    </row>
    <row r="65" spans="1:14" ht="29.25" customHeight="1" x14ac:dyDescent="0.2">
      <c r="A65" s="343" t="s">
        <v>648</v>
      </c>
      <c r="B65" s="401" t="s">
        <v>649</v>
      </c>
      <c r="C65" s="401" t="s">
        <v>609</v>
      </c>
      <c r="D65" s="401" t="s">
        <v>635</v>
      </c>
      <c r="E65" s="402" t="s">
        <v>512</v>
      </c>
      <c r="F65" s="717">
        <v>249.87</v>
      </c>
      <c r="G65" s="717"/>
      <c r="H65" s="402" t="s">
        <v>608</v>
      </c>
      <c r="I65" s="718" t="s">
        <v>5</v>
      </c>
      <c r="J65" s="718"/>
      <c r="K65" s="403" t="s">
        <v>606</v>
      </c>
      <c r="L65" s="404">
        <v>4662567.0599999996</v>
      </c>
      <c r="M65" s="405"/>
      <c r="N65" s="406"/>
    </row>
    <row r="66" spans="1:14" ht="29.25" customHeight="1" x14ac:dyDescent="0.2">
      <c r="A66" s="343" t="s">
        <v>648</v>
      </c>
      <c r="B66" s="401" t="s">
        <v>649</v>
      </c>
      <c r="C66" s="401" t="s">
        <v>609</v>
      </c>
      <c r="D66" s="401" t="s">
        <v>636</v>
      </c>
      <c r="E66" s="402" t="s">
        <v>512</v>
      </c>
      <c r="F66" s="719">
        <v>1685.19</v>
      </c>
      <c r="G66" s="719"/>
      <c r="H66" s="402" t="s">
        <v>608</v>
      </c>
      <c r="I66" s="718" t="s">
        <v>5</v>
      </c>
      <c r="J66" s="718"/>
      <c r="K66" s="403" t="s">
        <v>606</v>
      </c>
      <c r="L66" s="404">
        <v>4664252.25</v>
      </c>
      <c r="M66" s="405"/>
      <c r="N66" s="406"/>
    </row>
    <row r="67" spans="1:14" ht="29.25" customHeight="1" x14ac:dyDescent="0.2">
      <c r="A67" s="343" t="s">
        <v>648</v>
      </c>
      <c r="B67" s="401" t="s">
        <v>649</v>
      </c>
      <c r="C67" s="401" t="s">
        <v>637</v>
      </c>
      <c r="D67" s="401" t="s">
        <v>638</v>
      </c>
      <c r="E67" s="402" t="s">
        <v>512</v>
      </c>
      <c r="F67" s="719">
        <v>1649673.25</v>
      </c>
      <c r="G67" s="719"/>
      <c r="H67" s="402" t="s">
        <v>608</v>
      </c>
      <c r="I67" s="718" t="s">
        <v>5</v>
      </c>
      <c r="J67" s="718"/>
      <c r="K67" s="403" t="s">
        <v>606</v>
      </c>
      <c r="L67" s="404">
        <v>6313925.5</v>
      </c>
      <c r="M67" s="405"/>
      <c r="N67" s="406"/>
    </row>
    <row r="68" spans="1:14" ht="29.25" customHeight="1" x14ac:dyDescent="0.2">
      <c r="A68" s="343" t="s">
        <v>648</v>
      </c>
      <c r="B68" s="401" t="s">
        <v>649</v>
      </c>
      <c r="C68" s="401" t="s">
        <v>609</v>
      </c>
      <c r="D68" s="401" t="s">
        <v>650</v>
      </c>
      <c r="E68" s="402" t="s">
        <v>512</v>
      </c>
      <c r="F68" s="717">
        <v>184.11</v>
      </c>
      <c r="G68" s="717"/>
      <c r="H68" s="402" t="s">
        <v>608</v>
      </c>
      <c r="I68" s="718" t="s">
        <v>5</v>
      </c>
      <c r="J68" s="718"/>
      <c r="K68" s="403" t="s">
        <v>606</v>
      </c>
      <c r="L68" s="404">
        <v>6314109.6100000003</v>
      </c>
      <c r="M68" s="405"/>
      <c r="N68" s="406"/>
    </row>
    <row r="69" spans="1:14" ht="29.25" customHeight="1" x14ac:dyDescent="0.2">
      <c r="A69" s="343" t="s">
        <v>648</v>
      </c>
      <c r="B69" s="401" t="s">
        <v>649</v>
      </c>
      <c r="C69" s="401" t="s">
        <v>609</v>
      </c>
      <c r="D69" s="401" t="s">
        <v>639</v>
      </c>
      <c r="E69" s="402" t="s">
        <v>512</v>
      </c>
      <c r="F69" s="717">
        <v>277.23</v>
      </c>
      <c r="G69" s="717"/>
      <c r="H69" s="402" t="s">
        <v>608</v>
      </c>
      <c r="I69" s="718" t="s">
        <v>5</v>
      </c>
      <c r="J69" s="718"/>
      <c r="K69" s="403" t="s">
        <v>606</v>
      </c>
      <c r="L69" s="404">
        <v>6314386.8399999999</v>
      </c>
      <c r="M69" s="405"/>
      <c r="N69" s="406"/>
    </row>
    <row r="70" spans="1:14" ht="29.25" customHeight="1" x14ac:dyDescent="0.2">
      <c r="A70" s="343" t="s">
        <v>648</v>
      </c>
      <c r="B70" s="401" t="s">
        <v>649</v>
      </c>
      <c r="C70" s="401" t="s">
        <v>627</v>
      </c>
      <c r="D70" s="401" t="s">
        <v>640</v>
      </c>
      <c r="E70" s="402" t="s">
        <v>512</v>
      </c>
      <c r="F70" s="719">
        <v>2527.98</v>
      </c>
      <c r="G70" s="719"/>
      <c r="H70" s="402" t="s">
        <v>608</v>
      </c>
      <c r="I70" s="718" t="s">
        <v>5</v>
      </c>
      <c r="J70" s="718"/>
      <c r="K70" s="403" t="s">
        <v>606</v>
      </c>
      <c r="L70" s="404">
        <v>6316914.8200000003</v>
      </c>
      <c r="M70" s="405"/>
      <c r="N70" s="406"/>
    </row>
    <row r="71" spans="1:14" ht="29.25" customHeight="1" x14ac:dyDescent="0.2">
      <c r="A71" s="343" t="s">
        <v>648</v>
      </c>
      <c r="B71" s="401" t="s">
        <v>649</v>
      </c>
      <c r="C71" s="401" t="s">
        <v>603</v>
      </c>
      <c r="D71" s="401" t="s">
        <v>641</v>
      </c>
      <c r="E71" s="402" t="s">
        <v>512</v>
      </c>
      <c r="F71" s="719">
        <v>1403.53</v>
      </c>
      <c r="G71" s="719"/>
      <c r="H71" s="402" t="s">
        <v>608</v>
      </c>
      <c r="I71" s="718" t="s">
        <v>5</v>
      </c>
      <c r="J71" s="718"/>
      <c r="K71" s="403" t="s">
        <v>606</v>
      </c>
      <c r="L71" s="404">
        <v>6318318.3499999996</v>
      </c>
      <c r="M71" s="405"/>
      <c r="N71" s="406"/>
    </row>
    <row r="72" spans="1:14" ht="29.25" customHeight="1" x14ac:dyDescent="0.2">
      <c r="A72" s="343" t="s">
        <v>648</v>
      </c>
      <c r="B72" s="401" t="s">
        <v>649</v>
      </c>
      <c r="C72" s="401" t="s">
        <v>609</v>
      </c>
      <c r="D72" s="401" t="s">
        <v>642</v>
      </c>
      <c r="E72" s="402" t="s">
        <v>512</v>
      </c>
      <c r="F72" s="719">
        <v>1113.3599999999999</v>
      </c>
      <c r="G72" s="719"/>
      <c r="H72" s="402" t="s">
        <v>608</v>
      </c>
      <c r="I72" s="718" t="s">
        <v>5</v>
      </c>
      <c r="J72" s="718"/>
      <c r="K72" s="403" t="s">
        <v>606</v>
      </c>
      <c r="L72" s="404">
        <v>6319431.71</v>
      </c>
      <c r="M72" s="405"/>
      <c r="N72" s="406"/>
    </row>
    <row r="73" spans="1:14" ht="29.25" customHeight="1" x14ac:dyDescent="0.2">
      <c r="A73" s="343" t="s">
        <v>648</v>
      </c>
      <c r="B73" s="401" t="s">
        <v>649</v>
      </c>
      <c r="C73" s="401" t="s">
        <v>603</v>
      </c>
      <c r="D73" s="401" t="s">
        <v>643</v>
      </c>
      <c r="E73" s="402" t="s">
        <v>512</v>
      </c>
      <c r="F73" s="719">
        <v>8332.06</v>
      </c>
      <c r="G73" s="719"/>
      <c r="H73" s="402" t="s">
        <v>608</v>
      </c>
      <c r="I73" s="718" t="s">
        <v>5</v>
      </c>
      <c r="J73" s="718"/>
      <c r="K73" s="403" t="s">
        <v>606</v>
      </c>
      <c r="L73" s="404">
        <v>6327763.7699999996</v>
      </c>
      <c r="M73" s="405"/>
      <c r="N73" s="406"/>
    </row>
    <row r="74" spans="1:14" ht="29.25" customHeight="1" x14ac:dyDescent="0.2">
      <c r="A74" s="343" t="s">
        <v>648</v>
      </c>
      <c r="B74" s="401" t="s">
        <v>649</v>
      </c>
      <c r="C74" s="401" t="s">
        <v>632</v>
      </c>
      <c r="D74" s="401" t="s">
        <v>644</v>
      </c>
      <c r="E74" s="402" t="s">
        <v>512</v>
      </c>
      <c r="F74" s="719">
        <v>33619.72</v>
      </c>
      <c r="G74" s="719"/>
      <c r="H74" s="402" t="s">
        <v>608</v>
      </c>
      <c r="I74" s="718" t="s">
        <v>5</v>
      </c>
      <c r="J74" s="718"/>
      <c r="K74" s="403" t="s">
        <v>606</v>
      </c>
      <c r="L74" s="404">
        <v>6361383.4900000002</v>
      </c>
      <c r="M74" s="405"/>
      <c r="N74" s="406"/>
    </row>
    <row r="75" spans="1:14" ht="29.25" customHeight="1" x14ac:dyDescent="0.2">
      <c r="A75" s="343" t="s">
        <v>648</v>
      </c>
      <c r="B75" s="401" t="s">
        <v>649</v>
      </c>
      <c r="C75" s="401" t="s">
        <v>609</v>
      </c>
      <c r="D75" s="401" t="s">
        <v>645</v>
      </c>
      <c r="E75" s="402" t="s">
        <v>512</v>
      </c>
      <c r="F75" s="719">
        <v>37535.99</v>
      </c>
      <c r="G75" s="719"/>
      <c r="H75" s="402" t="s">
        <v>608</v>
      </c>
      <c r="I75" s="718" t="s">
        <v>5</v>
      </c>
      <c r="J75" s="718"/>
      <c r="K75" s="403" t="s">
        <v>606</v>
      </c>
      <c r="L75" s="404">
        <v>6398919.4800000004</v>
      </c>
      <c r="M75" s="405"/>
      <c r="N75" s="406"/>
    </row>
    <row r="76" spans="1:14" ht="29.25" customHeight="1" x14ac:dyDescent="0.2">
      <c r="A76" s="343" t="s">
        <v>648</v>
      </c>
      <c r="B76" s="401" t="s">
        <v>649</v>
      </c>
      <c r="C76" s="401" t="s">
        <v>627</v>
      </c>
      <c r="D76" s="401" t="s">
        <v>640</v>
      </c>
      <c r="E76" s="402" t="s">
        <v>512</v>
      </c>
      <c r="F76" s="719">
        <v>6436.98</v>
      </c>
      <c r="G76" s="719"/>
      <c r="H76" s="402" t="s">
        <v>608</v>
      </c>
      <c r="I76" s="718" t="s">
        <v>5</v>
      </c>
      <c r="J76" s="718"/>
      <c r="K76" s="403" t="s">
        <v>606</v>
      </c>
      <c r="L76" s="404">
        <v>6405356.46</v>
      </c>
      <c r="M76" s="405"/>
      <c r="N76" s="406"/>
    </row>
    <row r="77" spans="1:14" ht="29.25" customHeight="1" x14ac:dyDescent="0.2">
      <c r="A77" s="343" t="s">
        <v>648</v>
      </c>
      <c r="B77" s="401" t="s">
        <v>649</v>
      </c>
      <c r="C77" s="401" t="s">
        <v>627</v>
      </c>
      <c r="D77" s="401" t="s">
        <v>640</v>
      </c>
      <c r="E77" s="402" t="s">
        <v>512</v>
      </c>
      <c r="F77" s="719">
        <v>6436.98</v>
      </c>
      <c r="G77" s="719"/>
      <c r="H77" s="402" t="s">
        <v>608</v>
      </c>
      <c r="I77" s="718" t="s">
        <v>5</v>
      </c>
      <c r="J77" s="718"/>
      <c r="K77" s="403" t="s">
        <v>606</v>
      </c>
      <c r="L77" s="404">
        <v>6411793.4400000004</v>
      </c>
      <c r="M77" s="405"/>
      <c r="N77" s="406"/>
    </row>
    <row r="78" spans="1:14" ht="29.25" customHeight="1" x14ac:dyDescent="0.2">
      <c r="A78" s="343" t="s">
        <v>648</v>
      </c>
      <c r="B78" s="401" t="s">
        <v>649</v>
      </c>
      <c r="C78" s="401" t="s">
        <v>603</v>
      </c>
      <c r="D78" s="401" t="s">
        <v>646</v>
      </c>
      <c r="E78" s="402" t="s">
        <v>512</v>
      </c>
      <c r="F78" s="719">
        <v>31261.57</v>
      </c>
      <c r="G78" s="719"/>
      <c r="H78" s="402" t="s">
        <v>608</v>
      </c>
      <c r="I78" s="718" t="s">
        <v>5</v>
      </c>
      <c r="J78" s="718"/>
      <c r="K78" s="403" t="s">
        <v>606</v>
      </c>
      <c r="L78" s="404">
        <v>6443055.0099999998</v>
      </c>
      <c r="M78" s="405"/>
      <c r="N78" s="406"/>
    </row>
    <row r="79" spans="1:14" ht="29.25" customHeight="1" x14ac:dyDescent="0.2">
      <c r="A79" s="343" t="s">
        <v>648</v>
      </c>
      <c r="B79" s="401" t="s">
        <v>649</v>
      </c>
      <c r="C79" s="401" t="s">
        <v>609</v>
      </c>
      <c r="D79" s="401" t="s">
        <v>647</v>
      </c>
      <c r="E79" s="402" t="s">
        <v>512</v>
      </c>
      <c r="F79" s="717">
        <v>496.75</v>
      </c>
      <c r="G79" s="717"/>
      <c r="H79" s="402" t="s">
        <v>608</v>
      </c>
      <c r="I79" s="718" t="s">
        <v>5</v>
      </c>
      <c r="J79" s="718"/>
      <c r="K79" s="403" t="s">
        <v>606</v>
      </c>
      <c r="L79" s="404">
        <v>6443551.7599999998</v>
      </c>
      <c r="M79" s="405"/>
      <c r="N79" s="406"/>
    </row>
    <row r="80" spans="1:14" ht="29.25" hidden="1" customHeight="1" x14ac:dyDescent="0.2">
      <c r="A80" s="343" t="s">
        <v>651</v>
      </c>
      <c r="B80" s="401" t="s">
        <v>652</v>
      </c>
      <c r="C80" s="401" t="s">
        <v>603</v>
      </c>
      <c r="D80" s="401" t="s">
        <v>604</v>
      </c>
      <c r="E80" s="402" t="s">
        <v>512</v>
      </c>
      <c r="F80" s="719">
        <v>14404.5</v>
      </c>
      <c r="G80" s="719"/>
      <c r="H80" s="402" t="s">
        <v>605</v>
      </c>
      <c r="I80" s="718" t="s">
        <v>5</v>
      </c>
      <c r="J80" s="718"/>
      <c r="K80" s="403" t="s">
        <v>606</v>
      </c>
      <c r="L80" s="404">
        <v>6457956.2599999998</v>
      </c>
      <c r="M80" s="405"/>
      <c r="N80" s="406"/>
    </row>
    <row r="81" spans="1:14" ht="29.25" customHeight="1" x14ac:dyDescent="0.2">
      <c r="A81" s="343" t="s">
        <v>651</v>
      </c>
      <c r="B81" s="401" t="s">
        <v>652</v>
      </c>
      <c r="C81" s="401" t="s">
        <v>603</v>
      </c>
      <c r="D81" s="401" t="s">
        <v>607</v>
      </c>
      <c r="E81" s="402" t="s">
        <v>512</v>
      </c>
      <c r="F81" s="719">
        <v>2118.67</v>
      </c>
      <c r="G81" s="719"/>
      <c r="H81" s="402" t="s">
        <v>608</v>
      </c>
      <c r="I81" s="718" t="s">
        <v>5</v>
      </c>
      <c r="J81" s="718"/>
      <c r="K81" s="403" t="s">
        <v>606</v>
      </c>
      <c r="L81" s="404">
        <v>6460074.9299999997</v>
      </c>
      <c r="M81" s="405"/>
      <c r="N81" s="406"/>
    </row>
    <row r="82" spans="1:14" ht="29.25" customHeight="1" x14ac:dyDescent="0.2">
      <c r="A82" s="343" t="s">
        <v>651</v>
      </c>
      <c r="B82" s="401" t="s">
        <v>652</v>
      </c>
      <c r="C82" s="401" t="s">
        <v>609</v>
      </c>
      <c r="D82" s="401" t="s">
        <v>610</v>
      </c>
      <c r="E82" s="402" t="s">
        <v>512</v>
      </c>
      <c r="F82" s="717">
        <v>657.65</v>
      </c>
      <c r="G82" s="717"/>
      <c r="H82" s="402" t="s">
        <v>608</v>
      </c>
      <c r="I82" s="718" t="s">
        <v>5</v>
      </c>
      <c r="J82" s="718"/>
      <c r="K82" s="403" t="s">
        <v>606</v>
      </c>
      <c r="L82" s="404">
        <v>6460732.5800000001</v>
      </c>
      <c r="M82" s="405"/>
      <c r="N82" s="406"/>
    </row>
    <row r="83" spans="1:14" ht="29.25" customHeight="1" x14ac:dyDescent="0.2">
      <c r="A83" s="343" t="s">
        <v>651</v>
      </c>
      <c r="B83" s="401" t="s">
        <v>652</v>
      </c>
      <c r="C83" s="401" t="s">
        <v>609</v>
      </c>
      <c r="D83" s="401" t="s">
        <v>611</v>
      </c>
      <c r="E83" s="402" t="s">
        <v>512</v>
      </c>
      <c r="F83" s="719">
        <v>198756.03</v>
      </c>
      <c r="G83" s="719"/>
      <c r="H83" s="402" t="s">
        <v>608</v>
      </c>
      <c r="I83" s="718" t="s">
        <v>5</v>
      </c>
      <c r="J83" s="718"/>
      <c r="K83" s="403" t="s">
        <v>606</v>
      </c>
      <c r="L83" s="404">
        <v>6659488.6100000003</v>
      </c>
      <c r="M83" s="405"/>
      <c r="N83" s="406"/>
    </row>
    <row r="84" spans="1:14" ht="29.25" customHeight="1" x14ac:dyDescent="0.2">
      <c r="A84" s="343" t="s">
        <v>651</v>
      </c>
      <c r="B84" s="401" t="s">
        <v>652</v>
      </c>
      <c r="C84" s="401" t="s">
        <v>609</v>
      </c>
      <c r="D84" s="401" t="s">
        <v>612</v>
      </c>
      <c r="E84" s="402" t="s">
        <v>512</v>
      </c>
      <c r="F84" s="719">
        <v>5358.42</v>
      </c>
      <c r="G84" s="719"/>
      <c r="H84" s="402" t="s">
        <v>608</v>
      </c>
      <c r="I84" s="718" t="s">
        <v>5</v>
      </c>
      <c r="J84" s="718"/>
      <c r="K84" s="403" t="s">
        <v>606</v>
      </c>
      <c r="L84" s="404">
        <v>6664847.0300000003</v>
      </c>
      <c r="M84" s="405"/>
      <c r="N84" s="406"/>
    </row>
    <row r="85" spans="1:14" ht="29.25" customHeight="1" x14ac:dyDescent="0.2">
      <c r="A85" s="343" t="s">
        <v>651</v>
      </c>
      <c r="B85" s="401" t="s">
        <v>652</v>
      </c>
      <c r="C85" s="401" t="s">
        <v>609</v>
      </c>
      <c r="D85" s="401" t="s">
        <v>613</v>
      </c>
      <c r="E85" s="402" t="s">
        <v>512</v>
      </c>
      <c r="F85" s="717">
        <v>280.35000000000002</v>
      </c>
      <c r="G85" s="717"/>
      <c r="H85" s="402" t="s">
        <v>608</v>
      </c>
      <c r="I85" s="718" t="s">
        <v>5</v>
      </c>
      <c r="J85" s="718"/>
      <c r="K85" s="403" t="s">
        <v>606</v>
      </c>
      <c r="L85" s="404">
        <v>6665127.3799999999</v>
      </c>
      <c r="M85" s="405"/>
      <c r="N85" s="406"/>
    </row>
    <row r="86" spans="1:14" ht="29.25" customHeight="1" x14ac:dyDescent="0.2">
      <c r="A86" s="343" t="s">
        <v>651</v>
      </c>
      <c r="B86" s="401" t="s">
        <v>652</v>
      </c>
      <c r="C86" s="401" t="s">
        <v>609</v>
      </c>
      <c r="D86" s="401" t="s">
        <v>614</v>
      </c>
      <c r="E86" s="402" t="s">
        <v>512</v>
      </c>
      <c r="F86" s="717">
        <v>280.35000000000002</v>
      </c>
      <c r="G86" s="717"/>
      <c r="H86" s="402" t="s">
        <v>608</v>
      </c>
      <c r="I86" s="718" t="s">
        <v>5</v>
      </c>
      <c r="J86" s="718"/>
      <c r="K86" s="403" t="s">
        <v>606</v>
      </c>
      <c r="L86" s="404">
        <v>6665407.7300000004</v>
      </c>
      <c r="M86" s="405"/>
      <c r="N86" s="406"/>
    </row>
    <row r="87" spans="1:14" ht="29.25" customHeight="1" x14ac:dyDescent="0.2">
      <c r="A87" s="343" t="s">
        <v>651</v>
      </c>
      <c r="B87" s="401" t="s">
        <v>652</v>
      </c>
      <c r="C87" s="401" t="s">
        <v>609</v>
      </c>
      <c r="D87" s="401" t="s">
        <v>615</v>
      </c>
      <c r="E87" s="402" t="s">
        <v>512</v>
      </c>
      <c r="F87" s="717">
        <v>280.35000000000002</v>
      </c>
      <c r="G87" s="717"/>
      <c r="H87" s="402" t="s">
        <v>608</v>
      </c>
      <c r="I87" s="718" t="s">
        <v>5</v>
      </c>
      <c r="J87" s="718"/>
      <c r="K87" s="403" t="s">
        <v>606</v>
      </c>
      <c r="L87" s="404">
        <v>6665688.0800000001</v>
      </c>
      <c r="M87" s="405"/>
      <c r="N87" s="406"/>
    </row>
    <row r="88" spans="1:14" ht="29.25" customHeight="1" x14ac:dyDescent="0.2">
      <c r="A88" s="343" t="s">
        <v>651</v>
      </c>
      <c r="B88" s="401" t="s">
        <v>652</v>
      </c>
      <c r="C88" s="401" t="s">
        <v>609</v>
      </c>
      <c r="D88" s="401" t="s">
        <v>616</v>
      </c>
      <c r="E88" s="402" t="s">
        <v>512</v>
      </c>
      <c r="F88" s="717">
        <v>280.35000000000002</v>
      </c>
      <c r="G88" s="717"/>
      <c r="H88" s="402" t="s">
        <v>608</v>
      </c>
      <c r="I88" s="718" t="s">
        <v>5</v>
      </c>
      <c r="J88" s="718"/>
      <c r="K88" s="403" t="s">
        <v>606</v>
      </c>
      <c r="L88" s="404">
        <v>6665968.4299999997</v>
      </c>
      <c r="M88" s="405"/>
      <c r="N88" s="406"/>
    </row>
    <row r="89" spans="1:14" ht="29.25" customHeight="1" x14ac:dyDescent="0.2">
      <c r="A89" s="343" t="s">
        <v>651</v>
      </c>
      <c r="B89" s="401" t="s">
        <v>652</v>
      </c>
      <c r="C89" s="401" t="s">
        <v>609</v>
      </c>
      <c r="D89" s="401" t="s">
        <v>617</v>
      </c>
      <c r="E89" s="402" t="s">
        <v>512</v>
      </c>
      <c r="F89" s="717">
        <v>280.35000000000002</v>
      </c>
      <c r="G89" s="717"/>
      <c r="H89" s="402" t="s">
        <v>608</v>
      </c>
      <c r="I89" s="718" t="s">
        <v>5</v>
      </c>
      <c r="J89" s="718"/>
      <c r="K89" s="403" t="s">
        <v>606</v>
      </c>
      <c r="L89" s="404">
        <v>6666248.7800000003</v>
      </c>
      <c r="M89" s="405"/>
      <c r="N89" s="406"/>
    </row>
    <row r="90" spans="1:14" ht="29.25" customHeight="1" x14ac:dyDescent="0.2">
      <c r="A90" s="343" t="s">
        <v>651</v>
      </c>
      <c r="B90" s="401" t="s">
        <v>652</v>
      </c>
      <c r="C90" s="401" t="s">
        <v>609</v>
      </c>
      <c r="D90" s="401" t="s">
        <v>618</v>
      </c>
      <c r="E90" s="402" t="s">
        <v>512</v>
      </c>
      <c r="F90" s="717">
        <v>280.35000000000002</v>
      </c>
      <c r="G90" s="717"/>
      <c r="H90" s="402" t="s">
        <v>608</v>
      </c>
      <c r="I90" s="718" t="s">
        <v>5</v>
      </c>
      <c r="J90" s="718"/>
      <c r="K90" s="403" t="s">
        <v>606</v>
      </c>
      <c r="L90" s="404">
        <v>6666529.1299999999</v>
      </c>
      <c r="M90" s="405"/>
      <c r="N90" s="406"/>
    </row>
    <row r="91" spans="1:14" ht="29.25" customHeight="1" x14ac:dyDescent="0.2">
      <c r="A91" s="343" t="s">
        <v>651</v>
      </c>
      <c r="B91" s="401" t="s">
        <v>652</v>
      </c>
      <c r="C91" s="401" t="s">
        <v>609</v>
      </c>
      <c r="D91" s="401" t="s">
        <v>619</v>
      </c>
      <c r="E91" s="402" t="s">
        <v>512</v>
      </c>
      <c r="F91" s="717">
        <v>280.35000000000002</v>
      </c>
      <c r="G91" s="717"/>
      <c r="H91" s="402" t="s">
        <v>608</v>
      </c>
      <c r="I91" s="718" t="s">
        <v>5</v>
      </c>
      <c r="J91" s="718"/>
      <c r="K91" s="403" t="s">
        <v>606</v>
      </c>
      <c r="L91" s="404">
        <v>6666809.4800000004</v>
      </c>
      <c r="M91" s="405"/>
      <c r="N91" s="406"/>
    </row>
    <row r="92" spans="1:14" ht="29.25" customHeight="1" x14ac:dyDescent="0.2">
      <c r="A92" s="343" t="s">
        <v>651</v>
      </c>
      <c r="B92" s="401" t="s">
        <v>652</v>
      </c>
      <c r="C92" s="401" t="s">
        <v>609</v>
      </c>
      <c r="D92" s="401" t="s">
        <v>620</v>
      </c>
      <c r="E92" s="402" t="s">
        <v>512</v>
      </c>
      <c r="F92" s="717">
        <v>280.35000000000002</v>
      </c>
      <c r="G92" s="717"/>
      <c r="H92" s="402" t="s">
        <v>608</v>
      </c>
      <c r="I92" s="718" t="s">
        <v>5</v>
      </c>
      <c r="J92" s="718"/>
      <c r="K92" s="403" t="s">
        <v>606</v>
      </c>
      <c r="L92" s="404">
        <v>6667089.8300000001</v>
      </c>
      <c r="M92" s="405"/>
      <c r="N92" s="406"/>
    </row>
    <row r="93" spans="1:14" ht="29.25" customHeight="1" x14ac:dyDescent="0.2">
      <c r="A93" s="343" t="s">
        <v>651</v>
      </c>
      <c r="B93" s="401" t="s">
        <v>652</v>
      </c>
      <c r="C93" s="401" t="s">
        <v>609</v>
      </c>
      <c r="D93" s="401" t="s">
        <v>621</v>
      </c>
      <c r="E93" s="402" t="s">
        <v>512</v>
      </c>
      <c r="F93" s="717">
        <v>280.35000000000002</v>
      </c>
      <c r="G93" s="717"/>
      <c r="H93" s="402" t="s">
        <v>608</v>
      </c>
      <c r="I93" s="718" t="s">
        <v>5</v>
      </c>
      <c r="J93" s="718"/>
      <c r="K93" s="403" t="s">
        <v>606</v>
      </c>
      <c r="L93" s="404">
        <v>6667370.1799999997</v>
      </c>
      <c r="M93" s="405"/>
      <c r="N93" s="406"/>
    </row>
    <row r="94" spans="1:14" ht="29.25" customHeight="1" x14ac:dyDescent="0.2">
      <c r="A94" s="343" t="s">
        <v>651</v>
      </c>
      <c r="B94" s="401" t="s">
        <v>652</v>
      </c>
      <c r="C94" s="401" t="s">
        <v>609</v>
      </c>
      <c r="D94" s="401" t="s">
        <v>622</v>
      </c>
      <c r="E94" s="402" t="s">
        <v>512</v>
      </c>
      <c r="F94" s="717">
        <v>280.35000000000002</v>
      </c>
      <c r="G94" s="717"/>
      <c r="H94" s="402" t="s">
        <v>608</v>
      </c>
      <c r="I94" s="718" t="s">
        <v>5</v>
      </c>
      <c r="J94" s="718"/>
      <c r="K94" s="403" t="s">
        <v>606</v>
      </c>
      <c r="L94" s="404">
        <v>6667650.5300000003</v>
      </c>
      <c r="M94" s="405"/>
      <c r="N94" s="406"/>
    </row>
    <row r="95" spans="1:14" ht="29.25" customHeight="1" x14ac:dyDescent="0.2">
      <c r="A95" s="343" t="s">
        <v>651</v>
      </c>
      <c r="B95" s="401" t="s">
        <v>652</v>
      </c>
      <c r="C95" s="401" t="s">
        <v>609</v>
      </c>
      <c r="D95" s="401" t="s">
        <v>623</v>
      </c>
      <c r="E95" s="402" t="s">
        <v>512</v>
      </c>
      <c r="F95" s="719">
        <v>13837.37</v>
      </c>
      <c r="G95" s="719"/>
      <c r="H95" s="402" t="s">
        <v>608</v>
      </c>
      <c r="I95" s="718" t="s">
        <v>5</v>
      </c>
      <c r="J95" s="718"/>
      <c r="K95" s="403" t="s">
        <v>606</v>
      </c>
      <c r="L95" s="404">
        <v>6681487.9000000004</v>
      </c>
      <c r="M95" s="405"/>
      <c r="N95" s="406"/>
    </row>
    <row r="96" spans="1:14" ht="29.25" customHeight="1" x14ac:dyDescent="0.2">
      <c r="A96" s="343" t="s">
        <v>651</v>
      </c>
      <c r="B96" s="401" t="s">
        <v>652</v>
      </c>
      <c r="C96" s="401" t="s">
        <v>624</v>
      </c>
      <c r="D96" s="401" t="s">
        <v>625</v>
      </c>
      <c r="E96" s="402" t="s">
        <v>512</v>
      </c>
      <c r="F96" s="719">
        <v>1790.33</v>
      </c>
      <c r="G96" s="719"/>
      <c r="H96" s="402" t="s">
        <v>608</v>
      </c>
      <c r="I96" s="718" t="s">
        <v>5</v>
      </c>
      <c r="J96" s="718"/>
      <c r="K96" s="403" t="s">
        <v>606</v>
      </c>
      <c r="L96" s="404">
        <v>6683278.2300000004</v>
      </c>
      <c r="M96" s="405"/>
      <c r="N96" s="406"/>
    </row>
    <row r="97" spans="1:14" ht="29.25" customHeight="1" x14ac:dyDescent="0.2">
      <c r="A97" s="343" t="s">
        <v>651</v>
      </c>
      <c r="B97" s="401" t="s">
        <v>652</v>
      </c>
      <c r="C97" s="401" t="s">
        <v>609</v>
      </c>
      <c r="D97" s="401" t="s">
        <v>626</v>
      </c>
      <c r="E97" s="402" t="s">
        <v>512</v>
      </c>
      <c r="F97" s="719">
        <v>6702.34</v>
      </c>
      <c r="G97" s="719"/>
      <c r="H97" s="402" t="s">
        <v>608</v>
      </c>
      <c r="I97" s="718" t="s">
        <v>5</v>
      </c>
      <c r="J97" s="718"/>
      <c r="K97" s="403" t="s">
        <v>606</v>
      </c>
      <c r="L97" s="404">
        <v>6689980.5700000003</v>
      </c>
      <c r="M97" s="405"/>
      <c r="N97" s="406"/>
    </row>
    <row r="98" spans="1:14" ht="29.25" customHeight="1" x14ac:dyDescent="0.2">
      <c r="A98" s="343" t="s">
        <v>651</v>
      </c>
      <c r="B98" s="401" t="s">
        <v>652</v>
      </c>
      <c r="C98" s="401" t="s">
        <v>627</v>
      </c>
      <c r="D98" s="401" t="s">
        <v>628</v>
      </c>
      <c r="E98" s="402" t="s">
        <v>512</v>
      </c>
      <c r="F98" s="719">
        <v>3472.5</v>
      </c>
      <c r="G98" s="719"/>
      <c r="H98" s="402" t="s">
        <v>608</v>
      </c>
      <c r="I98" s="718" t="s">
        <v>5</v>
      </c>
      <c r="J98" s="718"/>
      <c r="K98" s="403" t="s">
        <v>606</v>
      </c>
      <c r="L98" s="404">
        <v>6693453.0700000003</v>
      </c>
      <c r="M98" s="405"/>
      <c r="N98" s="406"/>
    </row>
    <row r="99" spans="1:14" ht="29.25" hidden="1" customHeight="1" x14ac:dyDescent="0.2">
      <c r="A99" s="343" t="s">
        <v>651</v>
      </c>
      <c r="B99" s="401" t="s">
        <v>652</v>
      </c>
      <c r="C99" s="401" t="s">
        <v>629</v>
      </c>
      <c r="D99" s="401" t="s">
        <v>630</v>
      </c>
      <c r="E99" s="402" t="s">
        <v>512</v>
      </c>
      <c r="F99" s="719">
        <v>2500</v>
      </c>
      <c r="G99" s="719"/>
      <c r="H99" s="402" t="s">
        <v>608</v>
      </c>
      <c r="I99" s="718" t="s">
        <v>5</v>
      </c>
      <c r="J99" s="718"/>
      <c r="K99" s="403" t="s">
        <v>606</v>
      </c>
      <c r="L99" s="404">
        <v>6695953.0700000003</v>
      </c>
      <c r="M99" s="405"/>
      <c r="N99" s="406"/>
    </row>
    <row r="100" spans="1:14" ht="29.25" hidden="1" customHeight="1" x14ac:dyDescent="0.2">
      <c r="A100" s="343" t="s">
        <v>651</v>
      </c>
      <c r="B100" s="401" t="s">
        <v>652</v>
      </c>
      <c r="C100" s="401" t="s">
        <v>603</v>
      </c>
      <c r="D100" s="401" t="s">
        <v>631</v>
      </c>
      <c r="E100" s="402" t="s">
        <v>512</v>
      </c>
      <c r="F100" s="719">
        <v>1160445</v>
      </c>
      <c r="G100" s="719"/>
      <c r="H100" s="402" t="s">
        <v>608</v>
      </c>
      <c r="I100" s="718" t="s">
        <v>5</v>
      </c>
      <c r="J100" s="718"/>
      <c r="K100" s="403" t="s">
        <v>606</v>
      </c>
      <c r="L100" s="404">
        <v>7856398.0700000003</v>
      </c>
      <c r="M100" s="405"/>
      <c r="N100" s="406"/>
    </row>
    <row r="101" spans="1:14" ht="29.25" customHeight="1" x14ac:dyDescent="0.2">
      <c r="A101" s="343" t="s">
        <v>651</v>
      </c>
      <c r="B101" s="401" t="s">
        <v>652</v>
      </c>
      <c r="C101" s="401" t="s">
        <v>609</v>
      </c>
      <c r="D101" s="401" t="s">
        <v>653</v>
      </c>
      <c r="E101" s="402" t="s">
        <v>512</v>
      </c>
      <c r="F101" s="719">
        <v>2023.59</v>
      </c>
      <c r="G101" s="719"/>
      <c r="H101" s="402" t="s">
        <v>608</v>
      </c>
      <c r="I101" s="718" t="s">
        <v>5</v>
      </c>
      <c r="J101" s="718"/>
      <c r="K101" s="403" t="s">
        <v>606</v>
      </c>
      <c r="L101" s="404">
        <v>7858421.6600000001</v>
      </c>
      <c r="M101" s="405"/>
      <c r="N101" s="406"/>
    </row>
    <row r="102" spans="1:14" ht="29.25" customHeight="1" x14ac:dyDescent="0.2">
      <c r="A102" s="343" t="s">
        <v>651</v>
      </c>
      <c r="B102" s="401" t="s">
        <v>652</v>
      </c>
      <c r="C102" s="401" t="s">
        <v>632</v>
      </c>
      <c r="D102" s="401" t="s">
        <v>633</v>
      </c>
      <c r="E102" s="402" t="s">
        <v>512</v>
      </c>
      <c r="F102" s="719">
        <v>10878.01</v>
      </c>
      <c r="G102" s="719"/>
      <c r="H102" s="402" t="s">
        <v>608</v>
      </c>
      <c r="I102" s="718" t="s">
        <v>5</v>
      </c>
      <c r="J102" s="718"/>
      <c r="K102" s="403" t="s">
        <v>606</v>
      </c>
      <c r="L102" s="404">
        <v>7869299.6699999999</v>
      </c>
      <c r="M102" s="405"/>
      <c r="N102" s="406"/>
    </row>
    <row r="103" spans="1:14" ht="29.25" customHeight="1" x14ac:dyDescent="0.2">
      <c r="A103" s="343" t="s">
        <v>651</v>
      </c>
      <c r="B103" s="401" t="s">
        <v>652</v>
      </c>
      <c r="C103" s="401" t="s">
        <v>609</v>
      </c>
      <c r="D103" s="401" t="s">
        <v>654</v>
      </c>
      <c r="E103" s="402" t="s">
        <v>512</v>
      </c>
      <c r="F103" s="719">
        <v>2360.8000000000002</v>
      </c>
      <c r="G103" s="719"/>
      <c r="H103" s="402" t="s">
        <v>608</v>
      </c>
      <c r="I103" s="718" t="s">
        <v>5</v>
      </c>
      <c r="J103" s="718"/>
      <c r="K103" s="403" t="s">
        <v>606</v>
      </c>
      <c r="L103" s="404">
        <v>7871660.4699999997</v>
      </c>
      <c r="M103" s="405"/>
      <c r="N103" s="406"/>
    </row>
    <row r="104" spans="1:14" ht="29.25" customHeight="1" x14ac:dyDescent="0.2">
      <c r="A104" s="343" t="s">
        <v>651</v>
      </c>
      <c r="B104" s="401" t="s">
        <v>652</v>
      </c>
      <c r="C104" s="401" t="s">
        <v>609</v>
      </c>
      <c r="D104" s="401" t="s">
        <v>634</v>
      </c>
      <c r="E104" s="402" t="s">
        <v>512</v>
      </c>
      <c r="F104" s="719">
        <v>6824.54</v>
      </c>
      <c r="G104" s="719"/>
      <c r="H104" s="402" t="s">
        <v>608</v>
      </c>
      <c r="I104" s="718" t="s">
        <v>5</v>
      </c>
      <c r="J104" s="718"/>
      <c r="K104" s="403" t="s">
        <v>606</v>
      </c>
      <c r="L104" s="404">
        <v>7878485.0099999998</v>
      </c>
      <c r="M104" s="405"/>
      <c r="N104" s="406"/>
    </row>
    <row r="105" spans="1:14" ht="29.25" customHeight="1" x14ac:dyDescent="0.2">
      <c r="A105" s="343" t="s">
        <v>651</v>
      </c>
      <c r="B105" s="401" t="s">
        <v>652</v>
      </c>
      <c r="C105" s="401" t="s">
        <v>609</v>
      </c>
      <c r="D105" s="401" t="s">
        <v>635</v>
      </c>
      <c r="E105" s="402" t="s">
        <v>512</v>
      </c>
      <c r="F105" s="717">
        <v>249.87</v>
      </c>
      <c r="G105" s="717"/>
      <c r="H105" s="402" t="s">
        <v>608</v>
      </c>
      <c r="I105" s="718" t="s">
        <v>5</v>
      </c>
      <c r="J105" s="718"/>
      <c r="K105" s="403" t="s">
        <v>606</v>
      </c>
      <c r="L105" s="404">
        <v>7878734.8799999999</v>
      </c>
      <c r="M105" s="405"/>
      <c r="N105" s="406"/>
    </row>
    <row r="106" spans="1:14" ht="29.25" customHeight="1" x14ac:dyDescent="0.2">
      <c r="A106" s="343" t="s">
        <v>651</v>
      </c>
      <c r="B106" s="401" t="s">
        <v>652</v>
      </c>
      <c r="C106" s="401" t="s">
        <v>609</v>
      </c>
      <c r="D106" s="401" t="s">
        <v>636</v>
      </c>
      <c r="E106" s="402" t="s">
        <v>512</v>
      </c>
      <c r="F106" s="719">
        <v>1685.19</v>
      </c>
      <c r="G106" s="719"/>
      <c r="H106" s="402" t="s">
        <v>608</v>
      </c>
      <c r="I106" s="718" t="s">
        <v>5</v>
      </c>
      <c r="J106" s="718"/>
      <c r="K106" s="403" t="s">
        <v>606</v>
      </c>
      <c r="L106" s="404">
        <v>7880420.0700000003</v>
      </c>
      <c r="M106" s="405"/>
      <c r="N106" s="406"/>
    </row>
    <row r="107" spans="1:14" ht="29.25" customHeight="1" x14ac:dyDescent="0.2">
      <c r="A107" s="343" t="s">
        <v>651</v>
      </c>
      <c r="B107" s="401" t="s">
        <v>652</v>
      </c>
      <c r="C107" s="401" t="s">
        <v>637</v>
      </c>
      <c r="D107" s="401" t="s">
        <v>638</v>
      </c>
      <c r="E107" s="402" t="s">
        <v>512</v>
      </c>
      <c r="F107" s="719">
        <v>1649673.24</v>
      </c>
      <c r="G107" s="719"/>
      <c r="H107" s="402" t="s">
        <v>608</v>
      </c>
      <c r="I107" s="718" t="s">
        <v>5</v>
      </c>
      <c r="J107" s="718"/>
      <c r="K107" s="403" t="s">
        <v>606</v>
      </c>
      <c r="L107" s="404">
        <v>9530093.3100000005</v>
      </c>
      <c r="M107" s="405"/>
      <c r="N107" s="406"/>
    </row>
    <row r="108" spans="1:14" ht="29.25" customHeight="1" x14ac:dyDescent="0.2">
      <c r="A108" s="343" t="s">
        <v>651</v>
      </c>
      <c r="B108" s="401" t="s">
        <v>652</v>
      </c>
      <c r="C108" s="401" t="s">
        <v>627</v>
      </c>
      <c r="D108" s="401" t="s">
        <v>655</v>
      </c>
      <c r="E108" s="402" t="s">
        <v>512</v>
      </c>
      <c r="F108" s="719">
        <v>3646.25</v>
      </c>
      <c r="G108" s="719"/>
      <c r="H108" s="402" t="s">
        <v>608</v>
      </c>
      <c r="I108" s="718" t="s">
        <v>5</v>
      </c>
      <c r="J108" s="718"/>
      <c r="K108" s="403" t="s">
        <v>606</v>
      </c>
      <c r="L108" s="404">
        <v>9533739.5600000005</v>
      </c>
      <c r="M108" s="405"/>
      <c r="N108" s="406"/>
    </row>
    <row r="109" spans="1:14" ht="29.25" customHeight="1" x14ac:dyDescent="0.2">
      <c r="A109" s="343" t="s">
        <v>651</v>
      </c>
      <c r="B109" s="401" t="s">
        <v>652</v>
      </c>
      <c r="C109" s="401" t="s">
        <v>627</v>
      </c>
      <c r="D109" s="401" t="s">
        <v>656</v>
      </c>
      <c r="E109" s="402" t="s">
        <v>512</v>
      </c>
      <c r="F109" s="719">
        <v>3646.25</v>
      </c>
      <c r="G109" s="719"/>
      <c r="H109" s="402" t="s">
        <v>608</v>
      </c>
      <c r="I109" s="718" t="s">
        <v>5</v>
      </c>
      <c r="J109" s="718"/>
      <c r="K109" s="403" t="s">
        <v>606</v>
      </c>
      <c r="L109" s="404">
        <v>9537385.8100000005</v>
      </c>
      <c r="M109" s="405"/>
      <c r="N109" s="406"/>
    </row>
    <row r="110" spans="1:14" ht="29.25" customHeight="1" x14ac:dyDescent="0.2">
      <c r="A110" s="343" t="s">
        <v>651</v>
      </c>
      <c r="B110" s="401" t="s">
        <v>652</v>
      </c>
      <c r="C110" s="401" t="s">
        <v>609</v>
      </c>
      <c r="D110" s="401" t="s">
        <v>650</v>
      </c>
      <c r="E110" s="402" t="s">
        <v>512</v>
      </c>
      <c r="F110" s="717">
        <v>279.51</v>
      </c>
      <c r="G110" s="717"/>
      <c r="H110" s="402" t="s">
        <v>608</v>
      </c>
      <c r="I110" s="718" t="s">
        <v>5</v>
      </c>
      <c r="J110" s="718"/>
      <c r="K110" s="403" t="s">
        <v>606</v>
      </c>
      <c r="L110" s="404">
        <v>9537665.3200000003</v>
      </c>
      <c r="M110" s="405"/>
      <c r="N110" s="406"/>
    </row>
    <row r="111" spans="1:14" ht="29.25" customHeight="1" x14ac:dyDescent="0.2">
      <c r="A111" s="343" t="s">
        <v>651</v>
      </c>
      <c r="B111" s="401" t="s">
        <v>652</v>
      </c>
      <c r="C111" s="401" t="s">
        <v>603</v>
      </c>
      <c r="D111" s="401" t="s">
        <v>657</v>
      </c>
      <c r="E111" s="402" t="s">
        <v>512</v>
      </c>
      <c r="F111" s="719">
        <v>29218</v>
      </c>
      <c r="G111" s="719"/>
      <c r="H111" s="402" t="s">
        <v>608</v>
      </c>
      <c r="I111" s="718" t="s">
        <v>5</v>
      </c>
      <c r="J111" s="718"/>
      <c r="K111" s="403" t="s">
        <v>606</v>
      </c>
      <c r="L111" s="404">
        <v>9566883.3200000003</v>
      </c>
      <c r="M111" s="405"/>
      <c r="N111" s="406"/>
    </row>
    <row r="112" spans="1:14" ht="29.25" customHeight="1" x14ac:dyDescent="0.2">
      <c r="A112" s="343" t="s">
        <v>651</v>
      </c>
      <c r="B112" s="401" t="s">
        <v>652</v>
      </c>
      <c r="C112" s="401" t="s">
        <v>609</v>
      </c>
      <c r="D112" s="401" t="s">
        <v>658</v>
      </c>
      <c r="E112" s="402" t="s">
        <v>512</v>
      </c>
      <c r="F112" s="719">
        <v>2441</v>
      </c>
      <c r="G112" s="719"/>
      <c r="H112" s="402" t="s">
        <v>608</v>
      </c>
      <c r="I112" s="718" t="s">
        <v>5</v>
      </c>
      <c r="J112" s="718"/>
      <c r="K112" s="403" t="s">
        <v>606</v>
      </c>
      <c r="L112" s="404">
        <v>9569324.3200000003</v>
      </c>
      <c r="M112" s="405"/>
      <c r="N112" s="406"/>
    </row>
    <row r="113" spans="1:16" ht="29.25" customHeight="1" x14ac:dyDescent="0.2">
      <c r="A113" s="343" t="s">
        <v>651</v>
      </c>
      <c r="B113" s="401" t="s">
        <v>652</v>
      </c>
      <c r="C113" s="401" t="s">
        <v>632</v>
      </c>
      <c r="D113" s="401" t="s">
        <v>659</v>
      </c>
      <c r="E113" s="402" t="s">
        <v>512</v>
      </c>
      <c r="F113" s="719">
        <v>34400</v>
      </c>
      <c r="G113" s="719"/>
      <c r="H113" s="402" t="s">
        <v>608</v>
      </c>
      <c r="I113" s="718" t="s">
        <v>5</v>
      </c>
      <c r="J113" s="718"/>
      <c r="K113" s="403" t="s">
        <v>606</v>
      </c>
      <c r="L113" s="404">
        <v>9603724.3200000003</v>
      </c>
      <c r="M113" s="405"/>
      <c r="N113" s="406"/>
    </row>
    <row r="114" spans="1:16" ht="29.25" customHeight="1" x14ac:dyDescent="0.2">
      <c r="A114" s="343" t="s">
        <v>651</v>
      </c>
      <c r="B114" s="401" t="s">
        <v>652</v>
      </c>
      <c r="C114" s="401" t="s">
        <v>609</v>
      </c>
      <c r="D114" s="401" t="s">
        <v>660</v>
      </c>
      <c r="E114" s="402" t="s">
        <v>512</v>
      </c>
      <c r="F114" s="719">
        <v>4041.94</v>
      </c>
      <c r="G114" s="719"/>
      <c r="H114" s="402" t="s">
        <v>608</v>
      </c>
      <c r="I114" s="718" t="s">
        <v>5</v>
      </c>
      <c r="J114" s="718"/>
      <c r="K114" s="403" t="s">
        <v>606</v>
      </c>
      <c r="L114" s="404">
        <v>9607766.2599999998</v>
      </c>
      <c r="M114" s="405"/>
      <c r="N114" s="406"/>
    </row>
    <row r="115" spans="1:16" ht="29.25" customHeight="1" x14ac:dyDescent="0.2">
      <c r="A115" s="343" t="s">
        <v>651</v>
      </c>
      <c r="B115" s="401" t="s">
        <v>652</v>
      </c>
      <c r="C115" s="401" t="s">
        <v>609</v>
      </c>
      <c r="D115" s="401" t="s">
        <v>661</v>
      </c>
      <c r="E115" s="402" t="s">
        <v>512</v>
      </c>
      <c r="F115" s="719">
        <v>4041.94</v>
      </c>
      <c r="G115" s="719"/>
      <c r="H115" s="402" t="s">
        <v>608</v>
      </c>
      <c r="I115" s="718" t="s">
        <v>5</v>
      </c>
      <c r="J115" s="718"/>
      <c r="K115" s="403" t="s">
        <v>606</v>
      </c>
      <c r="L115" s="404">
        <v>9611808.1999999993</v>
      </c>
      <c r="M115" s="405"/>
      <c r="N115" s="406"/>
    </row>
    <row r="116" spans="1:16" ht="29.25" customHeight="1" x14ac:dyDescent="0.2">
      <c r="A116" s="343" t="s">
        <v>651</v>
      </c>
      <c r="B116" s="401" t="s">
        <v>652</v>
      </c>
      <c r="C116" s="401" t="s">
        <v>609</v>
      </c>
      <c r="D116" s="401" t="s">
        <v>662</v>
      </c>
      <c r="E116" s="402" t="s">
        <v>512</v>
      </c>
      <c r="F116" s="719">
        <v>4041.94</v>
      </c>
      <c r="G116" s="719"/>
      <c r="H116" s="402" t="s">
        <v>608</v>
      </c>
      <c r="I116" s="718" t="s">
        <v>5</v>
      </c>
      <c r="J116" s="718"/>
      <c r="K116" s="403" t="s">
        <v>606</v>
      </c>
      <c r="L116" s="404">
        <v>9615850.1400000006</v>
      </c>
      <c r="M116" s="405"/>
      <c r="N116" s="406"/>
    </row>
    <row r="117" spans="1:16" ht="29.25" customHeight="1" x14ac:dyDescent="0.2">
      <c r="A117" s="343" t="s">
        <v>651</v>
      </c>
      <c r="B117" s="401" t="s">
        <v>652</v>
      </c>
      <c r="C117" s="401" t="s">
        <v>609</v>
      </c>
      <c r="D117" s="401" t="s">
        <v>639</v>
      </c>
      <c r="E117" s="402" t="s">
        <v>512</v>
      </c>
      <c r="F117" s="717">
        <v>277.23</v>
      </c>
      <c r="G117" s="717"/>
      <c r="H117" s="402" t="s">
        <v>608</v>
      </c>
      <c r="I117" s="718" t="s">
        <v>5</v>
      </c>
      <c r="J117" s="718"/>
      <c r="K117" s="403" t="s">
        <v>606</v>
      </c>
      <c r="L117" s="404">
        <v>9616127.3699999992</v>
      </c>
      <c r="M117" s="405"/>
      <c r="N117" s="406"/>
    </row>
    <row r="118" spans="1:16" ht="29.25" customHeight="1" x14ac:dyDescent="0.2">
      <c r="A118" s="343" t="s">
        <v>651</v>
      </c>
      <c r="B118" s="401" t="s">
        <v>652</v>
      </c>
      <c r="C118" s="401" t="s">
        <v>603</v>
      </c>
      <c r="D118" s="401" t="s">
        <v>641</v>
      </c>
      <c r="E118" s="402" t="s">
        <v>512</v>
      </c>
      <c r="F118" s="719">
        <v>1403.53</v>
      </c>
      <c r="G118" s="719"/>
      <c r="H118" s="402" t="s">
        <v>608</v>
      </c>
      <c r="I118" s="718" t="s">
        <v>5</v>
      </c>
      <c r="J118" s="718"/>
      <c r="K118" s="403" t="s">
        <v>606</v>
      </c>
      <c r="L118" s="404">
        <v>9617530.9000000004</v>
      </c>
      <c r="M118" s="405"/>
      <c r="N118" s="406"/>
    </row>
    <row r="119" spans="1:16" ht="29.25" customHeight="1" x14ac:dyDescent="0.2">
      <c r="A119" s="343" t="s">
        <v>651</v>
      </c>
      <c r="B119" s="401" t="s">
        <v>652</v>
      </c>
      <c r="C119" s="401" t="s">
        <v>609</v>
      </c>
      <c r="D119" s="401" t="s">
        <v>645</v>
      </c>
      <c r="E119" s="402" t="s">
        <v>512</v>
      </c>
      <c r="F119" s="719">
        <v>112047.71</v>
      </c>
      <c r="G119" s="719"/>
      <c r="H119" s="402" t="s">
        <v>608</v>
      </c>
      <c r="I119" s="718" t="s">
        <v>5</v>
      </c>
      <c r="J119" s="718"/>
      <c r="K119" s="403" t="s">
        <v>606</v>
      </c>
      <c r="L119" s="404">
        <v>9729578.6099999994</v>
      </c>
      <c r="M119" s="405"/>
      <c r="N119" s="406"/>
    </row>
    <row r="120" spans="1:16" ht="29.25" customHeight="1" x14ac:dyDescent="0.2">
      <c r="A120" s="343" t="s">
        <v>651</v>
      </c>
      <c r="B120" s="401" t="s">
        <v>652</v>
      </c>
      <c r="C120" s="401" t="s">
        <v>627</v>
      </c>
      <c r="D120" s="401" t="s">
        <v>640</v>
      </c>
      <c r="E120" s="402" t="s">
        <v>512</v>
      </c>
      <c r="F120" s="719">
        <v>6436.97</v>
      </c>
      <c r="G120" s="719"/>
      <c r="H120" s="402" t="s">
        <v>608</v>
      </c>
      <c r="I120" s="718" t="s">
        <v>5</v>
      </c>
      <c r="J120" s="718"/>
      <c r="K120" s="403" t="s">
        <v>606</v>
      </c>
      <c r="L120" s="404">
        <v>9736015.5800000001</v>
      </c>
      <c r="M120" s="405"/>
      <c r="N120" s="406"/>
    </row>
    <row r="121" spans="1:16" ht="29.25" customHeight="1" x14ac:dyDescent="0.2">
      <c r="A121" s="343" t="s">
        <v>651</v>
      </c>
      <c r="B121" s="401" t="s">
        <v>652</v>
      </c>
      <c r="C121" s="401" t="s">
        <v>627</v>
      </c>
      <c r="D121" s="401" t="s">
        <v>640</v>
      </c>
      <c r="E121" s="402" t="s">
        <v>512</v>
      </c>
      <c r="F121" s="719">
        <v>6436.97</v>
      </c>
      <c r="G121" s="719"/>
      <c r="H121" s="402" t="s">
        <v>608</v>
      </c>
      <c r="I121" s="718" t="s">
        <v>5</v>
      </c>
      <c r="J121" s="718"/>
      <c r="K121" s="403" t="s">
        <v>606</v>
      </c>
      <c r="L121" s="404">
        <v>9742452.5500000007</v>
      </c>
      <c r="M121" s="405"/>
      <c r="N121" s="406"/>
    </row>
    <row r="122" spans="1:16" ht="29.25" customHeight="1" x14ac:dyDescent="0.2">
      <c r="A122" s="343" t="s">
        <v>651</v>
      </c>
      <c r="B122" s="401" t="s">
        <v>652</v>
      </c>
      <c r="C122" s="401" t="s">
        <v>603</v>
      </c>
      <c r="D122" s="401" t="s">
        <v>646</v>
      </c>
      <c r="E122" s="402" t="s">
        <v>512</v>
      </c>
      <c r="F122" s="719">
        <v>31261.57</v>
      </c>
      <c r="G122" s="719"/>
      <c r="H122" s="402" t="s">
        <v>608</v>
      </c>
      <c r="I122" s="718" t="s">
        <v>5</v>
      </c>
      <c r="J122" s="718"/>
      <c r="K122" s="403" t="s">
        <v>606</v>
      </c>
      <c r="L122" s="404">
        <v>9773714.1199999992</v>
      </c>
      <c r="M122" s="405"/>
      <c r="N122" s="406"/>
    </row>
    <row r="123" spans="1:16" ht="29.25" customHeight="1" x14ac:dyDescent="0.2">
      <c r="A123" s="343" t="s">
        <v>651</v>
      </c>
      <c r="B123" s="401" t="s">
        <v>652</v>
      </c>
      <c r="C123" s="401" t="s">
        <v>609</v>
      </c>
      <c r="D123" s="401" t="s">
        <v>647</v>
      </c>
      <c r="E123" s="402" t="s">
        <v>512</v>
      </c>
      <c r="F123" s="717">
        <v>496.75</v>
      </c>
      <c r="G123" s="717"/>
      <c r="H123" s="402" t="s">
        <v>608</v>
      </c>
      <c r="I123" s="718" t="s">
        <v>5</v>
      </c>
      <c r="J123" s="718"/>
      <c r="K123" s="403" t="s">
        <v>606</v>
      </c>
      <c r="L123" s="404">
        <v>9774210.8699999992</v>
      </c>
      <c r="M123" s="405"/>
      <c r="N123" s="406"/>
    </row>
    <row r="124" spans="1:16" x14ac:dyDescent="0.2">
      <c r="A124" s="720" t="s">
        <v>663</v>
      </c>
      <c r="B124" s="720"/>
      <c r="C124" s="720"/>
      <c r="D124" s="720"/>
      <c r="E124" s="721">
        <v>9774210.8699999992</v>
      </c>
      <c r="F124" s="721"/>
      <c r="G124" s="721"/>
      <c r="H124" s="722">
        <v>0</v>
      </c>
      <c r="I124" s="722"/>
      <c r="J124" s="722"/>
      <c r="K124" s="397" t="s">
        <v>606</v>
      </c>
      <c r="L124" s="407">
        <v>9774210.8699999992</v>
      </c>
      <c r="M124" s="399"/>
      <c r="N124" s="400">
        <v>0</v>
      </c>
    </row>
    <row r="126" spans="1:16" x14ac:dyDescent="0.2">
      <c r="G126" s="64">
        <f>F4+F5+F25+F42+F62+F80+F100+F24+F61+F99</f>
        <v>3530317.31</v>
      </c>
    </row>
    <row r="127" spans="1:16" x14ac:dyDescent="0.2">
      <c r="G127" s="61">
        <f>SUBTOTAL(9,F6:G123)</f>
        <v>6243893.5599999987</v>
      </c>
    </row>
    <row r="128" spans="1:16" x14ac:dyDescent="0.2">
      <c r="A128" s="723" t="s">
        <v>594</v>
      </c>
      <c r="B128" s="725" t="s">
        <v>595</v>
      </c>
      <c r="C128" s="725" t="s">
        <v>596</v>
      </c>
      <c r="D128" s="727" t="s">
        <v>597</v>
      </c>
      <c r="E128" s="725" t="s">
        <v>139</v>
      </c>
      <c r="F128" s="725"/>
      <c r="G128" s="725"/>
      <c r="H128" s="729" t="s">
        <v>140</v>
      </c>
      <c r="I128" s="729"/>
      <c r="J128" s="729"/>
      <c r="K128" s="725" t="s">
        <v>598</v>
      </c>
      <c r="L128" s="725"/>
      <c r="M128" s="725" t="s">
        <v>599</v>
      </c>
      <c r="N128" s="725"/>
      <c r="O128" s="366"/>
      <c r="P128" s="366"/>
    </row>
    <row r="129" spans="1:16" x14ac:dyDescent="0.2">
      <c r="A129" s="724"/>
      <c r="B129" s="726"/>
      <c r="C129" s="726"/>
      <c r="D129" s="728"/>
      <c r="E129" s="408" t="s">
        <v>137</v>
      </c>
      <c r="F129" s="733"/>
      <c r="G129" s="733"/>
      <c r="H129" s="409" t="s">
        <v>137</v>
      </c>
      <c r="I129" s="734"/>
      <c r="J129" s="734"/>
      <c r="K129" s="724"/>
      <c r="L129" s="732"/>
      <c r="M129" s="724"/>
      <c r="N129" s="732"/>
      <c r="O129" s="366"/>
      <c r="P129" s="366"/>
    </row>
    <row r="130" spans="1:16" x14ac:dyDescent="0.2">
      <c r="A130" s="421" t="s">
        <v>600</v>
      </c>
      <c r="B130" s="421"/>
      <c r="C130" s="421"/>
      <c r="D130" s="421"/>
      <c r="E130" s="421"/>
      <c r="F130" s="421"/>
      <c r="G130" s="421"/>
      <c r="H130" s="421"/>
      <c r="I130" s="421"/>
      <c r="J130" s="421"/>
      <c r="K130" s="410"/>
      <c r="L130" s="411"/>
      <c r="M130" s="412"/>
      <c r="N130" s="413">
        <v>0</v>
      </c>
      <c r="O130" s="366"/>
      <c r="P130" s="366"/>
    </row>
    <row r="131" spans="1:16" ht="33.75" x14ac:dyDescent="0.2">
      <c r="A131" s="414" t="s">
        <v>664</v>
      </c>
      <c r="B131" s="415" t="s">
        <v>665</v>
      </c>
      <c r="C131" s="415" t="s">
        <v>666</v>
      </c>
      <c r="D131" s="415" t="s">
        <v>604</v>
      </c>
      <c r="E131" s="386">
        <v>7210</v>
      </c>
      <c r="F131" s="730">
        <v>3876.22</v>
      </c>
      <c r="G131" s="730"/>
      <c r="H131" s="386">
        <v>162001</v>
      </c>
      <c r="I131" s="731" t="s">
        <v>5</v>
      </c>
      <c r="J131" s="731"/>
      <c r="K131" s="416" t="s">
        <v>606</v>
      </c>
      <c r="L131" s="417">
        <v>3876.22</v>
      </c>
      <c r="M131" s="418"/>
      <c r="N131" s="419"/>
      <c r="O131" s="366"/>
      <c r="P131" s="366"/>
    </row>
    <row r="132" spans="1:16" ht="33.75" x14ac:dyDescent="0.2">
      <c r="A132" s="414" t="s">
        <v>664</v>
      </c>
      <c r="B132" s="415" t="s">
        <v>665</v>
      </c>
      <c r="C132" s="415" t="s">
        <v>666</v>
      </c>
      <c r="D132" s="415" t="s">
        <v>604</v>
      </c>
      <c r="E132" s="386">
        <v>7210</v>
      </c>
      <c r="F132" s="730">
        <v>5295.07</v>
      </c>
      <c r="G132" s="730"/>
      <c r="H132" s="386">
        <v>162001</v>
      </c>
      <c r="I132" s="731" t="s">
        <v>5</v>
      </c>
      <c r="J132" s="731"/>
      <c r="K132" s="416" t="s">
        <v>606</v>
      </c>
      <c r="L132" s="417">
        <v>9171.2900000000009</v>
      </c>
      <c r="M132" s="418"/>
      <c r="N132" s="419"/>
      <c r="O132" s="366"/>
      <c r="P132" s="366"/>
    </row>
    <row r="133" spans="1:16" ht="33.75" x14ac:dyDescent="0.2">
      <c r="A133" s="414" t="s">
        <v>664</v>
      </c>
      <c r="B133" s="415" t="s">
        <v>665</v>
      </c>
      <c r="C133" s="415" t="s">
        <v>667</v>
      </c>
      <c r="D133" s="415" t="s">
        <v>668</v>
      </c>
      <c r="E133" s="386">
        <v>7210</v>
      </c>
      <c r="F133" s="730">
        <v>1878.72</v>
      </c>
      <c r="G133" s="730"/>
      <c r="H133" s="386">
        <v>162003</v>
      </c>
      <c r="I133" s="731" t="s">
        <v>5</v>
      </c>
      <c r="J133" s="731"/>
      <c r="K133" s="416" t="s">
        <v>606</v>
      </c>
      <c r="L133" s="417">
        <v>11050.01</v>
      </c>
      <c r="M133" s="418"/>
      <c r="N133" s="419"/>
      <c r="O133" s="366"/>
      <c r="P133" s="366"/>
    </row>
    <row r="134" spans="1:16" ht="33.75" x14ac:dyDescent="0.2">
      <c r="A134" s="414" t="s">
        <v>664</v>
      </c>
      <c r="B134" s="415" t="s">
        <v>665</v>
      </c>
      <c r="C134" s="415" t="s">
        <v>667</v>
      </c>
      <c r="D134" s="415" t="s">
        <v>669</v>
      </c>
      <c r="E134" s="386">
        <v>7210</v>
      </c>
      <c r="F134" s="730">
        <v>1878.72</v>
      </c>
      <c r="G134" s="730"/>
      <c r="H134" s="386">
        <v>162003</v>
      </c>
      <c r="I134" s="731" t="s">
        <v>5</v>
      </c>
      <c r="J134" s="731"/>
      <c r="K134" s="416" t="s">
        <v>606</v>
      </c>
      <c r="L134" s="417">
        <v>12928.73</v>
      </c>
      <c r="M134" s="418"/>
      <c r="N134" s="419"/>
      <c r="O134" s="366"/>
      <c r="P134" s="366"/>
    </row>
    <row r="135" spans="1:16" ht="33.75" x14ac:dyDescent="0.2">
      <c r="A135" s="414" t="s">
        <v>664</v>
      </c>
      <c r="B135" s="415" t="s">
        <v>665</v>
      </c>
      <c r="C135" s="415" t="s">
        <v>670</v>
      </c>
      <c r="D135" s="415" t="s">
        <v>671</v>
      </c>
      <c r="E135" s="386">
        <v>7210</v>
      </c>
      <c r="F135" s="730">
        <v>3773.64</v>
      </c>
      <c r="G135" s="730"/>
      <c r="H135" s="386">
        <v>162003</v>
      </c>
      <c r="I135" s="731" t="s">
        <v>5</v>
      </c>
      <c r="J135" s="731"/>
      <c r="K135" s="416" t="s">
        <v>606</v>
      </c>
      <c r="L135" s="417">
        <v>16702.37</v>
      </c>
      <c r="M135" s="418"/>
      <c r="N135" s="419"/>
      <c r="O135" s="366"/>
      <c r="P135" s="366"/>
    </row>
    <row r="136" spans="1:16" ht="33.75" x14ac:dyDescent="0.2">
      <c r="A136" s="414" t="s">
        <v>664</v>
      </c>
      <c r="B136" s="415" t="s">
        <v>665</v>
      </c>
      <c r="C136" s="415" t="s">
        <v>672</v>
      </c>
      <c r="D136" s="415" t="s">
        <v>673</v>
      </c>
      <c r="E136" s="386">
        <v>7210</v>
      </c>
      <c r="F136" s="730">
        <v>30302.38</v>
      </c>
      <c r="G136" s="730"/>
      <c r="H136" s="386">
        <v>162003</v>
      </c>
      <c r="I136" s="731" t="s">
        <v>5</v>
      </c>
      <c r="J136" s="731"/>
      <c r="K136" s="416" t="s">
        <v>606</v>
      </c>
      <c r="L136" s="417">
        <v>47004.75</v>
      </c>
      <c r="M136" s="418"/>
      <c r="N136" s="419"/>
      <c r="O136" s="366"/>
      <c r="P136" s="366"/>
    </row>
    <row r="137" spans="1:16" ht="33.75" x14ac:dyDescent="0.2">
      <c r="A137" s="414" t="s">
        <v>664</v>
      </c>
      <c r="B137" s="415" t="s">
        <v>665</v>
      </c>
      <c r="C137" s="415" t="s">
        <v>670</v>
      </c>
      <c r="D137" s="415" t="s">
        <v>674</v>
      </c>
      <c r="E137" s="386">
        <v>7210</v>
      </c>
      <c r="F137" s="730">
        <v>3823.36</v>
      </c>
      <c r="G137" s="730"/>
      <c r="H137" s="386">
        <v>162003</v>
      </c>
      <c r="I137" s="731" t="s">
        <v>5</v>
      </c>
      <c r="J137" s="731"/>
      <c r="K137" s="416" t="s">
        <v>606</v>
      </c>
      <c r="L137" s="417">
        <v>50828.11</v>
      </c>
      <c r="M137" s="418"/>
      <c r="N137" s="419"/>
      <c r="O137" s="366"/>
      <c r="P137" s="366"/>
    </row>
    <row r="138" spans="1:16" ht="33.75" x14ac:dyDescent="0.2">
      <c r="A138" s="414" t="s">
        <v>664</v>
      </c>
      <c r="B138" s="415" t="s">
        <v>665</v>
      </c>
      <c r="C138" s="415" t="s">
        <v>670</v>
      </c>
      <c r="D138" s="415" t="s">
        <v>675</v>
      </c>
      <c r="E138" s="386">
        <v>7210</v>
      </c>
      <c r="F138" s="730">
        <v>3839.12</v>
      </c>
      <c r="G138" s="730"/>
      <c r="H138" s="386">
        <v>162003</v>
      </c>
      <c r="I138" s="731" t="s">
        <v>5</v>
      </c>
      <c r="J138" s="731"/>
      <c r="K138" s="416" t="s">
        <v>606</v>
      </c>
      <c r="L138" s="417">
        <v>54667.23</v>
      </c>
      <c r="M138" s="418"/>
      <c r="N138" s="419"/>
      <c r="O138" s="366"/>
      <c r="P138" s="366"/>
    </row>
    <row r="139" spans="1:16" ht="33.75" x14ac:dyDescent="0.2">
      <c r="A139" s="414" t="s">
        <v>664</v>
      </c>
      <c r="B139" s="415" t="s">
        <v>665</v>
      </c>
      <c r="C139" s="415" t="s">
        <v>670</v>
      </c>
      <c r="D139" s="415" t="s">
        <v>676</v>
      </c>
      <c r="E139" s="386">
        <v>7210</v>
      </c>
      <c r="F139" s="730">
        <v>7721.73</v>
      </c>
      <c r="G139" s="730"/>
      <c r="H139" s="386">
        <v>162003</v>
      </c>
      <c r="I139" s="731" t="s">
        <v>5</v>
      </c>
      <c r="J139" s="731"/>
      <c r="K139" s="416" t="s">
        <v>606</v>
      </c>
      <c r="L139" s="417">
        <v>62388.959999999999</v>
      </c>
      <c r="M139" s="418"/>
      <c r="N139" s="419"/>
      <c r="O139" s="366"/>
      <c r="P139" s="366"/>
    </row>
    <row r="140" spans="1:16" ht="33.75" x14ac:dyDescent="0.2">
      <c r="A140" s="414" t="s">
        <v>664</v>
      </c>
      <c r="B140" s="415" t="s">
        <v>665</v>
      </c>
      <c r="C140" s="415" t="s">
        <v>670</v>
      </c>
      <c r="D140" s="415" t="s">
        <v>677</v>
      </c>
      <c r="E140" s="386">
        <v>7210</v>
      </c>
      <c r="F140" s="730">
        <v>3848</v>
      </c>
      <c r="G140" s="730"/>
      <c r="H140" s="386">
        <v>162003</v>
      </c>
      <c r="I140" s="731" t="s">
        <v>5</v>
      </c>
      <c r="J140" s="731"/>
      <c r="K140" s="416" t="s">
        <v>606</v>
      </c>
      <c r="L140" s="417">
        <v>66236.960000000006</v>
      </c>
      <c r="M140" s="418"/>
      <c r="N140" s="419"/>
      <c r="O140" s="366"/>
      <c r="P140" s="366"/>
    </row>
    <row r="141" spans="1:16" ht="33.75" x14ac:dyDescent="0.2">
      <c r="A141" s="414" t="s">
        <v>664</v>
      </c>
      <c r="B141" s="415" t="s">
        <v>665</v>
      </c>
      <c r="C141" s="415" t="s">
        <v>670</v>
      </c>
      <c r="D141" s="415" t="s">
        <v>678</v>
      </c>
      <c r="E141" s="386">
        <v>7210</v>
      </c>
      <c r="F141" s="730">
        <v>3864.96</v>
      </c>
      <c r="G141" s="730"/>
      <c r="H141" s="386">
        <v>162003</v>
      </c>
      <c r="I141" s="731" t="s">
        <v>5</v>
      </c>
      <c r="J141" s="731"/>
      <c r="K141" s="416" t="s">
        <v>606</v>
      </c>
      <c r="L141" s="417">
        <v>70101.919999999998</v>
      </c>
      <c r="M141" s="418"/>
      <c r="N141" s="419"/>
      <c r="O141" s="366"/>
      <c r="P141" s="366"/>
    </row>
    <row r="142" spans="1:16" ht="33.75" x14ac:dyDescent="0.2">
      <c r="A142" s="414" t="s">
        <v>664</v>
      </c>
      <c r="B142" s="415" t="s">
        <v>665</v>
      </c>
      <c r="C142" s="415" t="s">
        <v>670</v>
      </c>
      <c r="D142" s="415" t="s">
        <v>679</v>
      </c>
      <c r="E142" s="386">
        <v>7210</v>
      </c>
      <c r="F142" s="730">
        <v>3868.99</v>
      </c>
      <c r="G142" s="730"/>
      <c r="H142" s="386">
        <v>162003</v>
      </c>
      <c r="I142" s="731" t="s">
        <v>5</v>
      </c>
      <c r="J142" s="731"/>
      <c r="K142" s="416" t="s">
        <v>606</v>
      </c>
      <c r="L142" s="417">
        <v>73970.91</v>
      </c>
      <c r="M142" s="418"/>
      <c r="N142" s="419"/>
      <c r="O142" s="366"/>
      <c r="P142" s="366"/>
    </row>
    <row r="143" spans="1:16" ht="33.75" x14ac:dyDescent="0.2">
      <c r="A143" s="414" t="s">
        <v>664</v>
      </c>
      <c r="B143" s="415" t="s">
        <v>665</v>
      </c>
      <c r="C143" s="415" t="s">
        <v>670</v>
      </c>
      <c r="D143" s="415" t="s">
        <v>679</v>
      </c>
      <c r="E143" s="386">
        <v>7210</v>
      </c>
      <c r="F143" s="730">
        <v>3868.99</v>
      </c>
      <c r="G143" s="730"/>
      <c r="H143" s="386">
        <v>162003</v>
      </c>
      <c r="I143" s="731" t="s">
        <v>5</v>
      </c>
      <c r="J143" s="731"/>
      <c r="K143" s="416" t="s">
        <v>606</v>
      </c>
      <c r="L143" s="417">
        <v>77839.899999999994</v>
      </c>
      <c r="M143" s="418"/>
      <c r="N143" s="419"/>
      <c r="O143" s="366"/>
      <c r="P143" s="366"/>
    </row>
    <row r="144" spans="1:16" ht="33.75" x14ac:dyDescent="0.2">
      <c r="A144" s="414" t="s">
        <v>664</v>
      </c>
      <c r="B144" s="415" t="s">
        <v>665</v>
      </c>
      <c r="C144" s="415" t="s">
        <v>680</v>
      </c>
      <c r="D144" s="415" t="s">
        <v>681</v>
      </c>
      <c r="E144" s="386">
        <v>7210</v>
      </c>
      <c r="F144" s="730">
        <v>1930.19</v>
      </c>
      <c r="G144" s="730"/>
      <c r="H144" s="386">
        <v>162003</v>
      </c>
      <c r="I144" s="731" t="s">
        <v>5</v>
      </c>
      <c r="J144" s="731"/>
      <c r="K144" s="416" t="s">
        <v>606</v>
      </c>
      <c r="L144" s="417">
        <v>79770.09</v>
      </c>
      <c r="M144" s="418"/>
      <c r="N144" s="419"/>
      <c r="O144" s="366"/>
      <c r="P144" s="366"/>
    </row>
    <row r="145" spans="1:16" ht="33.75" x14ac:dyDescent="0.2">
      <c r="A145" s="414" t="s">
        <v>664</v>
      </c>
      <c r="B145" s="415" t="s">
        <v>665</v>
      </c>
      <c r="C145" s="415" t="s">
        <v>670</v>
      </c>
      <c r="D145" s="415" t="s">
        <v>682</v>
      </c>
      <c r="E145" s="386">
        <v>7210</v>
      </c>
      <c r="F145" s="730">
        <v>5822.09</v>
      </c>
      <c r="G145" s="730"/>
      <c r="H145" s="386">
        <v>162003</v>
      </c>
      <c r="I145" s="731" t="s">
        <v>5</v>
      </c>
      <c r="J145" s="731"/>
      <c r="K145" s="416" t="s">
        <v>606</v>
      </c>
      <c r="L145" s="417">
        <v>85592.18</v>
      </c>
      <c r="M145" s="418"/>
      <c r="N145" s="419"/>
      <c r="O145" s="366"/>
      <c r="P145" s="366"/>
    </row>
    <row r="146" spans="1:16" ht="33.75" x14ac:dyDescent="0.2">
      <c r="A146" s="414" t="s">
        <v>664</v>
      </c>
      <c r="B146" s="415" t="s">
        <v>665</v>
      </c>
      <c r="C146" s="415" t="s">
        <v>670</v>
      </c>
      <c r="D146" s="415" t="s">
        <v>683</v>
      </c>
      <c r="E146" s="386">
        <v>7210</v>
      </c>
      <c r="F146" s="730">
        <v>3873.39</v>
      </c>
      <c r="G146" s="730"/>
      <c r="H146" s="386">
        <v>162003</v>
      </c>
      <c r="I146" s="731" t="s">
        <v>5</v>
      </c>
      <c r="J146" s="731"/>
      <c r="K146" s="416" t="s">
        <v>606</v>
      </c>
      <c r="L146" s="417">
        <v>89465.57</v>
      </c>
      <c r="M146" s="418"/>
      <c r="N146" s="419"/>
      <c r="O146" s="366"/>
      <c r="P146" s="366"/>
    </row>
    <row r="147" spans="1:16" ht="33.75" x14ac:dyDescent="0.2">
      <c r="A147" s="414" t="s">
        <v>664</v>
      </c>
      <c r="B147" s="415" t="s">
        <v>665</v>
      </c>
      <c r="C147" s="415" t="s">
        <v>670</v>
      </c>
      <c r="D147" s="415" t="s">
        <v>684</v>
      </c>
      <c r="E147" s="386">
        <v>7210</v>
      </c>
      <c r="F147" s="735">
        <v>279.58</v>
      </c>
      <c r="G147" s="735"/>
      <c r="H147" s="386">
        <v>162003</v>
      </c>
      <c r="I147" s="731" t="s">
        <v>5</v>
      </c>
      <c r="J147" s="731"/>
      <c r="K147" s="416" t="s">
        <v>606</v>
      </c>
      <c r="L147" s="417">
        <v>89745.15</v>
      </c>
      <c r="M147" s="418"/>
      <c r="N147" s="419"/>
      <c r="O147" s="366"/>
      <c r="P147" s="366"/>
    </row>
    <row r="148" spans="1:16" ht="33.75" x14ac:dyDescent="0.2">
      <c r="A148" s="414" t="s">
        <v>664</v>
      </c>
      <c r="B148" s="415" t="s">
        <v>665</v>
      </c>
      <c r="C148" s="415" t="s">
        <v>670</v>
      </c>
      <c r="D148" s="415" t="s">
        <v>684</v>
      </c>
      <c r="E148" s="386">
        <v>7210</v>
      </c>
      <c r="F148" s="735">
        <v>279.58</v>
      </c>
      <c r="G148" s="735"/>
      <c r="H148" s="386">
        <v>162003</v>
      </c>
      <c r="I148" s="731" t="s">
        <v>5</v>
      </c>
      <c r="J148" s="731"/>
      <c r="K148" s="416" t="s">
        <v>606</v>
      </c>
      <c r="L148" s="417">
        <v>90024.73</v>
      </c>
      <c r="M148" s="418"/>
      <c r="N148" s="419"/>
      <c r="O148" s="366"/>
      <c r="P148" s="366"/>
    </row>
    <row r="149" spans="1:16" ht="33.75" x14ac:dyDescent="0.2">
      <c r="A149" s="414" t="s">
        <v>664</v>
      </c>
      <c r="B149" s="415" t="s">
        <v>665</v>
      </c>
      <c r="C149" s="415" t="s">
        <v>670</v>
      </c>
      <c r="D149" s="415" t="s">
        <v>685</v>
      </c>
      <c r="E149" s="386">
        <v>7210</v>
      </c>
      <c r="F149" s="730">
        <v>4835.04</v>
      </c>
      <c r="G149" s="730"/>
      <c r="H149" s="386">
        <v>162003</v>
      </c>
      <c r="I149" s="731" t="s">
        <v>5</v>
      </c>
      <c r="J149" s="731"/>
      <c r="K149" s="416" t="s">
        <v>606</v>
      </c>
      <c r="L149" s="417">
        <v>94859.77</v>
      </c>
      <c r="M149" s="418"/>
      <c r="N149" s="419"/>
      <c r="O149" s="366"/>
      <c r="P149" s="366"/>
    </row>
    <row r="150" spans="1:16" ht="33.75" x14ac:dyDescent="0.2">
      <c r="A150" s="414" t="s">
        <v>664</v>
      </c>
      <c r="B150" s="415" t="s">
        <v>665</v>
      </c>
      <c r="C150" s="415" t="s">
        <v>670</v>
      </c>
      <c r="D150" s="415" t="s">
        <v>686</v>
      </c>
      <c r="E150" s="386">
        <v>7210</v>
      </c>
      <c r="F150" s="730">
        <v>77584.42</v>
      </c>
      <c r="G150" s="730"/>
      <c r="H150" s="386">
        <v>162003</v>
      </c>
      <c r="I150" s="731" t="s">
        <v>5</v>
      </c>
      <c r="J150" s="731"/>
      <c r="K150" s="416" t="s">
        <v>606</v>
      </c>
      <c r="L150" s="417">
        <v>172444.19</v>
      </c>
      <c r="M150" s="418"/>
      <c r="N150" s="419"/>
      <c r="O150" s="366"/>
      <c r="P150" s="366"/>
    </row>
    <row r="151" spans="1:16" ht="33.75" x14ac:dyDescent="0.2">
      <c r="A151" s="414" t="s">
        <v>664</v>
      </c>
      <c r="B151" s="415" t="s">
        <v>665</v>
      </c>
      <c r="C151" s="415" t="s">
        <v>670</v>
      </c>
      <c r="D151" s="415" t="s">
        <v>686</v>
      </c>
      <c r="E151" s="386">
        <v>7210</v>
      </c>
      <c r="F151" s="730">
        <v>3879.22</v>
      </c>
      <c r="G151" s="730"/>
      <c r="H151" s="386">
        <v>162003</v>
      </c>
      <c r="I151" s="731" t="s">
        <v>5</v>
      </c>
      <c r="J151" s="731"/>
      <c r="K151" s="416" t="s">
        <v>606</v>
      </c>
      <c r="L151" s="417">
        <v>176323.41</v>
      </c>
      <c r="M151" s="418"/>
      <c r="N151" s="419"/>
      <c r="O151" s="366"/>
      <c r="P151" s="366"/>
    </row>
    <row r="152" spans="1:16" ht="33.75" x14ac:dyDescent="0.2">
      <c r="A152" s="414" t="s">
        <v>664</v>
      </c>
      <c r="B152" s="415" t="s">
        <v>665</v>
      </c>
      <c r="C152" s="415" t="s">
        <v>670</v>
      </c>
      <c r="D152" s="415" t="s">
        <v>686</v>
      </c>
      <c r="E152" s="386">
        <v>7210</v>
      </c>
      <c r="F152" s="730">
        <v>23349.54</v>
      </c>
      <c r="G152" s="730"/>
      <c r="H152" s="386">
        <v>162003</v>
      </c>
      <c r="I152" s="731" t="s">
        <v>5</v>
      </c>
      <c r="J152" s="731"/>
      <c r="K152" s="416" t="s">
        <v>606</v>
      </c>
      <c r="L152" s="417">
        <v>199672.95</v>
      </c>
      <c r="M152" s="418"/>
      <c r="N152" s="419"/>
      <c r="O152" s="366"/>
      <c r="P152" s="366"/>
    </row>
    <row r="153" spans="1:16" ht="33.75" x14ac:dyDescent="0.2">
      <c r="A153" s="414" t="s">
        <v>664</v>
      </c>
      <c r="B153" s="415" t="s">
        <v>665</v>
      </c>
      <c r="C153" s="415" t="s">
        <v>670</v>
      </c>
      <c r="D153" s="415" t="s">
        <v>686</v>
      </c>
      <c r="E153" s="386">
        <v>7210</v>
      </c>
      <c r="F153" s="730">
        <v>3888.4</v>
      </c>
      <c r="G153" s="730"/>
      <c r="H153" s="386">
        <v>162003</v>
      </c>
      <c r="I153" s="731" t="s">
        <v>5</v>
      </c>
      <c r="J153" s="731"/>
      <c r="K153" s="416" t="s">
        <v>606</v>
      </c>
      <c r="L153" s="417">
        <v>203561.35</v>
      </c>
      <c r="M153" s="418"/>
      <c r="N153" s="419"/>
      <c r="O153" s="366"/>
      <c r="P153" s="366"/>
    </row>
    <row r="154" spans="1:16" ht="33.75" x14ac:dyDescent="0.2">
      <c r="A154" s="414" t="s">
        <v>664</v>
      </c>
      <c r="B154" s="415" t="s">
        <v>665</v>
      </c>
      <c r="C154" s="415" t="s">
        <v>670</v>
      </c>
      <c r="D154" s="415" t="s">
        <v>687</v>
      </c>
      <c r="E154" s="386">
        <v>7210</v>
      </c>
      <c r="F154" s="730">
        <v>3896.5</v>
      </c>
      <c r="G154" s="730"/>
      <c r="H154" s="386">
        <v>162003</v>
      </c>
      <c r="I154" s="731" t="s">
        <v>5</v>
      </c>
      <c r="J154" s="731"/>
      <c r="K154" s="416" t="s">
        <v>606</v>
      </c>
      <c r="L154" s="417">
        <v>207457.85</v>
      </c>
      <c r="M154" s="418"/>
      <c r="N154" s="419"/>
      <c r="O154" s="366"/>
      <c r="P154" s="366"/>
    </row>
    <row r="155" spans="1:16" ht="33.75" x14ac:dyDescent="0.2">
      <c r="A155" s="414" t="s">
        <v>664</v>
      </c>
      <c r="B155" s="415" t="s">
        <v>665</v>
      </c>
      <c r="C155" s="415" t="s">
        <v>670</v>
      </c>
      <c r="D155" s="415" t="s">
        <v>688</v>
      </c>
      <c r="E155" s="386">
        <v>7210</v>
      </c>
      <c r="F155" s="730">
        <v>7769.6</v>
      </c>
      <c r="G155" s="730"/>
      <c r="H155" s="386">
        <v>162003</v>
      </c>
      <c r="I155" s="731" t="s">
        <v>5</v>
      </c>
      <c r="J155" s="731"/>
      <c r="K155" s="416" t="s">
        <v>606</v>
      </c>
      <c r="L155" s="417">
        <v>215227.45</v>
      </c>
      <c r="M155" s="418"/>
      <c r="N155" s="419"/>
      <c r="O155" s="366"/>
      <c r="P155" s="366"/>
    </row>
    <row r="156" spans="1:16" ht="33.75" x14ac:dyDescent="0.2">
      <c r="A156" s="414" t="s">
        <v>664</v>
      </c>
      <c r="B156" s="415" t="s">
        <v>665</v>
      </c>
      <c r="C156" s="415" t="s">
        <v>670</v>
      </c>
      <c r="D156" s="415" t="s">
        <v>689</v>
      </c>
      <c r="E156" s="386">
        <v>7210</v>
      </c>
      <c r="F156" s="730">
        <v>3816.38</v>
      </c>
      <c r="G156" s="730"/>
      <c r="H156" s="386">
        <v>162003</v>
      </c>
      <c r="I156" s="731" t="s">
        <v>5</v>
      </c>
      <c r="J156" s="731"/>
      <c r="K156" s="416" t="s">
        <v>606</v>
      </c>
      <c r="L156" s="417">
        <v>219043.83</v>
      </c>
      <c r="M156" s="418"/>
      <c r="N156" s="419"/>
      <c r="O156" s="366"/>
      <c r="P156" s="366"/>
    </row>
    <row r="157" spans="1:16" ht="33.75" x14ac:dyDescent="0.2">
      <c r="A157" s="414" t="s">
        <v>664</v>
      </c>
      <c r="B157" s="415" t="s">
        <v>665</v>
      </c>
      <c r="C157" s="415" t="s">
        <v>690</v>
      </c>
      <c r="D157" s="415" t="s">
        <v>691</v>
      </c>
      <c r="E157" s="386">
        <v>7210</v>
      </c>
      <c r="F157" s="730">
        <v>5400</v>
      </c>
      <c r="G157" s="730"/>
      <c r="H157" s="386">
        <v>162003</v>
      </c>
      <c r="I157" s="731" t="s">
        <v>5</v>
      </c>
      <c r="J157" s="731"/>
      <c r="K157" s="416" t="s">
        <v>606</v>
      </c>
      <c r="L157" s="417">
        <v>224443.83</v>
      </c>
      <c r="M157" s="418"/>
      <c r="N157" s="419"/>
      <c r="O157" s="366"/>
      <c r="P157" s="366"/>
    </row>
    <row r="158" spans="1:16" ht="33.75" x14ac:dyDescent="0.2">
      <c r="A158" s="414" t="s">
        <v>664</v>
      </c>
      <c r="B158" s="415" t="s">
        <v>665</v>
      </c>
      <c r="C158" s="415" t="s">
        <v>690</v>
      </c>
      <c r="D158" s="415" t="s">
        <v>691</v>
      </c>
      <c r="E158" s="386">
        <v>7210</v>
      </c>
      <c r="F158" s="730">
        <v>72700</v>
      </c>
      <c r="G158" s="730"/>
      <c r="H158" s="386">
        <v>162003</v>
      </c>
      <c r="I158" s="731" t="s">
        <v>5</v>
      </c>
      <c r="J158" s="731"/>
      <c r="K158" s="416" t="s">
        <v>606</v>
      </c>
      <c r="L158" s="417">
        <v>297143.83</v>
      </c>
      <c r="M158" s="418"/>
      <c r="N158" s="419"/>
      <c r="O158" s="366"/>
      <c r="P158" s="366"/>
    </row>
    <row r="159" spans="1:16" ht="33.75" x14ac:dyDescent="0.2">
      <c r="A159" s="414" t="s">
        <v>664</v>
      </c>
      <c r="B159" s="415" t="s">
        <v>665</v>
      </c>
      <c r="C159" s="415" t="s">
        <v>692</v>
      </c>
      <c r="D159" s="415" t="s">
        <v>693</v>
      </c>
      <c r="E159" s="386">
        <v>7210</v>
      </c>
      <c r="F159" s="730">
        <v>2727.27</v>
      </c>
      <c r="G159" s="730"/>
      <c r="H159" s="386">
        <v>162003</v>
      </c>
      <c r="I159" s="731" t="s">
        <v>5</v>
      </c>
      <c r="J159" s="731"/>
      <c r="K159" s="416" t="s">
        <v>606</v>
      </c>
      <c r="L159" s="417">
        <v>299871.09999999998</v>
      </c>
      <c r="M159" s="418"/>
      <c r="N159" s="419"/>
      <c r="O159" s="366"/>
      <c r="P159" s="366"/>
    </row>
    <row r="160" spans="1:16" ht="33.75" x14ac:dyDescent="0.2">
      <c r="A160" s="414" t="s">
        <v>664</v>
      </c>
      <c r="B160" s="415" t="s">
        <v>665</v>
      </c>
      <c r="C160" s="415" t="s">
        <v>670</v>
      </c>
      <c r="D160" s="415" t="s">
        <v>694</v>
      </c>
      <c r="E160" s="386">
        <v>7210</v>
      </c>
      <c r="F160" s="730">
        <v>21643.84</v>
      </c>
      <c r="G160" s="730"/>
      <c r="H160" s="386">
        <v>162003</v>
      </c>
      <c r="I160" s="731" t="s">
        <v>5</v>
      </c>
      <c r="J160" s="731"/>
      <c r="K160" s="416" t="s">
        <v>606</v>
      </c>
      <c r="L160" s="417">
        <v>321514.94</v>
      </c>
      <c r="M160" s="418"/>
      <c r="N160" s="419"/>
      <c r="O160" s="366"/>
      <c r="P160" s="366"/>
    </row>
    <row r="161" spans="1:16" ht="33.75" x14ac:dyDescent="0.2">
      <c r="A161" s="414" t="s">
        <v>664</v>
      </c>
      <c r="B161" s="415" t="s">
        <v>665</v>
      </c>
      <c r="C161" s="415" t="s">
        <v>690</v>
      </c>
      <c r="D161" s="415" t="s">
        <v>695</v>
      </c>
      <c r="E161" s="386">
        <v>7210</v>
      </c>
      <c r="F161" s="730">
        <v>10632.2</v>
      </c>
      <c r="G161" s="730"/>
      <c r="H161" s="386">
        <v>162003</v>
      </c>
      <c r="I161" s="731" t="s">
        <v>5</v>
      </c>
      <c r="J161" s="731"/>
      <c r="K161" s="416" t="s">
        <v>606</v>
      </c>
      <c r="L161" s="417">
        <v>332147.14</v>
      </c>
      <c r="M161" s="418"/>
      <c r="N161" s="419"/>
      <c r="O161" s="366"/>
      <c r="P161" s="366"/>
    </row>
    <row r="162" spans="1:16" ht="33.75" x14ac:dyDescent="0.2">
      <c r="A162" s="414" t="s">
        <v>664</v>
      </c>
      <c r="B162" s="415" t="s">
        <v>665</v>
      </c>
      <c r="C162" s="415" t="s">
        <v>696</v>
      </c>
      <c r="D162" s="415" t="s">
        <v>697</v>
      </c>
      <c r="E162" s="386">
        <v>7210</v>
      </c>
      <c r="F162" s="730">
        <v>1406.26</v>
      </c>
      <c r="G162" s="730"/>
      <c r="H162" s="386">
        <v>162003</v>
      </c>
      <c r="I162" s="731" t="s">
        <v>5</v>
      </c>
      <c r="J162" s="731"/>
      <c r="K162" s="416" t="s">
        <v>606</v>
      </c>
      <c r="L162" s="417">
        <v>333553.40000000002</v>
      </c>
      <c r="M162" s="418"/>
      <c r="N162" s="419"/>
      <c r="O162" s="366"/>
      <c r="P162" s="366"/>
    </row>
    <row r="163" spans="1:16" ht="33.75" x14ac:dyDescent="0.2">
      <c r="A163" s="414" t="s">
        <v>664</v>
      </c>
      <c r="B163" s="415" t="s">
        <v>665</v>
      </c>
      <c r="C163" s="415" t="s">
        <v>696</v>
      </c>
      <c r="D163" s="415" t="s">
        <v>698</v>
      </c>
      <c r="E163" s="386">
        <v>7210</v>
      </c>
      <c r="F163" s="730">
        <v>18966.560000000001</v>
      </c>
      <c r="G163" s="730"/>
      <c r="H163" s="386">
        <v>162003</v>
      </c>
      <c r="I163" s="731" t="s">
        <v>5</v>
      </c>
      <c r="J163" s="731"/>
      <c r="K163" s="416" t="s">
        <v>606</v>
      </c>
      <c r="L163" s="417">
        <v>352519.96</v>
      </c>
      <c r="M163" s="418"/>
      <c r="N163" s="419"/>
      <c r="O163" s="366"/>
      <c r="P163" s="366"/>
    </row>
    <row r="164" spans="1:16" ht="33.75" x14ac:dyDescent="0.2">
      <c r="A164" s="414" t="s">
        <v>664</v>
      </c>
      <c r="B164" s="415" t="s">
        <v>665</v>
      </c>
      <c r="C164" s="415" t="s">
        <v>670</v>
      </c>
      <c r="D164" s="415" t="s">
        <v>699</v>
      </c>
      <c r="E164" s="386">
        <v>7210</v>
      </c>
      <c r="F164" s="730">
        <v>5723.98</v>
      </c>
      <c r="G164" s="730"/>
      <c r="H164" s="386">
        <v>162003</v>
      </c>
      <c r="I164" s="731" t="s">
        <v>5</v>
      </c>
      <c r="J164" s="731"/>
      <c r="K164" s="416" t="s">
        <v>606</v>
      </c>
      <c r="L164" s="417">
        <v>358243.94</v>
      </c>
      <c r="M164" s="418"/>
      <c r="N164" s="419"/>
      <c r="O164" s="366"/>
      <c r="P164" s="366"/>
    </row>
    <row r="165" spans="1:16" ht="33.75" x14ac:dyDescent="0.2">
      <c r="A165" s="414" t="s">
        <v>664</v>
      </c>
      <c r="B165" s="415" t="s">
        <v>665</v>
      </c>
      <c r="C165" s="415" t="s">
        <v>670</v>
      </c>
      <c r="D165" s="415" t="s">
        <v>700</v>
      </c>
      <c r="E165" s="386">
        <v>7210</v>
      </c>
      <c r="F165" s="730">
        <v>9517.36</v>
      </c>
      <c r="G165" s="730"/>
      <c r="H165" s="386">
        <v>162003</v>
      </c>
      <c r="I165" s="731" t="s">
        <v>5</v>
      </c>
      <c r="J165" s="731"/>
      <c r="K165" s="416" t="s">
        <v>606</v>
      </c>
      <c r="L165" s="417">
        <v>367761.3</v>
      </c>
      <c r="M165" s="418"/>
      <c r="N165" s="419"/>
      <c r="O165" s="366"/>
      <c r="P165" s="366"/>
    </row>
    <row r="166" spans="1:16" ht="33.75" x14ac:dyDescent="0.2">
      <c r="A166" s="414" t="s">
        <v>664</v>
      </c>
      <c r="B166" s="415" t="s">
        <v>665</v>
      </c>
      <c r="C166" s="415" t="s">
        <v>670</v>
      </c>
      <c r="D166" s="415" t="s">
        <v>701</v>
      </c>
      <c r="E166" s="386">
        <v>7210</v>
      </c>
      <c r="F166" s="730">
        <v>3802.13</v>
      </c>
      <c r="G166" s="730"/>
      <c r="H166" s="386">
        <v>162003</v>
      </c>
      <c r="I166" s="731" t="s">
        <v>5</v>
      </c>
      <c r="J166" s="731"/>
      <c r="K166" s="416" t="s">
        <v>606</v>
      </c>
      <c r="L166" s="417">
        <v>371563.43</v>
      </c>
      <c r="M166" s="418"/>
      <c r="N166" s="419"/>
      <c r="O166" s="366"/>
      <c r="P166" s="366"/>
    </row>
    <row r="167" spans="1:16" ht="33.75" x14ac:dyDescent="0.2">
      <c r="A167" s="414" t="s">
        <v>664</v>
      </c>
      <c r="B167" s="415" t="s">
        <v>665</v>
      </c>
      <c r="C167" s="415" t="s">
        <v>680</v>
      </c>
      <c r="D167" s="415" t="s">
        <v>702</v>
      </c>
      <c r="E167" s="386">
        <v>7210</v>
      </c>
      <c r="F167" s="730">
        <v>1767090</v>
      </c>
      <c r="G167" s="730"/>
      <c r="H167" s="386">
        <v>162003</v>
      </c>
      <c r="I167" s="731" t="s">
        <v>5</v>
      </c>
      <c r="J167" s="731"/>
      <c r="K167" s="416" t="s">
        <v>606</v>
      </c>
      <c r="L167" s="417">
        <v>2138653.4300000002</v>
      </c>
      <c r="M167" s="418"/>
      <c r="N167" s="419"/>
      <c r="O167" s="366"/>
      <c r="P167" s="366"/>
    </row>
    <row r="168" spans="1:16" ht="33.75" x14ac:dyDescent="0.2">
      <c r="A168" s="414" t="s">
        <v>664</v>
      </c>
      <c r="B168" s="415" t="s">
        <v>665</v>
      </c>
      <c r="C168" s="415" t="s">
        <v>672</v>
      </c>
      <c r="D168" s="415" t="s">
        <v>641</v>
      </c>
      <c r="E168" s="386">
        <v>7210</v>
      </c>
      <c r="F168" s="730">
        <v>4138.1499999999996</v>
      </c>
      <c r="G168" s="730"/>
      <c r="H168" s="386">
        <v>162003</v>
      </c>
      <c r="I168" s="731" t="s">
        <v>5</v>
      </c>
      <c r="J168" s="731"/>
      <c r="K168" s="416" t="s">
        <v>606</v>
      </c>
      <c r="L168" s="417">
        <v>2142791.58</v>
      </c>
      <c r="M168" s="418"/>
      <c r="N168" s="419"/>
      <c r="O168" s="366"/>
      <c r="P168" s="366"/>
    </row>
    <row r="169" spans="1:16" ht="33.75" x14ac:dyDescent="0.2">
      <c r="A169" s="414" t="s">
        <v>664</v>
      </c>
      <c r="B169" s="415" t="s">
        <v>703</v>
      </c>
      <c r="C169" s="415" t="s">
        <v>667</v>
      </c>
      <c r="D169" s="415" t="s">
        <v>640</v>
      </c>
      <c r="E169" s="386">
        <v>7210</v>
      </c>
      <c r="F169" s="730">
        <v>1630.92</v>
      </c>
      <c r="G169" s="730"/>
      <c r="H169" s="386">
        <v>162003</v>
      </c>
      <c r="I169" s="731" t="s">
        <v>5</v>
      </c>
      <c r="J169" s="731"/>
      <c r="K169" s="416" t="s">
        <v>606</v>
      </c>
      <c r="L169" s="417">
        <v>2144422.5</v>
      </c>
      <c r="M169" s="418"/>
      <c r="N169" s="419"/>
      <c r="O169" s="366"/>
      <c r="P169" s="366"/>
    </row>
    <row r="170" spans="1:16" ht="33.75" x14ac:dyDescent="0.2">
      <c r="A170" s="414" t="s">
        <v>704</v>
      </c>
      <c r="B170" s="415" t="s">
        <v>705</v>
      </c>
      <c r="C170" s="415" t="s">
        <v>667</v>
      </c>
      <c r="D170" s="415" t="s">
        <v>669</v>
      </c>
      <c r="E170" s="386">
        <v>7210</v>
      </c>
      <c r="F170" s="730">
        <v>1878.72</v>
      </c>
      <c r="G170" s="730"/>
      <c r="H170" s="386">
        <v>162003</v>
      </c>
      <c r="I170" s="731" t="s">
        <v>5</v>
      </c>
      <c r="J170" s="731"/>
      <c r="K170" s="416" t="s">
        <v>606</v>
      </c>
      <c r="L170" s="417">
        <v>2146301.2200000002</v>
      </c>
      <c r="M170" s="418"/>
      <c r="N170" s="419"/>
      <c r="O170" s="366"/>
      <c r="P170" s="366"/>
    </row>
    <row r="171" spans="1:16" ht="33.75" x14ac:dyDescent="0.2">
      <c r="A171" s="414" t="s">
        <v>704</v>
      </c>
      <c r="B171" s="415" t="s">
        <v>705</v>
      </c>
      <c r="C171" s="415" t="s">
        <v>670</v>
      </c>
      <c r="D171" s="415" t="s">
        <v>684</v>
      </c>
      <c r="E171" s="386">
        <v>7210</v>
      </c>
      <c r="F171" s="735">
        <v>279.58</v>
      </c>
      <c r="G171" s="735"/>
      <c r="H171" s="386">
        <v>162003</v>
      </c>
      <c r="I171" s="731" t="s">
        <v>5</v>
      </c>
      <c r="J171" s="731"/>
      <c r="K171" s="416" t="s">
        <v>606</v>
      </c>
      <c r="L171" s="417">
        <v>2146580.7999999998</v>
      </c>
      <c r="M171" s="418"/>
      <c r="N171" s="419"/>
      <c r="O171" s="366"/>
      <c r="P171" s="366"/>
    </row>
    <row r="172" spans="1:16" ht="33.75" x14ac:dyDescent="0.2">
      <c r="A172" s="414" t="s">
        <v>704</v>
      </c>
      <c r="B172" s="415" t="s">
        <v>705</v>
      </c>
      <c r="C172" s="415" t="s">
        <v>670</v>
      </c>
      <c r="D172" s="415" t="s">
        <v>684</v>
      </c>
      <c r="E172" s="386">
        <v>7210</v>
      </c>
      <c r="F172" s="735">
        <v>279.58</v>
      </c>
      <c r="G172" s="735"/>
      <c r="H172" s="386">
        <v>162003</v>
      </c>
      <c r="I172" s="731" t="s">
        <v>5</v>
      </c>
      <c r="J172" s="731"/>
      <c r="K172" s="416" t="s">
        <v>606</v>
      </c>
      <c r="L172" s="417">
        <v>2146860.38</v>
      </c>
      <c r="M172" s="418"/>
      <c r="N172" s="419"/>
      <c r="O172" s="366"/>
      <c r="P172" s="366"/>
    </row>
    <row r="173" spans="1:16" ht="33.75" x14ac:dyDescent="0.2">
      <c r="A173" s="414" t="s">
        <v>704</v>
      </c>
      <c r="B173" s="415" t="s">
        <v>705</v>
      </c>
      <c r="C173" s="415" t="s">
        <v>670</v>
      </c>
      <c r="D173" s="415" t="s">
        <v>676</v>
      </c>
      <c r="E173" s="386">
        <v>7210</v>
      </c>
      <c r="F173" s="730">
        <v>7721.73</v>
      </c>
      <c r="G173" s="730"/>
      <c r="H173" s="386">
        <v>162003</v>
      </c>
      <c r="I173" s="731" t="s">
        <v>5</v>
      </c>
      <c r="J173" s="731"/>
      <c r="K173" s="416" t="s">
        <v>606</v>
      </c>
      <c r="L173" s="417">
        <v>2154582.11</v>
      </c>
      <c r="M173" s="418"/>
      <c r="N173" s="419"/>
      <c r="O173" s="366"/>
      <c r="P173" s="366"/>
    </row>
    <row r="174" spans="1:16" ht="33.75" x14ac:dyDescent="0.2">
      <c r="A174" s="414" t="s">
        <v>704</v>
      </c>
      <c r="B174" s="415" t="s">
        <v>705</v>
      </c>
      <c r="C174" s="415" t="s">
        <v>670</v>
      </c>
      <c r="D174" s="415" t="s">
        <v>677</v>
      </c>
      <c r="E174" s="386">
        <v>7210</v>
      </c>
      <c r="F174" s="730">
        <v>3848</v>
      </c>
      <c r="G174" s="730"/>
      <c r="H174" s="386">
        <v>162003</v>
      </c>
      <c r="I174" s="731" t="s">
        <v>5</v>
      </c>
      <c r="J174" s="731"/>
      <c r="K174" s="416" t="s">
        <v>606</v>
      </c>
      <c r="L174" s="417">
        <v>2158430.11</v>
      </c>
      <c r="M174" s="418"/>
      <c r="N174" s="419"/>
      <c r="O174" s="366"/>
      <c r="P174" s="366"/>
    </row>
    <row r="175" spans="1:16" ht="33.75" x14ac:dyDescent="0.2">
      <c r="A175" s="414" t="s">
        <v>704</v>
      </c>
      <c r="B175" s="415" t="s">
        <v>705</v>
      </c>
      <c r="C175" s="415" t="s">
        <v>670</v>
      </c>
      <c r="D175" s="415" t="s">
        <v>679</v>
      </c>
      <c r="E175" s="386">
        <v>7210</v>
      </c>
      <c r="F175" s="730">
        <v>3868.99</v>
      </c>
      <c r="G175" s="730"/>
      <c r="H175" s="386">
        <v>162003</v>
      </c>
      <c r="I175" s="731" t="s">
        <v>5</v>
      </c>
      <c r="J175" s="731"/>
      <c r="K175" s="416" t="s">
        <v>606</v>
      </c>
      <c r="L175" s="417">
        <v>2162299.1</v>
      </c>
      <c r="M175" s="418"/>
      <c r="N175" s="419"/>
      <c r="O175" s="366"/>
      <c r="P175" s="366"/>
    </row>
    <row r="176" spans="1:16" ht="33.75" x14ac:dyDescent="0.2">
      <c r="A176" s="414" t="s">
        <v>704</v>
      </c>
      <c r="B176" s="415" t="s">
        <v>705</v>
      </c>
      <c r="C176" s="415" t="s">
        <v>670</v>
      </c>
      <c r="D176" s="415" t="s">
        <v>679</v>
      </c>
      <c r="E176" s="386">
        <v>7210</v>
      </c>
      <c r="F176" s="730">
        <v>3868.99</v>
      </c>
      <c r="G176" s="730"/>
      <c r="H176" s="386">
        <v>162003</v>
      </c>
      <c r="I176" s="731" t="s">
        <v>5</v>
      </c>
      <c r="J176" s="731"/>
      <c r="K176" s="416" t="s">
        <v>606</v>
      </c>
      <c r="L176" s="417">
        <v>2166168.09</v>
      </c>
      <c r="M176" s="418"/>
      <c r="N176" s="419"/>
      <c r="O176" s="366"/>
      <c r="P176" s="366"/>
    </row>
    <row r="177" spans="1:16" ht="33.75" x14ac:dyDescent="0.2">
      <c r="A177" s="414" t="s">
        <v>704</v>
      </c>
      <c r="B177" s="415" t="s">
        <v>705</v>
      </c>
      <c r="C177" s="415" t="s">
        <v>670</v>
      </c>
      <c r="D177" s="415" t="s">
        <v>682</v>
      </c>
      <c r="E177" s="386">
        <v>7210</v>
      </c>
      <c r="F177" s="730">
        <v>5822.09</v>
      </c>
      <c r="G177" s="730"/>
      <c r="H177" s="386">
        <v>162003</v>
      </c>
      <c r="I177" s="731" t="s">
        <v>5</v>
      </c>
      <c r="J177" s="731"/>
      <c r="K177" s="416" t="s">
        <v>606</v>
      </c>
      <c r="L177" s="417">
        <v>2171990.1800000002</v>
      </c>
      <c r="M177" s="418"/>
      <c r="N177" s="419"/>
      <c r="O177" s="366"/>
      <c r="P177" s="366"/>
    </row>
    <row r="178" spans="1:16" ht="33.75" x14ac:dyDescent="0.2">
      <c r="A178" s="414" t="s">
        <v>704</v>
      </c>
      <c r="B178" s="415" t="s">
        <v>705</v>
      </c>
      <c r="C178" s="415" t="s">
        <v>670</v>
      </c>
      <c r="D178" s="415" t="s">
        <v>683</v>
      </c>
      <c r="E178" s="386">
        <v>7210</v>
      </c>
      <c r="F178" s="730">
        <v>3873.39</v>
      </c>
      <c r="G178" s="730"/>
      <c r="H178" s="386">
        <v>162003</v>
      </c>
      <c r="I178" s="731" t="s">
        <v>5</v>
      </c>
      <c r="J178" s="731"/>
      <c r="K178" s="416" t="s">
        <v>606</v>
      </c>
      <c r="L178" s="417">
        <v>2175863.5699999998</v>
      </c>
      <c r="M178" s="418"/>
      <c r="N178" s="419"/>
      <c r="O178" s="366"/>
      <c r="P178" s="366"/>
    </row>
    <row r="179" spans="1:16" ht="33.75" x14ac:dyDescent="0.2">
      <c r="A179" s="414" t="s">
        <v>704</v>
      </c>
      <c r="B179" s="415" t="s">
        <v>705</v>
      </c>
      <c r="C179" s="415" t="s">
        <v>670</v>
      </c>
      <c r="D179" s="415" t="s">
        <v>674</v>
      </c>
      <c r="E179" s="386">
        <v>7210</v>
      </c>
      <c r="F179" s="730">
        <v>3823.36</v>
      </c>
      <c r="G179" s="730"/>
      <c r="H179" s="386">
        <v>162003</v>
      </c>
      <c r="I179" s="731" t="s">
        <v>5</v>
      </c>
      <c r="J179" s="731"/>
      <c r="K179" s="416" t="s">
        <v>606</v>
      </c>
      <c r="L179" s="417">
        <v>2179686.9300000002</v>
      </c>
      <c r="M179" s="418"/>
      <c r="N179" s="419"/>
      <c r="O179" s="366"/>
      <c r="P179" s="366"/>
    </row>
    <row r="180" spans="1:16" ht="33.75" x14ac:dyDescent="0.2">
      <c r="A180" s="414" t="s">
        <v>704</v>
      </c>
      <c r="B180" s="415" t="s">
        <v>705</v>
      </c>
      <c r="C180" s="415" t="s">
        <v>670</v>
      </c>
      <c r="D180" s="415" t="s">
        <v>675</v>
      </c>
      <c r="E180" s="386">
        <v>7210</v>
      </c>
      <c r="F180" s="730">
        <v>3839.12</v>
      </c>
      <c r="G180" s="730"/>
      <c r="H180" s="386">
        <v>162003</v>
      </c>
      <c r="I180" s="731" t="s">
        <v>5</v>
      </c>
      <c r="J180" s="731"/>
      <c r="K180" s="416" t="s">
        <v>606</v>
      </c>
      <c r="L180" s="417">
        <v>2183526.0499999998</v>
      </c>
      <c r="M180" s="418"/>
      <c r="N180" s="419"/>
      <c r="O180" s="366"/>
      <c r="P180" s="366"/>
    </row>
    <row r="181" spans="1:16" ht="33.75" x14ac:dyDescent="0.2">
      <c r="A181" s="414" t="s">
        <v>704</v>
      </c>
      <c r="B181" s="415" t="s">
        <v>705</v>
      </c>
      <c r="C181" s="415" t="s">
        <v>690</v>
      </c>
      <c r="D181" s="415" t="s">
        <v>695</v>
      </c>
      <c r="E181" s="386">
        <v>7210</v>
      </c>
      <c r="F181" s="730">
        <v>10632.2</v>
      </c>
      <c r="G181" s="730"/>
      <c r="H181" s="386">
        <v>162003</v>
      </c>
      <c r="I181" s="731" t="s">
        <v>5</v>
      </c>
      <c r="J181" s="731"/>
      <c r="K181" s="416" t="s">
        <v>606</v>
      </c>
      <c r="L181" s="417">
        <v>2194158.25</v>
      </c>
      <c r="M181" s="418"/>
      <c r="N181" s="419"/>
      <c r="O181" s="366"/>
      <c r="P181" s="366"/>
    </row>
    <row r="182" spans="1:16" ht="33.75" x14ac:dyDescent="0.2">
      <c r="A182" s="414" t="s">
        <v>704</v>
      </c>
      <c r="B182" s="415" t="s">
        <v>705</v>
      </c>
      <c r="C182" s="415" t="s">
        <v>670</v>
      </c>
      <c r="D182" s="415" t="s">
        <v>687</v>
      </c>
      <c r="E182" s="386">
        <v>7210</v>
      </c>
      <c r="F182" s="730">
        <v>3896.5</v>
      </c>
      <c r="G182" s="730"/>
      <c r="H182" s="386">
        <v>162003</v>
      </c>
      <c r="I182" s="731" t="s">
        <v>5</v>
      </c>
      <c r="J182" s="731"/>
      <c r="K182" s="416" t="s">
        <v>606</v>
      </c>
      <c r="L182" s="417">
        <v>2198054.75</v>
      </c>
      <c r="M182" s="418"/>
      <c r="N182" s="419"/>
      <c r="O182" s="366"/>
      <c r="P182" s="366"/>
    </row>
    <row r="183" spans="1:16" ht="33.75" x14ac:dyDescent="0.2">
      <c r="A183" s="414" t="s">
        <v>704</v>
      </c>
      <c r="B183" s="415" t="s">
        <v>705</v>
      </c>
      <c r="C183" s="415" t="s">
        <v>666</v>
      </c>
      <c r="D183" s="415" t="s">
        <v>604</v>
      </c>
      <c r="E183" s="386">
        <v>7210</v>
      </c>
      <c r="F183" s="730">
        <v>11518.49</v>
      </c>
      <c r="G183" s="730"/>
      <c r="H183" s="386">
        <v>162001</v>
      </c>
      <c r="I183" s="731" t="s">
        <v>5</v>
      </c>
      <c r="J183" s="731"/>
      <c r="K183" s="416" t="s">
        <v>606</v>
      </c>
      <c r="L183" s="417">
        <v>2209573.2400000002</v>
      </c>
      <c r="M183" s="418"/>
      <c r="N183" s="419"/>
      <c r="O183" s="366"/>
      <c r="P183" s="366"/>
    </row>
    <row r="184" spans="1:16" ht="33.75" x14ac:dyDescent="0.2">
      <c r="A184" s="414" t="s">
        <v>704</v>
      </c>
      <c r="B184" s="415" t="s">
        <v>705</v>
      </c>
      <c r="C184" s="415" t="s">
        <v>670</v>
      </c>
      <c r="D184" s="415" t="s">
        <v>689</v>
      </c>
      <c r="E184" s="386">
        <v>7210</v>
      </c>
      <c r="F184" s="730">
        <v>3816.38</v>
      </c>
      <c r="G184" s="730"/>
      <c r="H184" s="386">
        <v>162003</v>
      </c>
      <c r="I184" s="731" t="s">
        <v>5</v>
      </c>
      <c r="J184" s="731"/>
      <c r="K184" s="416" t="s">
        <v>606</v>
      </c>
      <c r="L184" s="417">
        <v>2213389.62</v>
      </c>
      <c r="M184" s="418"/>
      <c r="N184" s="419"/>
      <c r="O184" s="366"/>
      <c r="P184" s="366"/>
    </row>
    <row r="185" spans="1:16" ht="33.75" x14ac:dyDescent="0.2">
      <c r="A185" s="414" t="s">
        <v>704</v>
      </c>
      <c r="B185" s="415" t="s">
        <v>705</v>
      </c>
      <c r="C185" s="415" t="s">
        <v>670</v>
      </c>
      <c r="D185" s="415" t="s">
        <v>685</v>
      </c>
      <c r="E185" s="386">
        <v>7210</v>
      </c>
      <c r="F185" s="730">
        <v>4835.04</v>
      </c>
      <c r="G185" s="730"/>
      <c r="H185" s="386">
        <v>162003</v>
      </c>
      <c r="I185" s="731" t="s">
        <v>5</v>
      </c>
      <c r="J185" s="731"/>
      <c r="K185" s="416" t="s">
        <v>606</v>
      </c>
      <c r="L185" s="417">
        <v>2218224.66</v>
      </c>
      <c r="M185" s="418"/>
      <c r="N185" s="419"/>
      <c r="O185" s="366"/>
      <c r="P185" s="366"/>
    </row>
    <row r="186" spans="1:16" ht="33.75" x14ac:dyDescent="0.2">
      <c r="A186" s="414" t="s">
        <v>704</v>
      </c>
      <c r="B186" s="415" t="s">
        <v>705</v>
      </c>
      <c r="C186" s="415" t="s">
        <v>670</v>
      </c>
      <c r="D186" s="415" t="s">
        <v>686</v>
      </c>
      <c r="E186" s="386">
        <v>7210</v>
      </c>
      <c r="F186" s="730">
        <v>77584.42</v>
      </c>
      <c r="G186" s="730"/>
      <c r="H186" s="386">
        <v>162003</v>
      </c>
      <c r="I186" s="731" t="s">
        <v>5</v>
      </c>
      <c r="J186" s="731"/>
      <c r="K186" s="416" t="s">
        <v>606</v>
      </c>
      <c r="L186" s="417">
        <v>2295809.08</v>
      </c>
      <c r="M186" s="418"/>
      <c r="N186" s="419"/>
      <c r="O186" s="366"/>
      <c r="P186" s="366"/>
    </row>
    <row r="187" spans="1:16" ht="33.75" x14ac:dyDescent="0.2">
      <c r="A187" s="414" t="s">
        <v>704</v>
      </c>
      <c r="B187" s="415" t="s">
        <v>705</v>
      </c>
      <c r="C187" s="415" t="s">
        <v>670</v>
      </c>
      <c r="D187" s="415" t="s">
        <v>686</v>
      </c>
      <c r="E187" s="386">
        <v>7210</v>
      </c>
      <c r="F187" s="730">
        <v>3879.22</v>
      </c>
      <c r="G187" s="730"/>
      <c r="H187" s="386">
        <v>162003</v>
      </c>
      <c r="I187" s="731" t="s">
        <v>5</v>
      </c>
      <c r="J187" s="731"/>
      <c r="K187" s="416" t="s">
        <v>606</v>
      </c>
      <c r="L187" s="417">
        <v>2299688.2999999998</v>
      </c>
      <c r="M187" s="418"/>
      <c r="N187" s="419"/>
      <c r="O187" s="366"/>
      <c r="P187" s="366"/>
    </row>
    <row r="188" spans="1:16" ht="33.75" x14ac:dyDescent="0.2">
      <c r="A188" s="414" t="s">
        <v>704</v>
      </c>
      <c r="B188" s="415" t="s">
        <v>705</v>
      </c>
      <c r="C188" s="415" t="s">
        <v>670</v>
      </c>
      <c r="D188" s="415" t="s">
        <v>686</v>
      </c>
      <c r="E188" s="386">
        <v>7210</v>
      </c>
      <c r="F188" s="730">
        <v>23349.54</v>
      </c>
      <c r="G188" s="730"/>
      <c r="H188" s="386">
        <v>162003</v>
      </c>
      <c r="I188" s="731" t="s">
        <v>5</v>
      </c>
      <c r="J188" s="731"/>
      <c r="K188" s="416" t="s">
        <v>606</v>
      </c>
      <c r="L188" s="417">
        <v>2323037.84</v>
      </c>
      <c r="M188" s="418"/>
      <c r="N188" s="419"/>
      <c r="O188" s="366"/>
      <c r="P188" s="366"/>
    </row>
    <row r="189" spans="1:16" ht="33.75" x14ac:dyDescent="0.2">
      <c r="A189" s="414" t="s">
        <v>704</v>
      </c>
      <c r="B189" s="415" t="s">
        <v>705</v>
      </c>
      <c r="C189" s="415" t="s">
        <v>670</v>
      </c>
      <c r="D189" s="415" t="s">
        <v>686</v>
      </c>
      <c r="E189" s="386">
        <v>7210</v>
      </c>
      <c r="F189" s="730">
        <v>3888.4</v>
      </c>
      <c r="G189" s="730"/>
      <c r="H189" s="386">
        <v>162003</v>
      </c>
      <c r="I189" s="731" t="s">
        <v>5</v>
      </c>
      <c r="J189" s="731"/>
      <c r="K189" s="416" t="s">
        <v>606</v>
      </c>
      <c r="L189" s="417">
        <v>2326926.2400000002</v>
      </c>
      <c r="M189" s="418"/>
      <c r="N189" s="419"/>
      <c r="O189" s="366"/>
      <c r="P189" s="366"/>
    </row>
    <row r="190" spans="1:16" ht="33.75" x14ac:dyDescent="0.2">
      <c r="A190" s="414" t="s">
        <v>704</v>
      </c>
      <c r="B190" s="415" t="s">
        <v>705</v>
      </c>
      <c r="C190" s="415" t="s">
        <v>696</v>
      </c>
      <c r="D190" s="415" t="s">
        <v>697</v>
      </c>
      <c r="E190" s="386">
        <v>7210</v>
      </c>
      <c r="F190" s="730">
        <v>1406.26</v>
      </c>
      <c r="G190" s="730"/>
      <c r="H190" s="386">
        <v>162003</v>
      </c>
      <c r="I190" s="731" t="s">
        <v>5</v>
      </c>
      <c r="J190" s="731"/>
      <c r="K190" s="416" t="s">
        <v>606</v>
      </c>
      <c r="L190" s="417">
        <v>2328332.5</v>
      </c>
      <c r="M190" s="418"/>
      <c r="N190" s="419"/>
      <c r="O190" s="366"/>
      <c r="P190" s="366"/>
    </row>
    <row r="191" spans="1:16" ht="33.75" x14ac:dyDescent="0.2">
      <c r="A191" s="414" t="s">
        <v>704</v>
      </c>
      <c r="B191" s="415" t="s">
        <v>705</v>
      </c>
      <c r="C191" s="415" t="s">
        <v>696</v>
      </c>
      <c r="D191" s="415" t="s">
        <v>698</v>
      </c>
      <c r="E191" s="386">
        <v>7210</v>
      </c>
      <c r="F191" s="730">
        <v>18966.560000000001</v>
      </c>
      <c r="G191" s="730"/>
      <c r="H191" s="386">
        <v>162003</v>
      </c>
      <c r="I191" s="731" t="s">
        <v>5</v>
      </c>
      <c r="J191" s="731"/>
      <c r="K191" s="416" t="s">
        <v>606</v>
      </c>
      <c r="L191" s="417">
        <v>2347299.06</v>
      </c>
      <c r="M191" s="418"/>
      <c r="N191" s="419"/>
      <c r="O191" s="366"/>
      <c r="P191" s="366"/>
    </row>
    <row r="192" spans="1:16" ht="33.75" x14ac:dyDescent="0.2">
      <c r="A192" s="414" t="s">
        <v>704</v>
      </c>
      <c r="B192" s="415" t="s">
        <v>705</v>
      </c>
      <c r="C192" s="415" t="s">
        <v>670</v>
      </c>
      <c r="D192" s="415" t="s">
        <v>699</v>
      </c>
      <c r="E192" s="386">
        <v>7210</v>
      </c>
      <c r="F192" s="730">
        <v>5723.98</v>
      </c>
      <c r="G192" s="730"/>
      <c r="H192" s="386">
        <v>162003</v>
      </c>
      <c r="I192" s="731" t="s">
        <v>5</v>
      </c>
      <c r="J192" s="731"/>
      <c r="K192" s="416" t="s">
        <v>606</v>
      </c>
      <c r="L192" s="417">
        <v>2353023.04</v>
      </c>
      <c r="M192" s="418"/>
      <c r="N192" s="419"/>
      <c r="O192" s="366"/>
      <c r="P192" s="366"/>
    </row>
    <row r="193" spans="1:16" ht="33.75" x14ac:dyDescent="0.2">
      <c r="A193" s="414" t="s">
        <v>704</v>
      </c>
      <c r="B193" s="415" t="s">
        <v>705</v>
      </c>
      <c r="C193" s="415" t="s">
        <v>670</v>
      </c>
      <c r="D193" s="415" t="s">
        <v>700</v>
      </c>
      <c r="E193" s="386">
        <v>7210</v>
      </c>
      <c r="F193" s="730">
        <v>9517.36</v>
      </c>
      <c r="G193" s="730"/>
      <c r="H193" s="386">
        <v>162003</v>
      </c>
      <c r="I193" s="731" t="s">
        <v>5</v>
      </c>
      <c r="J193" s="731"/>
      <c r="K193" s="416" t="s">
        <v>606</v>
      </c>
      <c r="L193" s="417">
        <v>2362540.4</v>
      </c>
      <c r="M193" s="418"/>
      <c r="N193" s="419"/>
      <c r="O193" s="366"/>
      <c r="P193" s="366"/>
    </row>
    <row r="194" spans="1:16" ht="33.75" x14ac:dyDescent="0.2">
      <c r="A194" s="414" t="s">
        <v>704</v>
      </c>
      <c r="B194" s="415" t="s">
        <v>705</v>
      </c>
      <c r="C194" s="415" t="s">
        <v>672</v>
      </c>
      <c r="D194" s="415" t="s">
        <v>643</v>
      </c>
      <c r="E194" s="386">
        <v>7210</v>
      </c>
      <c r="F194" s="730">
        <v>17497.400000000001</v>
      </c>
      <c r="G194" s="730"/>
      <c r="H194" s="386">
        <v>162003</v>
      </c>
      <c r="I194" s="731" t="s">
        <v>5</v>
      </c>
      <c r="J194" s="731"/>
      <c r="K194" s="416" t="s">
        <v>606</v>
      </c>
      <c r="L194" s="417">
        <v>2380037.7999999998</v>
      </c>
      <c r="M194" s="418"/>
      <c r="N194" s="419"/>
      <c r="O194" s="366"/>
      <c r="P194" s="366"/>
    </row>
    <row r="195" spans="1:16" ht="33.75" x14ac:dyDescent="0.2">
      <c r="A195" s="414" t="s">
        <v>704</v>
      </c>
      <c r="B195" s="415" t="s">
        <v>705</v>
      </c>
      <c r="C195" s="415" t="s">
        <v>670</v>
      </c>
      <c r="D195" s="415" t="s">
        <v>671</v>
      </c>
      <c r="E195" s="386">
        <v>7210</v>
      </c>
      <c r="F195" s="730">
        <v>3734.35</v>
      </c>
      <c r="G195" s="730"/>
      <c r="H195" s="386">
        <v>162003</v>
      </c>
      <c r="I195" s="731" t="s">
        <v>5</v>
      </c>
      <c r="J195" s="731"/>
      <c r="K195" s="416" t="s">
        <v>606</v>
      </c>
      <c r="L195" s="417">
        <v>2383772.15</v>
      </c>
      <c r="M195" s="418"/>
      <c r="N195" s="419"/>
      <c r="O195" s="366"/>
      <c r="P195" s="366"/>
    </row>
    <row r="196" spans="1:16" ht="33.75" x14ac:dyDescent="0.2">
      <c r="A196" s="414" t="s">
        <v>704</v>
      </c>
      <c r="B196" s="415" t="s">
        <v>705</v>
      </c>
      <c r="C196" s="415" t="s">
        <v>670</v>
      </c>
      <c r="D196" s="415" t="s">
        <v>694</v>
      </c>
      <c r="E196" s="386">
        <v>7210</v>
      </c>
      <c r="F196" s="730">
        <v>21643.84</v>
      </c>
      <c r="G196" s="730"/>
      <c r="H196" s="386">
        <v>162003</v>
      </c>
      <c r="I196" s="731" t="s">
        <v>5</v>
      </c>
      <c r="J196" s="731"/>
      <c r="K196" s="416" t="s">
        <v>606</v>
      </c>
      <c r="L196" s="417">
        <v>2405415.9900000002</v>
      </c>
      <c r="M196" s="418"/>
      <c r="N196" s="419"/>
      <c r="O196" s="366"/>
      <c r="P196" s="366"/>
    </row>
    <row r="197" spans="1:16" ht="33.75" x14ac:dyDescent="0.2">
      <c r="A197" s="414" t="s">
        <v>704</v>
      </c>
      <c r="B197" s="415" t="s">
        <v>705</v>
      </c>
      <c r="C197" s="415" t="s">
        <v>692</v>
      </c>
      <c r="D197" s="415" t="s">
        <v>693</v>
      </c>
      <c r="E197" s="386">
        <v>7210</v>
      </c>
      <c r="F197" s="730">
        <v>2727.27</v>
      </c>
      <c r="G197" s="730"/>
      <c r="H197" s="386">
        <v>162003</v>
      </c>
      <c r="I197" s="731" t="s">
        <v>5</v>
      </c>
      <c r="J197" s="731"/>
      <c r="K197" s="416" t="s">
        <v>606</v>
      </c>
      <c r="L197" s="417">
        <v>2408143.2599999998</v>
      </c>
      <c r="M197" s="418"/>
      <c r="N197" s="419"/>
      <c r="O197" s="366"/>
      <c r="P197" s="366"/>
    </row>
    <row r="198" spans="1:16" ht="33.75" x14ac:dyDescent="0.2">
      <c r="A198" s="414" t="s">
        <v>704</v>
      </c>
      <c r="B198" s="415" t="s">
        <v>705</v>
      </c>
      <c r="C198" s="415" t="s">
        <v>667</v>
      </c>
      <c r="D198" s="415" t="s">
        <v>640</v>
      </c>
      <c r="E198" s="386">
        <v>7210</v>
      </c>
      <c r="F198" s="730">
        <v>3104.31</v>
      </c>
      <c r="G198" s="730"/>
      <c r="H198" s="386">
        <v>162003</v>
      </c>
      <c r="I198" s="731" t="s">
        <v>5</v>
      </c>
      <c r="J198" s="731"/>
      <c r="K198" s="416" t="s">
        <v>606</v>
      </c>
      <c r="L198" s="417">
        <v>2411247.5699999998</v>
      </c>
      <c r="M198" s="418"/>
      <c r="N198" s="419"/>
      <c r="O198" s="366"/>
      <c r="P198" s="366"/>
    </row>
    <row r="199" spans="1:16" ht="33.75" x14ac:dyDescent="0.2">
      <c r="A199" s="414" t="s">
        <v>704</v>
      </c>
      <c r="B199" s="415" t="s">
        <v>705</v>
      </c>
      <c r="C199" s="415" t="s">
        <v>672</v>
      </c>
      <c r="D199" s="415" t="s">
        <v>641</v>
      </c>
      <c r="E199" s="386">
        <v>7210</v>
      </c>
      <c r="F199" s="730">
        <v>4352.1899999999996</v>
      </c>
      <c r="G199" s="730"/>
      <c r="H199" s="386">
        <v>162003</v>
      </c>
      <c r="I199" s="731" t="s">
        <v>5</v>
      </c>
      <c r="J199" s="731"/>
      <c r="K199" s="416" t="s">
        <v>606</v>
      </c>
      <c r="L199" s="417">
        <v>2415599.7599999998</v>
      </c>
      <c r="M199" s="418"/>
      <c r="N199" s="419"/>
      <c r="O199" s="366"/>
      <c r="P199" s="366"/>
    </row>
    <row r="200" spans="1:16" ht="33.75" x14ac:dyDescent="0.2">
      <c r="A200" s="414" t="s">
        <v>704</v>
      </c>
      <c r="B200" s="415" t="s">
        <v>705</v>
      </c>
      <c r="C200" s="415" t="s">
        <v>670</v>
      </c>
      <c r="D200" s="415" t="s">
        <v>642</v>
      </c>
      <c r="E200" s="386">
        <v>7210</v>
      </c>
      <c r="F200" s="730">
        <v>1076.1400000000001</v>
      </c>
      <c r="G200" s="730"/>
      <c r="H200" s="386">
        <v>162003</v>
      </c>
      <c r="I200" s="731" t="s">
        <v>5</v>
      </c>
      <c r="J200" s="731"/>
      <c r="K200" s="416" t="s">
        <v>606</v>
      </c>
      <c r="L200" s="417">
        <v>2416675.9</v>
      </c>
      <c r="M200" s="418"/>
      <c r="N200" s="419"/>
      <c r="O200" s="366"/>
      <c r="P200" s="366"/>
    </row>
    <row r="201" spans="1:16" ht="33.75" x14ac:dyDescent="0.2">
      <c r="A201" s="414" t="s">
        <v>704</v>
      </c>
      <c r="B201" s="415" t="s">
        <v>705</v>
      </c>
      <c r="C201" s="415" t="s">
        <v>670</v>
      </c>
      <c r="D201" s="415" t="s">
        <v>701</v>
      </c>
      <c r="E201" s="386">
        <v>7210</v>
      </c>
      <c r="F201" s="730">
        <v>3802.13</v>
      </c>
      <c r="G201" s="730"/>
      <c r="H201" s="386">
        <v>162003</v>
      </c>
      <c r="I201" s="731" t="s">
        <v>5</v>
      </c>
      <c r="J201" s="731"/>
      <c r="K201" s="416" t="s">
        <v>606</v>
      </c>
      <c r="L201" s="417">
        <v>2420478.0299999998</v>
      </c>
      <c r="M201" s="418"/>
      <c r="N201" s="419"/>
      <c r="O201" s="366"/>
      <c r="P201" s="366"/>
    </row>
    <row r="202" spans="1:16" ht="33.75" x14ac:dyDescent="0.2">
      <c r="A202" s="414" t="s">
        <v>704</v>
      </c>
      <c r="B202" s="415" t="s">
        <v>705</v>
      </c>
      <c r="C202" s="415" t="s">
        <v>670</v>
      </c>
      <c r="D202" s="415" t="s">
        <v>678</v>
      </c>
      <c r="E202" s="386">
        <v>7210</v>
      </c>
      <c r="F202" s="730">
        <v>3864.96</v>
      </c>
      <c r="G202" s="730"/>
      <c r="H202" s="386">
        <v>162003</v>
      </c>
      <c r="I202" s="731" t="s">
        <v>5</v>
      </c>
      <c r="J202" s="731"/>
      <c r="K202" s="416" t="s">
        <v>606</v>
      </c>
      <c r="L202" s="417">
        <v>2424342.9900000002</v>
      </c>
      <c r="M202" s="418"/>
      <c r="N202" s="419"/>
      <c r="O202" s="366"/>
      <c r="P202" s="366"/>
    </row>
    <row r="203" spans="1:16" ht="33.75" x14ac:dyDescent="0.2">
      <c r="A203" s="414" t="s">
        <v>704</v>
      </c>
      <c r="B203" s="415" t="s">
        <v>705</v>
      </c>
      <c r="C203" s="415" t="s">
        <v>680</v>
      </c>
      <c r="D203" s="415" t="s">
        <v>702</v>
      </c>
      <c r="E203" s="386">
        <v>7210</v>
      </c>
      <c r="F203" s="730">
        <v>1767090</v>
      </c>
      <c r="G203" s="730"/>
      <c r="H203" s="386">
        <v>162003</v>
      </c>
      <c r="I203" s="731" t="s">
        <v>5</v>
      </c>
      <c r="J203" s="731"/>
      <c r="K203" s="416" t="s">
        <v>606</v>
      </c>
      <c r="L203" s="417">
        <v>4191432.99</v>
      </c>
      <c r="M203" s="418"/>
      <c r="N203" s="419"/>
      <c r="O203" s="366"/>
      <c r="P203" s="366"/>
    </row>
    <row r="204" spans="1:16" ht="33.75" x14ac:dyDescent="0.2">
      <c r="A204" s="414" t="s">
        <v>704</v>
      </c>
      <c r="B204" s="415" t="s">
        <v>705</v>
      </c>
      <c r="C204" s="415" t="s">
        <v>672</v>
      </c>
      <c r="D204" s="415" t="s">
        <v>673</v>
      </c>
      <c r="E204" s="386">
        <v>7210</v>
      </c>
      <c r="F204" s="730">
        <v>30302.38</v>
      </c>
      <c r="G204" s="730"/>
      <c r="H204" s="386">
        <v>162003</v>
      </c>
      <c r="I204" s="731" t="s">
        <v>5</v>
      </c>
      <c r="J204" s="731"/>
      <c r="K204" s="416" t="s">
        <v>606</v>
      </c>
      <c r="L204" s="417">
        <v>4221735.37</v>
      </c>
      <c r="M204" s="418"/>
      <c r="N204" s="419"/>
      <c r="O204" s="366"/>
      <c r="P204" s="366"/>
    </row>
    <row r="205" spans="1:16" ht="33.75" x14ac:dyDescent="0.2">
      <c r="A205" s="414" t="s">
        <v>704</v>
      </c>
      <c r="B205" s="415" t="s">
        <v>705</v>
      </c>
      <c r="C205" s="415" t="s">
        <v>680</v>
      </c>
      <c r="D205" s="415" t="s">
        <v>681</v>
      </c>
      <c r="E205" s="386">
        <v>7210</v>
      </c>
      <c r="F205" s="730">
        <v>1930.19</v>
      </c>
      <c r="G205" s="730"/>
      <c r="H205" s="386">
        <v>162003</v>
      </c>
      <c r="I205" s="731" t="s">
        <v>5</v>
      </c>
      <c r="J205" s="731"/>
      <c r="K205" s="416" t="s">
        <v>606</v>
      </c>
      <c r="L205" s="417">
        <v>4223665.5599999996</v>
      </c>
      <c r="M205" s="418"/>
      <c r="N205" s="419"/>
      <c r="O205" s="366"/>
      <c r="P205" s="366"/>
    </row>
    <row r="206" spans="1:16" ht="33.75" x14ac:dyDescent="0.2">
      <c r="A206" s="414" t="s">
        <v>704</v>
      </c>
      <c r="B206" s="415" t="s">
        <v>705</v>
      </c>
      <c r="C206" s="415" t="s">
        <v>670</v>
      </c>
      <c r="D206" s="415" t="s">
        <v>688</v>
      </c>
      <c r="E206" s="386">
        <v>7210</v>
      </c>
      <c r="F206" s="730">
        <v>7769.6</v>
      </c>
      <c r="G206" s="730"/>
      <c r="H206" s="386">
        <v>162003</v>
      </c>
      <c r="I206" s="731" t="s">
        <v>5</v>
      </c>
      <c r="J206" s="731"/>
      <c r="K206" s="416" t="s">
        <v>606</v>
      </c>
      <c r="L206" s="417">
        <v>4231435.16</v>
      </c>
      <c r="M206" s="418"/>
      <c r="N206" s="419"/>
      <c r="O206" s="366"/>
      <c r="P206" s="366"/>
    </row>
    <row r="207" spans="1:16" ht="33.75" x14ac:dyDescent="0.2">
      <c r="A207" s="414" t="s">
        <v>706</v>
      </c>
      <c r="B207" s="415" t="s">
        <v>707</v>
      </c>
      <c r="C207" s="415" t="s">
        <v>667</v>
      </c>
      <c r="D207" s="415" t="s">
        <v>669</v>
      </c>
      <c r="E207" s="386">
        <v>7210</v>
      </c>
      <c r="F207" s="730">
        <v>1878.72</v>
      </c>
      <c r="G207" s="730"/>
      <c r="H207" s="386">
        <v>162003</v>
      </c>
      <c r="I207" s="731" t="s">
        <v>5</v>
      </c>
      <c r="J207" s="731"/>
      <c r="K207" s="416" t="s">
        <v>606</v>
      </c>
      <c r="L207" s="417">
        <v>4233313.88</v>
      </c>
      <c r="M207" s="418"/>
      <c r="N207" s="419"/>
      <c r="O207" s="366"/>
      <c r="P207" s="366"/>
    </row>
    <row r="208" spans="1:16" ht="33.75" x14ac:dyDescent="0.2">
      <c r="A208" s="414" t="s">
        <v>706</v>
      </c>
      <c r="B208" s="415" t="s">
        <v>707</v>
      </c>
      <c r="C208" s="415" t="s">
        <v>670</v>
      </c>
      <c r="D208" s="415" t="s">
        <v>684</v>
      </c>
      <c r="E208" s="386">
        <v>7210</v>
      </c>
      <c r="F208" s="735">
        <v>279.58</v>
      </c>
      <c r="G208" s="735"/>
      <c r="H208" s="386">
        <v>162003</v>
      </c>
      <c r="I208" s="731" t="s">
        <v>5</v>
      </c>
      <c r="J208" s="731"/>
      <c r="K208" s="416" t="s">
        <v>606</v>
      </c>
      <c r="L208" s="417">
        <v>4233593.46</v>
      </c>
      <c r="M208" s="418"/>
      <c r="N208" s="419"/>
      <c r="O208" s="366"/>
      <c r="P208" s="366"/>
    </row>
    <row r="209" spans="1:16" ht="33.75" x14ac:dyDescent="0.2">
      <c r="A209" s="414" t="s">
        <v>706</v>
      </c>
      <c r="B209" s="415" t="s">
        <v>707</v>
      </c>
      <c r="C209" s="415" t="s">
        <v>670</v>
      </c>
      <c r="D209" s="415" t="s">
        <v>684</v>
      </c>
      <c r="E209" s="386">
        <v>7210</v>
      </c>
      <c r="F209" s="735">
        <v>279.58</v>
      </c>
      <c r="G209" s="735"/>
      <c r="H209" s="386">
        <v>162003</v>
      </c>
      <c r="I209" s="731" t="s">
        <v>5</v>
      </c>
      <c r="J209" s="731"/>
      <c r="K209" s="416" t="s">
        <v>606</v>
      </c>
      <c r="L209" s="417">
        <v>4233873.04</v>
      </c>
      <c r="M209" s="418"/>
      <c r="N209" s="419"/>
      <c r="O209" s="366"/>
      <c r="P209" s="366"/>
    </row>
    <row r="210" spans="1:16" ht="33.75" x14ac:dyDescent="0.2">
      <c r="A210" s="414" t="s">
        <v>706</v>
      </c>
      <c r="B210" s="415" t="s">
        <v>707</v>
      </c>
      <c r="C210" s="415" t="s">
        <v>670</v>
      </c>
      <c r="D210" s="415" t="s">
        <v>676</v>
      </c>
      <c r="E210" s="386">
        <v>7210</v>
      </c>
      <c r="F210" s="730">
        <v>7721.73</v>
      </c>
      <c r="G210" s="730"/>
      <c r="H210" s="386">
        <v>162003</v>
      </c>
      <c r="I210" s="731" t="s">
        <v>5</v>
      </c>
      <c r="J210" s="731"/>
      <c r="K210" s="416" t="s">
        <v>606</v>
      </c>
      <c r="L210" s="417">
        <v>4241594.7699999996</v>
      </c>
      <c r="M210" s="418"/>
      <c r="N210" s="419"/>
      <c r="O210" s="366"/>
      <c r="P210" s="366"/>
    </row>
    <row r="211" spans="1:16" ht="33.75" x14ac:dyDescent="0.2">
      <c r="A211" s="414" t="s">
        <v>706</v>
      </c>
      <c r="B211" s="415" t="s">
        <v>707</v>
      </c>
      <c r="C211" s="415" t="s">
        <v>670</v>
      </c>
      <c r="D211" s="415" t="s">
        <v>677</v>
      </c>
      <c r="E211" s="386">
        <v>7210</v>
      </c>
      <c r="F211" s="730">
        <v>3848</v>
      </c>
      <c r="G211" s="730"/>
      <c r="H211" s="386">
        <v>162003</v>
      </c>
      <c r="I211" s="731" t="s">
        <v>5</v>
      </c>
      <c r="J211" s="731"/>
      <c r="K211" s="416" t="s">
        <v>606</v>
      </c>
      <c r="L211" s="417">
        <v>4245442.7699999996</v>
      </c>
      <c r="M211" s="418"/>
      <c r="N211" s="419"/>
      <c r="O211" s="366"/>
      <c r="P211" s="366"/>
    </row>
    <row r="212" spans="1:16" ht="33.75" x14ac:dyDescent="0.2">
      <c r="A212" s="414" t="s">
        <v>706</v>
      </c>
      <c r="B212" s="415" t="s">
        <v>707</v>
      </c>
      <c r="C212" s="415" t="s">
        <v>670</v>
      </c>
      <c r="D212" s="415" t="s">
        <v>679</v>
      </c>
      <c r="E212" s="386">
        <v>7210</v>
      </c>
      <c r="F212" s="730">
        <v>3868.99</v>
      </c>
      <c r="G212" s="730"/>
      <c r="H212" s="386">
        <v>162003</v>
      </c>
      <c r="I212" s="731" t="s">
        <v>5</v>
      </c>
      <c r="J212" s="731"/>
      <c r="K212" s="416" t="s">
        <v>606</v>
      </c>
      <c r="L212" s="417">
        <v>4249311.76</v>
      </c>
      <c r="M212" s="418"/>
      <c r="N212" s="419"/>
      <c r="O212" s="366"/>
      <c r="P212" s="366"/>
    </row>
    <row r="213" spans="1:16" ht="33.75" x14ac:dyDescent="0.2">
      <c r="A213" s="414" t="s">
        <v>706</v>
      </c>
      <c r="B213" s="415" t="s">
        <v>707</v>
      </c>
      <c r="C213" s="415" t="s">
        <v>670</v>
      </c>
      <c r="D213" s="415" t="s">
        <v>679</v>
      </c>
      <c r="E213" s="386">
        <v>7210</v>
      </c>
      <c r="F213" s="730">
        <v>3868.99</v>
      </c>
      <c r="G213" s="730"/>
      <c r="H213" s="386">
        <v>162003</v>
      </c>
      <c r="I213" s="731" t="s">
        <v>5</v>
      </c>
      <c r="J213" s="731"/>
      <c r="K213" s="416" t="s">
        <v>606</v>
      </c>
      <c r="L213" s="417">
        <v>4253180.75</v>
      </c>
      <c r="M213" s="418"/>
      <c r="N213" s="419"/>
      <c r="O213" s="366"/>
      <c r="P213" s="366"/>
    </row>
    <row r="214" spans="1:16" ht="33.75" x14ac:dyDescent="0.2">
      <c r="A214" s="414" t="s">
        <v>706</v>
      </c>
      <c r="B214" s="415" t="s">
        <v>707</v>
      </c>
      <c r="C214" s="415" t="s">
        <v>670</v>
      </c>
      <c r="D214" s="415" t="s">
        <v>682</v>
      </c>
      <c r="E214" s="386">
        <v>7210</v>
      </c>
      <c r="F214" s="730">
        <v>5822.09</v>
      </c>
      <c r="G214" s="730"/>
      <c r="H214" s="386">
        <v>162003</v>
      </c>
      <c r="I214" s="731" t="s">
        <v>5</v>
      </c>
      <c r="J214" s="731"/>
      <c r="K214" s="416" t="s">
        <v>606</v>
      </c>
      <c r="L214" s="417">
        <v>4259002.84</v>
      </c>
      <c r="M214" s="418"/>
      <c r="N214" s="419"/>
      <c r="O214" s="366"/>
      <c r="P214" s="366"/>
    </row>
    <row r="215" spans="1:16" ht="33.75" x14ac:dyDescent="0.2">
      <c r="A215" s="414" t="s">
        <v>706</v>
      </c>
      <c r="B215" s="415" t="s">
        <v>707</v>
      </c>
      <c r="C215" s="415" t="s">
        <v>670</v>
      </c>
      <c r="D215" s="415" t="s">
        <v>683</v>
      </c>
      <c r="E215" s="386">
        <v>7210</v>
      </c>
      <c r="F215" s="730">
        <v>3873.39</v>
      </c>
      <c r="G215" s="730"/>
      <c r="H215" s="386">
        <v>162003</v>
      </c>
      <c r="I215" s="731" t="s">
        <v>5</v>
      </c>
      <c r="J215" s="731"/>
      <c r="K215" s="416" t="s">
        <v>606</v>
      </c>
      <c r="L215" s="417">
        <v>4262876.2300000004</v>
      </c>
      <c r="M215" s="418"/>
      <c r="N215" s="419"/>
      <c r="O215" s="366"/>
      <c r="P215" s="366"/>
    </row>
    <row r="216" spans="1:16" ht="33.75" x14ac:dyDescent="0.2">
      <c r="A216" s="414" t="s">
        <v>706</v>
      </c>
      <c r="B216" s="415" t="s">
        <v>707</v>
      </c>
      <c r="C216" s="415" t="s">
        <v>670</v>
      </c>
      <c r="D216" s="415" t="s">
        <v>674</v>
      </c>
      <c r="E216" s="386">
        <v>7210</v>
      </c>
      <c r="F216" s="730">
        <v>3823.36</v>
      </c>
      <c r="G216" s="730"/>
      <c r="H216" s="386">
        <v>162003</v>
      </c>
      <c r="I216" s="731" t="s">
        <v>5</v>
      </c>
      <c r="J216" s="731"/>
      <c r="K216" s="416" t="s">
        <v>606</v>
      </c>
      <c r="L216" s="417">
        <v>4266699.59</v>
      </c>
      <c r="M216" s="418"/>
      <c r="N216" s="419"/>
      <c r="O216" s="366"/>
      <c r="P216" s="366"/>
    </row>
    <row r="217" spans="1:16" ht="33.75" x14ac:dyDescent="0.2">
      <c r="A217" s="414" t="s">
        <v>706</v>
      </c>
      <c r="B217" s="415" t="s">
        <v>707</v>
      </c>
      <c r="C217" s="415" t="s">
        <v>670</v>
      </c>
      <c r="D217" s="415" t="s">
        <v>675</v>
      </c>
      <c r="E217" s="386">
        <v>7210</v>
      </c>
      <c r="F217" s="730">
        <v>3839.12</v>
      </c>
      <c r="G217" s="730"/>
      <c r="H217" s="386">
        <v>162003</v>
      </c>
      <c r="I217" s="731" t="s">
        <v>5</v>
      </c>
      <c r="J217" s="731"/>
      <c r="K217" s="416" t="s">
        <v>606</v>
      </c>
      <c r="L217" s="417">
        <v>4270538.71</v>
      </c>
      <c r="M217" s="418"/>
      <c r="N217" s="419"/>
      <c r="O217" s="366"/>
      <c r="P217" s="366"/>
    </row>
    <row r="218" spans="1:16" ht="33.75" x14ac:dyDescent="0.2">
      <c r="A218" s="414" t="s">
        <v>706</v>
      </c>
      <c r="B218" s="415" t="s">
        <v>707</v>
      </c>
      <c r="C218" s="415" t="s">
        <v>690</v>
      </c>
      <c r="D218" s="415" t="s">
        <v>695</v>
      </c>
      <c r="E218" s="386">
        <v>7210</v>
      </c>
      <c r="F218" s="730">
        <v>10632.2</v>
      </c>
      <c r="G218" s="730"/>
      <c r="H218" s="386">
        <v>162003</v>
      </c>
      <c r="I218" s="731" t="s">
        <v>5</v>
      </c>
      <c r="J218" s="731"/>
      <c r="K218" s="416" t="s">
        <v>606</v>
      </c>
      <c r="L218" s="417">
        <v>4281170.91</v>
      </c>
      <c r="M218" s="418"/>
      <c r="N218" s="419"/>
      <c r="O218" s="366"/>
      <c r="P218" s="366"/>
    </row>
    <row r="219" spans="1:16" ht="33.75" x14ac:dyDescent="0.2">
      <c r="A219" s="414" t="s">
        <v>706</v>
      </c>
      <c r="B219" s="415" t="s">
        <v>707</v>
      </c>
      <c r="C219" s="415" t="s">
        <v>670</v>
      </c>
      <c r="D219" s="415" t="s">
        <v>687</v>
      </c>
      <c r="E219" s="386">
        <v>7210</v>
      </c>
      <c r="F219" s="730">
        <v>3896.5</v>
      </c>
      <c r="G219" s="730"/>
      <c r="H219" s="386">
        <v>162003</v>
      </c>
      <c r="I219" s="731" t="s">
        <v>5</v>
      </c>
      <c r="J219" s="731"/>
      <c r="K219" s="416" t="s">
        <v>606</v>
      </c>
      <c r="L219" s="417">
        <v>4285067.41</v>
      </c>
      <c r="M219" s="418"/>
      <c r="N219" s="419"/>
      <c r="O219" s="366"/>
      <c r="P219" s="366"/>
    </row>
    <row r="220" spans="1:16" ht="33.75" x14ac:dyDescent="0.2">
      <c r="A220" s="414" t="s">
        <v>706</v>
      </c>
      <c r="B220" s="415" t="s">
        <v>707</v>
      </c>
      <c r="C220" s="415" t="s">
        <v>666</v>
      </c>
      <c r="D220" s="415" t="s">
        <v>604</v>
      </c>
      <c r="E220" s="386">
        <v>7210</v>
      </c>
      <c r="F220" s="730">
        <v>11518.49</v>
      </c>
      <c r="G220" s="730"/>
      <c r="H220" s="386">
        <v>162001</v>
      </c>
      <c r="I220" s="731" t="s">
        <v>5</v>
      </c>
      <c r="J220" s="731"/>
      <c r="K220" s="416" t="s">
        <v>606</v>
      </c>
      <c r="L220" s="417">
        <v>4296585.9000000004</v>
      </c>
      <c r="M220" s="418"/>
      <c r="N220" s="419"/>
      <c r="O220" s="366"/>
      <c r="P220" s="366"/>
    </row>
    <row r="221" spans="1:16" ht="33.75" x14ac:dyDescent="0.2">
      <c r="A221" s="414" t="s">
        <v>706</v>
      </c>
      <c r="B221" s="415" t="s">
        <v>707</v>
      </c>
      <c r="C221" s="415" t="s">
        <v>690</v>
      </c>
      <c r="D221" s="415" t="s">
        <v>644</v>
      </c>
      <c r="E221" s="386">
        <v>7210</v>
      </c>
      <c r="F221" s="730">
        <v>23182.58</v>
      </c>
      <c r="G221" s="730"/>
      <c r="H221" s="386">
        <v>162003</v>
      </c>
      <c r="I221" s="731" t="s">
        <v>5</v>
      </c>
      <c r="J221" s="731"/>
      <c r="K221" s="416" t="s">
        <v>606</v>
      </c>
      <c r="L221" s="417">
        <v>4319768.4800000004</v>
      </c>
      <c r="M221" s="418"/>
      <c r="N221" s="419"/>
      <c r="O221" s="366"/>
      <c r="P221" s="366"/>
    </row>
    <row r="222" spans="1:16" ht="33.75" x14ac:dyDescent="0.2">
      <c r="A222" s="414" t="s">
        <v>706</v>
      </c>
      <c r="B222" s="415" t="s">
        <v>707</v>
      </c>
      <c r="C222" s="415" t="s">
        <v>670</v>
      </c>
      <c r="D222" s="415" t="s">
        <v>689</v>
      </c>
      <c r="E222" s="386">
        <v>7210</v>
      </c>
      <c r="F222" s="730">
        <v>3816.38</v>
      </c>
      <c r="G222" s="730"/>
      <c r="H222" s="386">
        <v>162003</v>
      </c>
      <c r="I222" s="731" t="s">
        <v>5</v>
      </c>
      <c r="J222" s="731"/>
      <c r="K222" s="416" t="s">
        <v>606</v>
      </c>
      <c r="L222" s="417">
        <v>4323584.8600000003</v>
      </c>
      <c r="M222" s="418"/>
      <c r="N222" s="419"/>
      <c r="O222" s="366"/>
      <c r="P222" s="366"/>
    </row>
    <row r="223" spans="1:16" ht="33.75" x14ac:dyDescent="0.2">
      <c r="A223" s="414" t="s">
        <v>706</v>
      </c>
      <c r="B223" s="415" t="s">
        <v>707</v>
      </c>
      <c r="C223" s="415" t="s">
        <v>670</v>
      </c>
      <c r="D223" s="415" t="s">
        <v>685</v>
      </c>
      <c r="E223" s="386">
        <v>7210</v>
      </c>
      <c r="F223" s="730">
        <v>4835.04</v>
      </c>
      <c r="G223" s="730"/>
      <c r="H223" s="386">
        <v>162003</v>
      </c>
      <c r="I223" s="731" t="s">
        <v>5</v>
      </c>
      <c r="J223" s="731"/>
      <c r="K223" s="416" t="s">
        <v>606</v>
      </c>
      <c r="L223" s="417">
        <v>4328419.9000000004</v>
      </c>
      <c r="M223" s="418"/>
      <c r="N223" s="419"/>
      <c r="O223" s="366"/>
      <c r="P223" s="366"/>
    </row>
    <row r="224" spans="1:16" ht="33.75" x14ac:dyDescent="0.2">
      <c r="A224" s="414" t="s">
        <v>706</v>
      </c>
      <c r="B224" s="415" t="s">
        <v>707</v>
      </c>
      <c r="C224" s="415" t="s">
        <v>670</v>
      </c>
      <c r="D224" s="415" t="s">
        <v>686</v>
      </c>
      <c r="E224" s="386">
        <v>7210</v>
      </c>
      <c r="F224" s="730">
        <v>77584.42</v>
      </c>
      <c r="G224" s="730"/>
      <c r="H224" s="386">
        <v>162003</v>
      </c>
      <c r="I224" s="731" t="s">
        <v>5</v>
      </c>
      <c r="J224" s="731"/>
      <c r="K224" s="416" t="s">
        <v>606</v>
      </c>
      <c r="L224" s="417">
        <v>4406004.32</v>
      </c>
      <c r="M224" s="418"/>
      <c r="N224" s="419"/>
      <c r="O224" s="366"/>
      <c r="P224" s="366"/>
    </row>
    <row r="225" spans="1:16" ht="33.75" x14ac:dyDescent="0.2">
      <c r="A225" s="414" t="s">
        <v>706</v>
      </c>
      <c r="B225" s="415" t="s">
        <v>707</v>
      </c>
      <c r="C225" s="415" t="s">
        <v>670</v>
      </c>
      <c r="D225" s="415" t="s">
        <v>686</v>
      </c>
      <c r="E225" s="386">
        <v>7210</v>
      </c>
      <c r="F225" s="730">
        <v>3879.22</v>
      </c>
      <c r="G225" s="730"/>
      <c r="H225" s="386">
        <v>162003</v>
      </c>
      <c r="I225" s="731" t="s">
        <v>5</v>
      </c>
      <c r="J225" s="731"/>
      <c r="K225" s="416" t="s">
        <v>606</v>
      </c>
      <c r="L225" s="417">
        <v>4409883.54</v>
      </c>
      <c r="M225" s="418"/>
      <c r="N225" s="419"/>
      <c r="O225" s="366"/>
      <c r="P225" s="366"/>
    </row>
    <row r="226" spans="1:16" ht="33.75" x14ac:dyDescent="0.2">
      <c r="A226" s="414" t="s">
        <v>706</v>
      </c>
      <c r="B226" s="415" t="s">
        <v>707</v>
      </c>
      <c r="C226" s="415" t="s">
        <v>670</v>
      </c>
      <c r="D226" s="415" t="s">
        <v>686</v>
      </c>
      <c r="E226" s="386">
        <v>7210</v>
      </c>
      <c r="F226" s="730">
        <v>23349.54</v>
      </c>
      <c r="G226" s="730"/>
      <c r="H226" s="386">
        <v>162003</v>
      </c>
      <c r="I226" s="731" t="s">
        <v>5</v>
      </c>
      <c r="J226" s="731"/>
      <c r="K226" s="416" t="s">
        <v>606</v>
      </c>
      <c r="L226" s="417">
        <v>4433233.08</v>
      </c>
      <c r="M226" s="418"/>
      <c r="N226" s="419"/>
      <c r="O226" s="366"/>
      <c r="P226" s="366"/>
    </row>
    <row r="227" spans="1:16" ht="33.75" x14ac:dyDescent="0.2">
      <c r="A227" s="414" t="s">
        <v>706</v>
      </c>
      <c r="B227" s="415" t="s">
        <v>707</v>
      </c>
      <c r="C227" s="415" t="s">
        <v>670</v>
      </c>
      <c r="D227" s="415" t="s">
        <v>686</v>
      </c>
      <c r="E227" s="386">
        <v>7210</v>
      </c>
      <c r="F227" s="730">
        <v>3888.4</v>
      </c>
      <c r="G227" s="730"/>
      <c r="H227" s="386">
        <v>162003</v>
      </c>
      <c r="I227" s="731" t="s">
        <v>5</v>
      </c>
      <c r="J227" s="731"/>
      <c r="K227" s="416" t="s">
        <v>606</v>
      </c>
      <c r="L227" s="417">
        <v>4437121.4800000004</v>
      </c>
      <c r="M227" s="418"/>
      <c r="N227" s="419"/>
      <c r="O227" s="366"/>
      <c r="P227" s="366"/>
    </row>
    <row r="228" spans="1:16" ht="33.75" x14ac:dyDescent="0.2">
      <c r="A228" s="414" t="s">
        <v>706</v>
      </c>
      <c r="B228" s="415" t="s">
        <v>707</v>
      </c>
      <c r="C228" s="415" t="s">
        <v>696</v>
      </c>
      <c r="D228" s="415" t="s">
        <v>697</v>
      </c>
      <c r="E228" s="386">
        <v>7210</v>
      </c>
      <c r="F228" s="730">
        <v>1406.26</v>
      </c>
      <c r="G228" s="730"/>
      <c r="H228" s="386">
        <v>162003</v>
      </c>
      <c r="I228" s="731" t="s">
        <v>5</v>
      </c>
      <c r="J228" s="731"/>
      <c r="K228" s="416" t="s">
        <v>606</v>
      </c>
      <c r="L228" s="417">
        <v>4438527.74</v>
      </c>
      <c r="M228" s="418"/>
      <c r="N228" s="419"/>
      <c r="O228" s="366"/>
      <c r="P228" s="366"/>
    </row>
    <row r="229" spans="1:16" ht="33.75" x14ac:dyDescent="0.2">
      <c r="A229" s="414" t="s">
        <v>706</v>
      </c>
      <c r="B229" s="415" t="s">
        <v>707</v>
      </c>
      <c r="C229" s="415" t="s">
        <v>696</v>
      </c>
      <c r="D229" s="415" t="s">
        <v>698</v>
      </c>
      <c r="E229" s="386">
        <v>7210</v>
      </c>
      <c r="F229" s="730">
        <v>18966.560000000001</v>
      </c>
      <c r="G229" s="730"/>
      <c r="H229" s="386">
        <v>162003</v>
      </c>
      <c r="I229" s="731" t="s">
        <v>5</v>
      </c>
      <c r="J229" s="731"/>
      <c r="K229" s="416" t="s">
        <v>606</v>
      </c>
      <c r="L229" s="417">
        <v>4457494.3</v>
      </c>
      <c r="M229" s="418"/>
      <c r="N229" s="419"/>
      <c r="O229" s="366"/>
      <c r="P229" s="366"/>
    </row>
    <row r="230" spans="1:16" ht="33.75" x14ac:dyDescent="0.2">
      <c r="A230" s="414" t="s">
        <v>706</v>
      </c>
      <c r="B230" s="415" t="s">
        <v>707</v>
      </c>
      <c r="C230" s="415" t="s">
        <v>670</v>
      </c>
      <c r="D230" s="415" t="s">
        <v>699</v>
      </c>
      <c r="E230" s="386">
        <v>7210</v>
      </c>
      <c r="F230" s="730">
        <v>5723.98</v>
      </c>
      <c r="G230" s="730"/>
      <c r="H230" s="386">
        <v>162003</v>
      </c>
      <c r="I230" s="731" t="s">
        <v>5</v>
      </c>
      <c r="J230" s="731"/>
      <c r="K230" s="416" t="s">
        <v>606</v>
      </c>
      <c r="L230" s="417">
        <v>4463218.28</v>
      </c>
      <c r="M230" s="418"/>
      <c r="N230" s="419"/>
      <c r="O230" s="366"/>
      <c r="P230" s="366"/>
    </row>
    <row r="231" spans="1:16" ht="33.75" x14ac:dyDescent="0.2">
      <c r="A231" s="414" t="s">
        <v>706</v>
      </c>
      <c r="B231" s="415" t="s">
        <v>707</v>
      </c>
      <c r="C231" s="415" t="s">
        <v>670</v>
      </c>
      <c r="D231" s="415" t="s">
        <v>700</v>
      </c>
      <c r="E231" s="386">
        <v>7210</v>
      </c>
      <c r="F231" s="730">
        <v>9517.36</v>
      </c>
      <c r="G231" s="730"/>
      <c r="H231" s="386">
        <v>162003</v>
      </c>
      <c r="I231" s="731" t="s">
        <v>5</v>
      </c>
      <c r="J231" s="731"/>
      <c r="K231" s="416" t="s">
        <v>606</v>
      </c>
      <c r="L231" s="417">
        <v>4472735.6399999997</v>
      </c>
      <c r="M231" s="418"/>
      <c r="N231" s="419"/>
      <c r="O231" s="366"/>
      <c r="P231" s="366"/>
    </row>
    <row r="232" spans="1:16" ht="33.75" x14ac:dyDescent="0.2">
      <c r="A232" s="414" t="s">
        <v>706</v>
      </c>
      <c r="B232" s="415" t="s">
        <v>707</v>
      </c>
      <c r="C232" s="415" t="s">
        <v>672</v>
      </c>
      <c r="D232" s="415" t="s">
        <v>643</v>
      </c>
      <c r="E232" s="386">
        <v>7210</v>
      </c>
      <c r="F232" s="730">
        <v>25299.27</v>
      </c>
      <c r="G232" s="730"/>
      <c r="H232" s="386">
        <v>162003</v>
      </c>
      <c r="I232" s="731" t="s">
        <v>5</v>
      </c>
      <c r="J232" s="731"/>
      <c r="K232" s="416" t="s">
        <v>606</v>
      </c>
      <c r="L232" s="417">
        <v>4498034.91</v>
      </c>
      <c r="M232" s="418"/>
      <c r="N232" s="419"/>
      <c r="O232" s="366"/>
      <c r="P232" s="366"/>
    </row>
    <row r="233" spans="1:16" ht="33.75" x14ac:dyDescent="0.2">
      <c r="A233" s="414" t="s">
        <v>706</v>
      </c>
      <c r="B233" s="415" t="s">
        <v>707</v>
      </c>
      <c r="C233" s="415" t="s">
        <v>670</v>
      </c>
      <c r="D233" s="415" t="s">
        <v>694</v>
      </c>
      <c r="E233" s="386">
        <v>7210</v>
      </c>
      <c r="F233" s="730">
        <v>21643.84</v>
      </c>
      <c r="G233" s="730"/>
      <c r="H233" s="386">
        <v>162003</v>
      </c>
      <c r="I233" s="731" t="s">
        <v>5</v>
      </c>
      <c r="J233" s="731"/>
      <c r="K233" s="416" t="s">
        <v>606</v>
      </c>
      <c r="L233" s="417">
        <v>4519678.75</v>
      </c>
      <c r="M233" s="418"/>
      <c r="N233" s="419"/>
      <c r="O233" s="366"/>
      <c r="P233" s="366"/>
    </row>
    <row r="234" spans="1:16" ht="33.75" x14ac:dyDescent="0.2">
      <c r="A234" s="414" t="s">
        <v>706</v>
      </c>
      <c r="B234" s="415" t="s">
        <v>707</v>
      </c>
      <c r="C234" s="415" t="s">
        <v>692</v>
      </c>
      <c r="D234" s="415" t="s">
        <v>693</v>
      </c>
      <c r="E234" s="386">
        <v>7210</v>
      </c>
      <c r="F234" s="730">
        <v>2727.27</v>
      </c>
      <c r="G234" s="730"/>
      <c r="H234" s="386">
        <v>162003</v>
      </c>
      <c r="I234" s="731" t="s">
        <v>5</v>
      </c>
      <c r="J234" s="731"/>
      <c r="K234" s="416" t="s">
        <v>606</v>
      </c>
      <c r="L234" s="417">
        <v>4522406.0199999996</v>
      </c>
      <c r="M234" s="418"/>
      <c r="N234" s="419"/>
      <c r="O234" s="366"/>
      <c r="P234" s="366"/>
    </row>
    <row r="235" spans="1:16" ht="33.75" x14ac:dyDescent="0.2">
      <c r="A235" s="414" t="s">
        <v>706</v>
      </c>
      <c r="B235" s="415" t="s">
        <v>707</v>
      </c>
      <c r="C235" s="415" t="s">
        <v>670</v>
      </c>
      <c r="D235" s="415" t="s">
        <v>645</v>
      </c>
      <c r="E235" s="386">
        <v>7210</v>
      </c>
      <c r="F235" s="730">
        <v>12297.42</v>
      </c>
      <c r="G235" s="730"/>
      <c r="H235" s="386">
        <v>162003</v>
      </c>
      <c r="I235" s="731" t="s">
        <v>5</v>
      </c>
      <c r="J235" s="731"/>
      <c r="K235" s="416" t="s">
        <v>606</v>
      </c>
      <c r="L235" s="417">
        <v>4534703.4400000004</v>
      </c>
      <c r="M235" s="418"/>
      <c r="N235" s="419"/>
      <c r="O235" s="366"/>
      <c r="P235" s="366"/>
    </row>
    <row r="236" spans="1:16" ht="33.75" x14ac:dyDescent="0.2">
      <c r="A236" s="414" t="s">
        <v>706</v>
      </c>
      <c r="B236" s="415" t="s">
        <v>707</v>
      </c>
      <c r="C236" s="415" t="s">
        <v>667</v>
      </c>
      <c r="D236" s="415" t="s">
        <v>640</v>
      </c>
      <c r="E236" s="386">
        <v>7210</v>
      </c>
      <c r="F236" s="730">
        <v>3104.31</v>
      </c>
      <c r="G236" s="730"/>
      <c r="H236" s="386">
        <v>162003</v>
      </c>
      <c r="I236" s="731" t="s">
        <v>5</v>
      </c>
      <c r="J236" s="731"/>
      <c r="K236" s="416" t="s">
        <v>606</v>
      </c>
      <c r="L236" s="417">
        <v>4537807.75</v>
      </c>
      <c r="M236" s="418"/>
      <c r="N236" s="419"/>
      <c r="O236" s="366"/>
      <c r="P236" s="366"/>
    </row>
    <row r="237" spans="1:16" ht="33.75" x14ac:dyDescent="0.2">
      <c r="A237" s="414" t="s">
        <v>706</v>
      </c>
      <c r="B237" s="415" t="s">
        <v>707</v>
      </c>
      <c r="C237" s="415" t="s">
        <v>672</v>
      </c>
      <c r="D237" s="415" t="s">
        <v>641</v>
      </c>
      <c r="E237" s="386">
        <v>7210</v>
      </c>
      <c r="F237" s="730">
        <v>4352.1899999999996</v>
      </c>
      <c r="G237" s="730"/>
      <c r="H237" s="386">
        <v>162003</v>
      </c>
      <c r="I237" s="731" t="s">
        <v>5</v>
      </c>
      <c r="J237" s="731"/>
      <c r="K237" s="416" t="s">
        <v>606</v>
      </c>
      <c r="L237" s="417">
        <v>4542159.9400000004</v>
      </c>
      <c r="M237" s="418"/>
      <c r="N237" s="419"/>
      <c r="O237" s="366"/>
      <c r="P237" s="366"/>
    </row>
    <row r="238" spans="1:16" ht="33.75" x14ac:dyDescent="0.2">
      <c r="A238" s="414" t="s">
        <v>706</v>
      </c>
      <c r="B238" s="415" t="s">
        <v>707</v>
      </c>
      <c r="C238" s="415" t="s">
        <v>670</v>
      </c>
      <c r="D238" s="415" t="s">
        <v>642</v>
      </c>
      <c r="E238" s="386">
        <v>7210</v>
      </c>
      <c r="F238" s="730">
        <v>2513.5100000000002</v>
      </c>
      <c r="G238" s="730"/>
      <c r="H238" s="386">
        <v>162003</v>
      </c>
      <c r="I238" s="731" t="s">
        <v>5</v>
      </c>
      <c r="J238" s="731"/>
      <c r="K238" s="416" t="s">
        <v>606</v>
      </c>
      <c r="L238" s="417">
        <v>4544673.45</v>
      </c>
      <c r="M238" s="418"/>
      <c r="N238" s="419"/>
      <c r="O238" s="366"/>
      <c r="P238" s="366"/>
    </row>
    <row r="239" spans="1:16" ht="33.75" x14ac:dyDescent="0.2">
      <c r="A239" s="414" t="s">
        <v>706</v>
      </c>
      <c r="B239" s="415" t="s">
        <v>707</v>
      </c>
      <c r="C239" s="415" t="s">
        <v>670</v>
      </c>
      <c r="D239" s="415" t="s">
        <v>701</v>
      </c>
      <c r="E239" s="386">
        <v>7210</v>
      </c>
      <c r="F239" s="730">
        <v>3802.13</v>
      </c>
      <c r="G239" s="730"/>
      <c r="H239" s="386">
        <v>162003</v>
      </c>
      <c r="I239" s="731" t="s">
        <v>5</v>
      </c>
      <c r="J239" s="731"/>
      <c r="K239" s="416" t="s">
        <v>606</v>
      </c>
      <c r="L239" s="417">
        <v>4548475.58</v>
      </c>
      <c r="M239" s="418"/>
      <c r="N239" s="419"/>
      <c r="O239" s="366"/>
      <c r="P239" s="366"/>
    </row>
    <row r="240" spans="1:16" ht="33.75" x14ac:dyDescent="0.2">
      <c r="A240" s="414" t="s">
        <v>706</v>
      </c>
      <c r="B240" s="415" t="s">
        <v>707</v>
      </c>
      <c r="C240" s="415" t="s">
        <v>670</v>
      </c>
      <c r="D240" s="415" t="s">
        <v>678</v>
      </c>
      <c r="E240" s="386">
        <v>7210</v>
      </c>
      <c r="F240" s="730">
        <v>3864.96</v>
      </c>
      <c r="G240" s="730"/>
      <c r="H240" s="386">
        <v>162003</v>
      </c>
      <c r="I240" s="731" t="s">
        <v>5</v>
      </c>
      <c r="J240" s="731"/>
      <c r="K240" s="416" t="s">
        <v>606</v>
      </c>
      <c r="L240" s="417">
        <v>4552340.54</v>
      </c>
      <c r="M240" s="418"/>
      <c r="N240" s="419"/>
      <c r="O240" s="366"/>
      <c r="P240" s="366"/>
    </row>
    <row r="241" spans="1:16" ht="33.75" x14ac:dyDescent="0.2">
      <c r="A241" s="414" t="s">
        <v>706</v>
      </c>
      <c r="B241" s="415" t="s">
        <v>707</v>
      </c>
      <c r="C241" s="415" t="s">
        <v>680</v>
      </c>
      <c r="D241" s="415" t="s">
        <v>702</v>
      </c>
      <c r="E241" s="386">
        <v>7210</v>
      </c>
      <c r="F241" s="730">
        <v>1602673.8</v>
      </c>
      <c r="G241" s="730"/>
      <c r="H241" s="386">
        <v>162003</v>
      </c>
      <c r="I241" s="731" t="s">
        <v>5</v>
      </c>
      <c r="J241" s="731"/>
      <c r="K241" s="416" t="s">
        <v>606</v>
      </c>
      <c r="L241" s="417">
        <v>6155014.3399999999</v>
      </c>
      <c r="M241" s="418"/>
      <c r="N241" s="419"/>
      <c r="O241" s="366"/>
      <c r="P241" s="366"/>
    </row>
    <row r="242" spans="1:16" ht="33.75" x14ac:dyDescent="0.2">
      <c r="A242" s="414" t="s">
        <v>706</v>
      </c>
      <c r="B242" s="415" t="s">
        <v>707</v>
      </c>
      <c r="C242" s="415" t="s">
        <v>672</v>
      </c>
      <c r="D242" s="415" t="s">
        <v>673</v>
      </c>
      <c r="E242" s="386">
        <v>7210</v>
      </c>
      <c r="F242" s="730">
        <v>15487.79</v>
      </c>
      <c r="G242" s="730"/>
      <c r="H242" s="386">
        <v>162003</v>
      </c>
      <c r="I242" s="731" t="s">
        <v>5</v>
      </c>
      <c r="J242" s="731"/>
      <c r="K242" s="416" t="s">
        <v>606</v>
      </c>
      <c r="L242" s="417">
        <v>6170502.1299999999</v>
      </c>
      <c r="M242" s="418"/>
      <c r="N242" s="419"/>
      <c r="O242" s="366"/>
      <c r="P242" s="366"/>
    </row>
    <row r="243" spans="1:16" ht="33.75" x14ac:dyDescent="0.2">
      <c r="A243" s="414" t="s">
        <v>706</v>
      </c>
      <c r="B243" s="415" t="s">
        <v>707</v>
      </c>
      <c r="C243" s="415" t="s">
        <v>680</v>
      </c>
      <c r="D243" s="415" t="s">
        <v>681</v>
      </c>
      <c r="E243" s="386">
        <v>7210</v>
      </c>
      <c r="F243" s="730">
        <v>1930.19</v>
      </c>
      <c r="G243" s="730"/>
      <c r="H243" s="386">
        <v>162003</v>
      </c>
      <c r="I243" s="731" t="s">
        <v>5</v>
      </c>
      <c r="J243" s="731"/>
      <c r="K243" s="416" t="s">
        <v>606</v>
      </c>
      <c r="L243" s="417">
        <v>6172432.3200000003</v>
      </c>
      <c r="M243" s="418"/>
      <c r="N243" s="419"/>
      <c r="O243" s="366"/>
      <c r="P243" s="366"/>
    </row>
    <row r="244" spans="1:16" ht="33.75" x14ac:dyDescent="0.2">
      <c r="A244" s="414" t="s">
        <v>706</v>
      </c>
      <c r="B244" s="415" t="s">
        <v>707</v>
      </c>
      <c r="C244" s="415" t="s">
        <v>670</v>
      </c>
      <c r="D244" s="415" t="s">
        <v>688</v>
      </c>
      <c r="E244" s="386">
        <v>7210</v>
      </c>
      <c r="F244" s="730">
        <v>7769.6</v>
      </c>
      <c r="G244" s="730"/>
      <c r="H244" s="386">
        <v>162003</v>
      </c>
      <c r="I244" s="731" t="s">
        <v>5</v>
      </c>
      <c r="J244" s="731"/>
      <c r="K244" s="416" t="s">
        <v>606</v>
      </c>
      <c r="L244" s="417">
        <v>6180201.9199999999</v>
      </c>
      <c r="M244" s="418"/>
      <c r="N244" s="419"/>
      <c r="O244" s="366"/>
      <c r="P244" s="366"/>
    </row>
    <row r="245" spans="1:16" x14ac:dyDescent="0.2">
      <c r="A245" s="736" t="s">
        <v>663</v>
      </c>
      <c r="B245" s="736"/>
      <c r="C245" s="736"/>
      <c r="D245" s="736"/>
      <c r="E245" s="737">
        <v>6180201.9199999999</v>
      </c>
      <c r="F245" s="737"/>
      <c r="G245" s="737"/>
      <c r="H245" s="738">
        <v>0</v>
      </c>
      <c r="I245" s="738"/>
      <c r="J245" s="738"/>
      <c r="K245" s="410" t="s">
        <v>606</v>
      </c>
      <c r="L245" s="420">
        <v>6180201.9199999999</v>
      </c>
      <c r="M245" s="412"/>
      <c r="N245" s="413">
        <v>0</v>
      </c>
      <c r="O245" s="366"/>
      <c r="P245" s="366"/>
    </row>
    <row r="246" spans="1:16" x14ac:dyDescent="0.2">
      <c r="A246" s="366"/>
      <c r="B246" s="366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</row>
    <row r="247" spans="1:16" x14ac:dyDescent="0.2">
      <c r="A247" s="366"/>
      <c r="B247" s="366"/>
      <c r="C247" s="366"/>
      <c r="D247" s="366"/>
      <c r="E247" s="366"/>
      <c r="F247" s="366"/>
      <c r="G247" s="422">
        <f>F131+F132+F159+F183+F197+F220+F234</f>
        <v>40390.079999999994</v>
      </c>
      <c r="H247" s="366"/>
      <c r="I247" s="366"/>
      <c r="J247" s="366"/>
      <c r="K247" s="366"/>
      <c r="L247" s="366"/>
      <c r="M247" s="366"/>
      <c r="N247" s="366"/>
      <c r="O247" s="366"/>
      <c r="P247" s="366"/>
    </row>
    <row r="248" spans="1:16" x14ac:dyDescent="0.2">
      <c r="A248" s="366"/>
      <c r="B248" s="366"/>
      <c r="C248" s="366"/>
      <c r="D248" s="366"/>
      <c r="E248" s="366"/>
      <c r="F248" s="366"/>
      <c r="G248" s="422">
        <f>SUBTOTAL(9,F133:G244)</f>
        <v>6171030.6300000008</v>
      </c>
      <c r="H248" s="366"/>
      <c r="I248" s="366"/>
      <c r="J248" s="366"/>
      <c r="K248" s="366"/>
      <c r="L248" s="366"/>
      <c r="M248" s="366"/>
      <c r="N248" s="366"/>
      <c r="O248" s="366"/>
      <c r="P248" s="366"/>
    </row>
    <row r="249" spans="1:16" x14ac:dyDescent="0.2">
      <c r="A249" s="366"/>
      <c r="B249" s="366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</row>
    <row r="250" spans="1:16" x14ac:dyDescent="0.2">
      <c r="A250" s="366"/>
      <c r="B250" s="366"/>
      <c r="C250" s="366"/>
      <c r="D250" s="366"/>
      <c r="E250" s="366"/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</row>
    <row r="251" spans="1:16" x14ac:dyDescent="0.2">
      <c r="A251" s="366"/>
      <c r="B251" s="366"/>
      <c r="C251" s="366"/>
      <c r="D251" s="366"/>
      <c r="E251" s="366"/>
      <c r="F251" s="366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</row>
    <row r="252" spans="1:16" x14ac:dyDescent="0.2">
      <c r="A252" s="366"/>
      <c r="B252" s="366"/>
      <c r="C252" s="366"/>
      <c r="D252" s="366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</row>
    <row r="253" spans="1:16" x14ac:dyDescent="0.2">
      <c r="A253" s="366"/>
      <c r="B253" s="366"/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</row>
    <row r="254" spans="1:16" x14ac:dyDescent="0.2">
      <c r="A254" s="366"/>
      <c r="B254" s="366"/>
      <c r="C254" s="366"/>
      <c r="D254" s="366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</row>
    <row r="255" spans="1:16" x14ac:dyDescent="0.2">
      <c r="A255" s="366"/>
      <c r="B255" s="366"/>
      <c r="C255" s="366"/>
      <c r="D255" s="366"/>
      <c r="E255" s="366"/>
      <c r="F255" s="366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</row>
    <row r="256" spans="1:16" x14ac:dyDescent="0.2">
      <c r="A256" s="366"/>
      <c r="B256" s="366"/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</row>
    <row r="257" spans="1:16" x14ac:dyDescent="0.2">
      <c r="A257" s="366"/>
      <c r="B257" s="366"/>
      <c r="C257" s="366"/>
      <c r="D257" s="366"/>
      <c r="E257" s="366"/>
      <c r="F257" s="366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</row>
    <row r="258" spans="1:16" x14ac:dyDescent="0.2">
      <c r="A258" s="366"/>
      <c r="B258" s="366"/>
      <c r="C258" s="366"/>
      <c r="D258" s="366"/>
      <c r="E258" s="366"/>
      <c r="F258" s="366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</row>
    <row r="259" spans="1:16" x14ac:dyDescent="0.2">
      <c r="A259" s="366"/>
      <c r="B259" s="366"/>
      <c r="C259" s="366"/>
      <c r="D259" s="366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</row>
    <row r="260" spans="1:16" x14ac:dyDescent="0.2">
      <c r="A260" s="366"/>
      <c r="B260" s="366"/>
      <c r="C260" s="366"/>
      <c r="D260" s="366"/>
      <c r="E260" s="366"/>
      <c r="F260" s="366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</row>
    <row r="261" spans="1:16" x14ac:dyDescent="0.2">
      <c r="A261" s="366"/>
      <c r="B261" s="366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</row>
    <row r="262" spans="1:16" x14ac:dyDescent="0.2">
      <c r="A262" s="366"/>
      <c r="B262" s="366"/>
      <c r="C262" s="366"/>
      <c r="D262" s="366"/>
      <c r="E262" s="366"/>
      <c r="F262" s="366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</row>
    <row r="263" spans="1:16" x14ac:dyDescent="0.2">
      <c r="A263" s="366"/>
      <c r="B263" s="366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</row>
    <row r="264" spans="1:16" x14ac:dyDescent="0.2">
      <c r="A264" s="366"/>
      <c r="B264" s="366"/>
      <c r="C264" s="366"/>
      <c r="D264" s="366"/>
      <c r="E264" s="366"/>
      <c r="F264" s="366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</row>
    <row r="265" spans="1:16" x14ac:dyDescent="0.2">
      <c r="A265" s="366"/>
      <c r="B265" s="366"/>
      <c r="C265" s="366"/>
      <c r="D265" s="366"/>
      <c r="E265" s="366"/>
      <c r="F265" s="366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</row>
    <row r="266" spans="1:16" x14ac:dyDescent="0.2">
      <c r="A266" s="366"/>
      <c r="B266" s="366"/>
      <c r="C266" s="366"/>
      <c r="D266" s="366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</row>
    <row r="267" spans="1:16" x14ac:dyDescent="0.2">
      <c r="A267" s="366"/>
      <c r="B267" s="366"/>
      <c r="C267" s="366"/>
      <c r="D267" s="366"/>
      <c r="E267" s="366"/>
      <c r="F267" s="366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</row>
    <row r="268" spans="1:16" x14ac:dyDescent="0.2">
      <c r="A268" s="366"/>
      <c r="B268" s="366"/>
      <c r="C268" s="366"/>
      <c r="D268" s="366"/>
      <c r="E268" s="366"/>
      <c r="F268" s="366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</row>
    <row r="269" spans="1:16" x14ac:dyDescent="0.2">
      <c r="A269" s="366"/>
      <c r="B269" s="366"/>
      <c r="C269" s="366"/>
      <c r="D269" s="366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</row>
  </sheetData>
  <autoFilter ref="A3:N124" xr:uid="{C6BA5B8E-3970-4B9E-BF23-41525E74544B}">
    <filterColumn colId="3">
      <filters blank="1">
        <filter val="Bloomberg 03/13/21 - 06/11/21"/>
        <filter val="Bloomberg Finance L.P 12.10.2020 - 11.10.2021"/>
        <filter val="Go Daddy Operating Company, LLC 01.10.2020 - 30.09.2021"/>
        <filter val="Go Daddy Operating Company, LLC 02.06.2021 - 01.06.2022"/>
        <filter val="Go Daddy Operating Company, LLC 03.02.2021 - 02.02.2022"/>
        <filter val="Go Daddy Operating Company, LLC 05.10.2020 - 04.10.2021"/>
        <filter val="Go Daddy Operating Company, LLC 06.11.2020 - 05.11.2021"/>
        <filter val="Go Daddy Operating Company, LLC 07.06.2021 - 06.06.2022"/>
        <filter val="Go Daddy Operating Company, LLC 13.06.2021 - 12.06.2022 (почта Акбара)"/>
        <filter val="Go Daddy Operating Company, LLC 13.06.2021 - 12.06.2022 (почта Ануара)"/>
        <filter val="Go Daddy Operating Company, LLC 13.06.2021 - 12.06.2022 (почта Дастана)"/>
        <filter val="Go Daddy Operating Company, LLC 14.06.2020 - 13.06.2021"/>
        <filter val="Go Daddy Operating Company, LLC 20.02.2021 - 19.02.2022"/>
        <filter val="Go Daddy Operating Company, LLC 25.12.2020 - 24.12.2021"/>
        <filter val="Антивирус Касперского с 01.06.2021г. по 31.05.2022г."/>
        <filter val="Антивирус Касперского с 01.11.2020г. по 31.10.2021г."/>
        <filter val="Антивирус Касперского с 08.04.2021г. по 07.04.2022г."/>
        <filter val="Антивирус Касперского с 11.05.2020г. по 10.05.2021г."/>
        <filter val="Антивирус Касперского с 28.07.2020г. по 31.07.2021г."/>
        <filter val="ГА по использованию ЭЦП etransfer.kz 01/06/2021-31/05/2022 Мендыбаев М"/>
        <filter val="ГА по использованию ЭЦП is2in 01/06/2021-31/05/2022 Назарова Н"/>
        <filter val="Годовой абонемент по использованию ЭЦП E trade за 2020"/>
        <filter val="Годовой абонемент по использованию ЭЦП etransfer.kz за 2021"/>
        <filter val="Защита сайта Bluehost-Endurance International Group 03.06.2021-02.06.2022"/>
        <filter val="Подписка ИС Параграф WWW SILVER+ (05.02.2021 по 04.02.2022)"/>
        <filter val="Подписка ИС Параграф WWW Эксперт (01.06.2020 по 31.05.2021)"/>
        <filter val="Подписка ИС Параграф WWW Эксперт (01.06.2021 по 31.05.2022)"/>
        <filter val="Продление домена  tengripartners.kz"/>
        <filter val="продление регистрации домена e-advisory.kz на 1 год"/>
        <filter val="продление регистрации домена e-dashboard.kz на 1 год"/>
        <filter val="продление регистрации домена e-finance.kz на 1 год"/>
        <filter val="продление регистрации домена e-funds.kz на 1 год"/>
        <filter val="продление регистрации домена e-investment.kz на 1 год"/>
        <filter val="продление регистрации домена e-invoice.kz на 1 год"/>
        <filter val="продление регистрации домена e-mortgage.kz на 1 год"/>
        <filter val="продление регистрации домена e-pensions.kz на 1 год"/>
        <filter val="продление регистрации домена e-research.kz на 1 год"/>
        <filter val="продление регистрации домена pensions.kz на 1 год"/>
        <filter val="Продление регистрации домена tpib.kz на 1 год 12/05/2021-11/05/2022"/>
        <filter val="Регистрация домена  tengricapital"/>
        <filter val="Сертификат для эл. почты Bluehost-Endurance International Group 16.07.2020-29.07.2021"/>
        <filter val="Сертификат для эл. почты Bluehost-Endurance International Group 18.10.2020-16.10.2021"/>
        <filter val="Сертификат для эл. почты Bluehost-Endurance International Group 19.05.2020-18.05.2021"/>
      </filters>
    </filterColumn>
  </autoFilter>
  <mergeCells count="494">
    <mergeCell ref="A245:D245"/>
    <mergeCell ref="E245:G245"/>
    <mergeCell ref="H245:J245"/>
    <mergeCell ref="F242:G242"/>
    <mergeCell ref="I242:J242"/>
    <mergeCell ref="F243:G243"/>
    <mergeCell ref="I243:J243"/>
    <mergeCell ref="F244:G244"/>
    <mergeCell ref="I244:J244"/>
    <mergeCell ref="F239:G239"/>
    <mergeCell ref="I239:J239"/>
    <mergeCell ref="F240:G240"/>
    <mergeCell ref="I240:J240"/>
    <mergeCell ref="F241:G241"/>
    <mergeCell ref="I241:J241"/>
    <mergeCell ref="F236:G236"/>
    <mergeCell ref="I236:J236"/>
    <mergeCell ref="F237:G237"/>
    <mergeCell ref="I237:J237"/>
    <mergeCell ref="F238:G238"/>
    <mergeCell ref="I238:J238"/>
    <mergeCell ref="F233:G233"/>
    <mergeCell ref="I233:J233"/>
    <mergeCell ref="F234:G234"/>
    <mergeCell ref="I234:J234"/>
    <mergeCell ref="F235:G235"/>
    <mergeCell ref="I235:J235"/>
    <mergeCell ref="F230:G230"/>
    <mergeCell ref="I230:J230"/>
    <mergeCell ref="F231:G231"/>
    <mergeCell ref="I231:J231"/>
    <mergeCell ref="F232:G232"/>
    <mergeCell ref="I232:J232"/>
    <mergeCell ref="F227:G227"/>
    <mergeCell ref="I227:J227"/>
    <mergeCell ref="F228:G228"/>
    <mergeCell ref="I228:J228"/>
    <mergeCell ref="F229:G229"/>
    <mergeCell ref="I229:J229"/>
    <mergeCell ref="F224:G224"/>
    <mergeCell ref="I224:J224"/>
    <mergeCell ref="F225:G225"/>
    <mergeCell ref="I225:J225"/>
    <mergeCell ref="F226:G226"/>
    <mergeCell ref="I226:J226"/>
    <mergeCell ref="F221:G221"/>
    <mergeCell ref="I221:J221"/>
    <mergeCell ref="F222:G222"/>
    <mergeCell ref="I222:J222"/>
    <mergeCell ref="F223:G223"/>
    <mergeCell ref="I223:J223"/>
    <mergeCell ref="F218:G218"/>
    <mergeCell ref="I218:J218"/>
    <mergeCell ref="F219:G219"/>
    <mergeCell ref="I219:J219"/>
    <mergeCell ref="F220:G220"/>
    <mergeCell ref="I220:J220"/>
    <mergeCell ref="F215:G215"/>
    <mergeCell ref="I215:J215"/>
    <mergeCell ref="F216:G216"/>
    <mergeCell ref="I216:J216"/>
    <mergeCell ref="F217:G217"/>
    <mergeCell ref="I217:J217"/>
    <mergeCell ref="F212:G212"/>
    <mergeCell ref="I212:J212"/>
    <mergeCell ref="F213:G213"/>
    <mergeCell ref="I213:J213"/>
    <mergeCell ref="F214:G214"/>
    <mergeCell ref="I214:J214"/>
    <mergeCell ref="F209:G209"/>
    <mergeCell ref="I209:J209"/>
    <mergeCell ref="F210:G210"/>
    <mergeCell ref="I210:J210"/>
    <mergeCell ref="F211:G211"/>
    <mergeCell ref="I211:J211"/>
    <mergeCell ref="F206:G206"/>
    <mergeCell ref="I206:J206"/>
    <mergeCell ref="F207:G207"/>
    <mergeCell ref="I207:J207"/>
    <mergeCell ref="F208:G208"/>
    <mergeCell ref="I208:J208"/>
    <mergeCell ref="F203:G203"/>
    <mergeCell ref="I203:J203"/>
    <mergeCell ref="F204:G204"/>
    <mergeCell ref="I204:J204"/>
    <mergeCell ref="F205:G205"/>
    <mergeCell ref="I205:J205"/>
    <mergeCell ref="F200:G200"/>
    <mergeCell ref="I200:J200"/>
    <mergeCell ref="F201:G201"/>
    <mergeCell ref="I201:J201"/>
    <mergeCell ref="F202:G202"/>
    <mergeCell ref="I202:J202"/>
    <mergeCell ref="F197:G197"/>
    <mergeCell ref="I197:J197"/>
    <mergeCell ref="F198:G198"/>
    <mergeCell ref="I198:J198"/>
    <mergeCell ref="F199:G199"/>
    <mergeCell ref="I199:J199"/>
    <mergeCell ref="F194:G194"/>
    <mergeCell ref="I194:J194"/>
    <mergeCell ref="F195:G195"/>
    <mergeCell ref="I195:J195"/>
    <mergeCell ref="F196:G196"/>
    <mergeCell ref="I196:J196"/>
    <mergeCell ref="F191:G191"/>
    <mergeCell ref="I191:J191"/>
    <mergeCell ref="F192:G192"/>
    <mergeCell ref="I192:J192"/>
    <mergeCell ref="F193:G193"/>
    <mergeCell ref="I193:J193"/>
    <mergeCell ref="F188:G188"/>
    <mergeCell ref="I188:J188"/>
    <mergeCell ref="F189:G189"/>
    <mergeCell ref="I189:J189"/>
    <mergeCell ref="F190:G190"/>
    <mergeCell ref="I190:J190"/>
    <mergeCell ref="F185:G185"/>
    <mergeCell ref="I185:J185"/>
    <mergeCell ref="F186:G186"/>
    <mergeCell ref="I186:J186"/>
    <mergeCell ref="F187:G187"/>
    <mergeCell ref="I187:J187"/>
    <mergeCell ref="F182:G182"/>
    <mergeCell ref="I182:J182"/>
    <mergeCell ref="F183:G183"/>
    <mergeCell ref="I183:J183"/>
    <mergeCell ref="F184:G184"/>
    <mergeCell ref="I184:J184"/>
    <mergeCell ref="F179:G179"/>
    <mergeCell ref="I179:J179"/>
    <mergeCell ref="F180:G180"/>
    <mergeCell ref="I180:J180"/>
    <mergeCell ref="F181:G181"/>
    <mergeCell ref="I181:J181"/>
    <mergeCell ref="F176:G176"/>
    <mergeCell ref="I176:J176"/>
    <mergeCell ref="F177:G177"/>
    <mergeCell ref="I177:J177"/>
    <mergeCell ref="F178:G178"/>
    <mergeCell ref="I178:J178"/>
    <mergeCell ref="F173:G173"/>
    <mergeCell ref="I173:J173"/>
    <mergeCell ref="F174:G174"/>
    <mergeCell ref="I174:J174"/>
    <mergeCell ref="F175:G175"/>
    <mergeCell ref="I175:J175"/>
    <mergeCell ref="F170:G170"/>
    <mergeCell ref="I170:J170"/>
    <mergeCell ref="F171:G171"/>
    <mergeCell ref="I171:J171"/>
    <mergeCell ref="F172:G172"/>
    <mergeCell ref="I172:J172"/>
    <mergeCell ref="F167:G167"/>
    <mergeCell ref="I167:J167"/>
    <mergeCell ref="F168:G168"/>
    <mergeCell ref="I168:J168"/>
    <mergeCell ref="F169:G169"/>
    <mergeCell ref="I169:J169"/>
    <mergeCell ref="F164:G164"/>
    <mergeCell ref="I164:J164"/>
    <mergeCell ref="F165:G165"/>
    <mergeCell ref="I165:J165"/>
    <mergeCell ref="F166:G166"/>
    <mergeCell ref="I166:J166"/>
    <mergeCell ref="F161:G161"/>
    <mergeCell ref="I161:J161"/>
    <mergeCell ref="F162:G162"/>
    <mergeCell ref="I162:J162"/>
    <mergeCell ref="F163:G163"/>
    <mergeCell ref="I163:J163"/>
    <mergeCell ref="F158:G158"/>
    <mergeCell ref="I158:J158"/>
    <mergeCell ref="F159:G159"/>
    <mergeCell ref="I159:J159"/>
    <mergeCell ref="F160:G160"/>
    <mergeCell ref="I160:J160"/>
    <mergeCell ref="F155:G155"/>
    <mergeCell ref="I155:J155"/>
    <mergeCell ref="F156:G156"/>
    <mergeCell ref="I156:J156"/>
    <mergeCell ref="F157:G157"/>
    <mergeCell ref="I157:J157"/>
    <mergeCell ref="F152:G152"/>
    <mergeCell ref="I152:J152"/>
    <mergeCell ref="F153:G153"/>
    <mergeCell ref="I153:J153"/>
    <mergeCell ref="F154:G154"/>
    <mergeCell ref="I154:J154"/>
    <mergeCell ref="F149:G149"/>
    <mergeCell ref="I149:J149"/>
    <mergeCell ref="F150:G150"/>
    <mergeCell ref="I150:J150"/>
    <mergeCell ref="F151:G151"/>
    <mergeCell ref="I151:J151"/>
    <mergeCell ref="F146:G146"/>
    <mergeCell ref="I146:J146"/>
    <mergeCell ref="F147:G147"/>
    <mergeCell ref="I147:J147"/>
    <mergeCell ref="F148:G148"/>
    <mergeCell ref="I148:J148"/>
    <mergeCell ref="F143:G143"/>
    <mergeCell ref="I143:J143"/>
    <mergeCell ref="F144:G144"/>
    <mergeCell ref="I144:J144"/>
    <mergeCell ref="F145:G145"/>
    <mergeCell ref="I145:J145"/>
    <mergeCell ref="F140:G140"/>
    <mergeCell ref="I140:J140"/>
    <mergeCell ref="F141:G141"/>
    <mergeCell ref="I141:J141"/>
    <mergeCell ref="F142:G142"/>
    <mergeCell ref="I142:J142"/>
    <mergeCell ref="F137:G137"/>
    <mergeCell ref="I137:J137"/>
    <mergeCell ref="F138:G138"/>
    <mergeCell ref="I138:J138"/>
    <mergeCell ref="F139:G139"/>
    <mergeCell ref="I139:J139"/>
    <mergeCell ref="F134:G134"/>
    <mergeCell ref="I134:J134"/>
    <mergeCell ref="F135:G135"/>
    <mergeCell ref="I135:J135"/>
    <mergeCell ref="F136:G136"/>
    <mergeCell ref="I136:J136"/>
    <mergeCell ref="F131:G131"/>
    <mergeCell ref="I131:J131"/>
    <mergeCell ref="F132:G132"/>
    <mergeCell ref="I132:J132"/>
    <mergeCell ref="F133:G133"/>
    <mergeCell ref="I133:J133"/>
    <mergeCell ref="K128:L129"/>
    <mergeCell ref="M128:N129"/>
    <mergeCell ref="F129:G129"/>
    <mergeCell ref="I129:J129"/>
    <mergeCell ref="A124:D124"/>
    <mergeCell ref="E124:G124"/>
    <mergeCell ref="H124:J124"/>
    <mergeCell ref="A128:A129"/>
    <mergeCell ref="B128:B129"/>
    <mergeCell ref="C128:C129"/>
    <mergeCell ref="D128:D129"/>
    <mergeCell ref="E128:G128"/>
    <mergeCell ref="H128:J128"/>
    <mergeCell ref="F121:G121"/>
    <mergeCell ref="I121:J121"/>
    <mergeCell ref="F122:G122"/>
    <mergeCell ref="I122:J122"/>
    <mergeCell ref="F123:G123"/>
    <mergeCell ref="I123:J123"/>
    <mergeCell ref="F118:G118"/>
    <mergeCell ref="I118:J118"/>
    <mergeCell ref="F119:G119"/>
    <mergeCell ref="I119:J119"/>
    <mergeCell ref="F120:G120"/>
    <mergeCell ref="I120:J120"/>
    <mergeCell ref="F115:G115"/>
    <mergeCell ref="I115:J115"/>
    <mergeCell ref="F116:G116"/>
    <mergeCell ref="I116:J116"/>
    <mergeCell ref="F117:G117"/>
    <mergeCell ref="I117:J117"/>
    <mergeCell ref="F112:G112"/>
    <mergeCell ref="I112:J112"/>
    <mergeCell ref="F113:G113"/>
    <mergeCell ref="I113:J113"/>
    <mergeCell ref="F114:G114"/>
    <mergeCell ref="I114:J114"/>
    <mergeCell ref="F109:G109"/>
    <mergeCell ref="I109:J109"/>
    <mergeCell ref="F110:G110"/>
    <mergeCell ref="I110:J110"/>
    <mergeCell ref="F111:G111"/>
    <mergeCell ref="I111:J111"/>
    <mergeCell ref="F106:G106"/>
    <mergeCell ref="I106:J106"/>
    <mergeCell ref="F107:G107"/>
    <mergeCell ref="I107:J107"/>
    <mergeCell ref="F108:G108"/>
    <mergeCell ref="I108:J108"/>
    <mergeCell ref="F103:G103"/>
    <mergeCell ref="I103:J103"/>
    <mergeCell ref="F104:G104"/>
    <mergeCell ref="I104:J104"/>
    <mergeCell ref="F105:G105"/>
    <mergeCell ref="I105:J105"/>
    <mergeCell ref="F100:G100"/>
    <mergeCell ref="I100:J100"/>
    <mergeCell ref="F101:G101"/>
    <mergeCell ref="I101:J101"/>
    <mergeCell ref="F102:G102"/>
    <mergeCell ref="I102:J102"/>
    <mergeCell ref="F97:G97"/>
    <mergeCell ref="I97:J97"/>
    <mergeCell ref="F98:G98"/>
    <mergeCell ref="I98:J98"/>
    <mergeCell ref="F99:G99"/>
    <mergeCell ref="I99:J99"/>
    <mergeCell ref="F94:G94"/>
    <mergeCell ref="I94:J94"/>
    <mergeCell ref="F95:G95"/>
    <mergeCell ref="I95:J95"/>
    <mergeCell ref="F96:G96"/>
    <mergeCell ref="I96:J96"/>
    <mergeCell ref="F91:G91"/>
    <mergeCell ref="I91:J91"/>
    <mergeCell ref="F92:G92"/>
    <mergeCell ref="I92:J92"/>
    <mergeCell ref="F93:G93"/>
    <mergeCell ref="I93:J93"/>
    <mergeCell ref="F88:G88"/>
    <mergeCell ref="I88:J88"/>
    <mergeCell ref="F89:G89"/>
    <mergeCell ref="I89:J89"/>
    <mergeCell ref="F90:G90"/>
    <mergeCell ref="I90:J90"/>
    <mergeCell ref="F85:G85"/>
    <mergeCell ref="I85:J85"/>
    <mergeCell ref="F86:G86"/>
    <mergeCell ref="I86:J86"/>
    <mergeCell ref="F87:G87"/>
    <mergeCell ref="I87:J87"/>
    <mergeCell ref="F82:G82"/>
    <mergeCell ref="I82:J82"/>
    <mergeCell ref="F83:G83"/>
    <mergeCell ref="I83:J83"/>
    <mergeCell ref="F84:G84"/>
    <mergeCell ref="I84:J84"/>
    <mergeCell ref="F79:G79"/>
    <mergeCell ref="I79:J79"/>
    <mergeCell ref="F80:G80"/>
    <mergeCell ref="I80:J80"/>
    <mergeCell ref="F81:G81"/>
    <mergeCell ref="I81:J81"/>
    <mergeCell ref="F76:G76"/>
    <mergeCell ref="I76:J76"/>
    <mergeCell ref="F77:G77"/>
    <mergeCell ref="I77:J77"/>
    <mergeCell ref="F78:G78"/>
    <mergeCell ref="I78:J78"/>
    <mergeCell ref="F73:G73"/>
    <mergeCell ref="I73:J73"/>
    <mergeCell ref="F74:G74"/>
    <mergeCell ref="I74:J74"/>
    <mergeCell ref="F75:G75"/>
    <mergeCell ref="I75:J75"/>
    <mergeCell ref="F70:G70"/>
    <mergeCell ref="I70:J70"/>
    <mergeCell ref="F71:G71"/>
    <mergeCell ref="I71:J71"/>
    <mergeCell ref="F72:G72"/>
    <mergeCell ref="I72:J72"/>
    <mergeCell ref="F67:G67"/>
    <mergeCell ref="I67:J67"/>
    <mergeCell ref="F68:G68"/>
    <mergeCell ref="I68:J68"/>
    <mergeCell ref="F69:G69"/>
    <mergeCell ref="I69:J69"/>
    <mergeCell ref="F64:G64"/>
    <mergeCell ref="I64:J64"/>
    <mergeCell ref="F65:G65"/>
    <mergeCell ref="I65:J65"/>
    <mergeCell ref="F66:G66"/>
    <mergeCell ref="I66:J66"/>
    <mergeCell ref="F61:G61"/>
    <mergeCell ref="I61:J61"/>
    <mergeCell ref="F62:G62"/>
    <mergeCell ref="I62:J62"/>
    <mergeCell ref="F63:G63"/>
    <mergeCell ref="I63:J63"/>
    <mergeCell ref="F58:G58"/>
    <mergeCell ref="I58:J58"/>
    <mergeCell ref="F59:G59"/>
    <mergeCell ref="I59:J59"/>
    <mergeCell ref="F60:G60"/>
    <mergeCell ref="I60:J60"/>
    <mergeCell ref="F55:G55"/>
    <mergeCell ref="I55:J55"/>
    <mergeCell ref="F56:G56"/>
    <mergeCell ref="I56:J56"/>
    <mergeCell ref="F57:G57"/>
    <mergeCell ref="I57:J57"/>
    <mergeCell ref="F52:G52"/>
    <mergeCell ref="I52:J52"/>
    <mergeCell ref="F53:G53"/>
    <mergeCell ref="I53:J53"/>
    <mergeCell ref="F54:G54"/>
    <mergeCell ref="I54:J54"/>
    <mergeCell ref="F49:G49"/>
    <mergeCell ref="I49:J49"/>
    <mergeCell ref="F50:G50"/>
    <mergeCell ref="I50:J50"/>
    <mergeCell ref="F51:G51"/>
    <mergeCell ref="I51:J51"/>
    <mergeCell ref="F46:G46"/>
    <mergeCell ref="I46:J46"/>
    <mergeCell ref="F47:G47"/>
    <mergeCell ref="I47:J47"/>
    <mergeCell ref="F48:G48"/>
    <mergeCell ref="I48:J48"/>
    <mergeCell ref="F43:G43"/>
    <mergeCell ref="I43:J43"/>
    <mergeCell ref="F44:G44"/>
    <mergeCell ref="I44:J44"/>
    <mergeCell ref="F45:G45"/>
    <mergeCell ref="I45:J45"/>
    <mergeCell ref="F40:G40"/>
    <mergeCell ref="I40:J40"/>
    <mergeCell ref="F41:G41"/>
    <mergeCell ref="I41:J41"/>
    <mergeCell ref="F42:G42"/>
    <mergeCell ref="I42:J42"/>
    <mergeCell ref="F37:G37"/>
    <mergeCell ref="I37:J37"/>
    <mergeCell ref="F38:G38"/>
    <mergeCell ref="I38:J38"/>
    <mergeCell ref="F39:G39"/>
    <mergeCell ref="I39:J39"/>
    <mergeCell ref="F34:G34"/>
    <mergeCell ref="I34:J34"/>
    <mergeCell ref="F35:G35"/>
    <mergeCell ref="I35:J35"/>
    <mergeCell ref="F36:G36"/>
    <mergeCell ref="I36:J36"/>
    <mergeCell ref="F31:G31"/>
    <mergeCell ref="I31:J31"/>
    <mergeCell ref="F32:G32"/>
    <mergeCell ref="I32:J32"/>
    <mergeCell ref="F33:G33"/>
    <mergeCell ref="I33:J33"/>
    <mergeCell ref="F28:G28"/>
    <mergeCell ref="I28:J28"/>
    <mergeCell ref="F29:G29"/>
    <mergeCell ref="I29:J29"/>
    <mergeCell ref="F30:G30"/>
    <mergeCell ref="I30:J30"/>
    <mergeCell ref="F25:G25"/>
    <mergeCell ref="I25:J25"/>
    <mergeCell ref="F26:G26"/>
    <mergeCell ref="I26:J26"/>
    <mergeCell ref="F27:G27"/>
    <mergeCell ref="I27:J27"/>
    <mergeCell ref="F22:G22"/>
    <mergeCell ref="I22:J22"/>
    <mergeCell ref="F23:G23"/>
    <mergeCell ref="I23:J23"/>
    <mergeCell ref="F24:G24"/>
    <mergeCell ref="I24:J24"/>
    <mergeCell ref="F19:G19"/>
    <mergeCell ref="I19:J19"/>
    <mergeCell ref="F20:G20"/>
    <mergeCell ref="I20:J20"/>
    <mergeCell ref="F21:G21"/>
    <mergeCell ref="I21:J21"/>
    <mergeCell ref="F16:G16"/>
    <mergeCell ref="I16:J16"/>
    <mergeCell ref="F17:G17"/>
    <mergeCell ref="I17:J17"/>
    <mergeCell ref="F18:G18"/>
    <mergeCell ref="I18:J18"/>
    <mergeCell ref="F13:G13"/>
    <mergeCell ref="I13:J13"/>
    <mergeCell ref="F14:G14"/>
    <mergeCell ref="I14:J14"/>
    <mergeCell ref="F15:G15"/>
    <mergeCell ref="I15:J15"/>
    <mergeCell ref="F10:G10"/>
    <mergeCell ref="I10:J10"/>
    <mergeCell ref="F11:G11"/>
    <mergeCell ref="I11:J11"/>
    <mergeCell ref="F12:G12"/>
    <mergeCell ref="I12:J12"/>
    <mergeCell ref="F7:G7"/>
    <mergeCell ref="I7:J7"/>
    <mergeCell ref="F8:G8"/>
    <mergeCell ref="I8:J8"/>
    <mergeCell ref="F9:G9"/>
    <mergeCell ref="I9:J9"/>
    <mergeCell ref="F4:G4"/>
    <mergeCell ref="I4:J4"/>
    <mergeCell ref="F5:G5"/>
    <mergeCell ref="I5:J5"/>
    <mergeCell ref="F6:G6"/>
    <mergeCell ref="I6:J6"/>
    <mergeCell ref="K1:L2"/>
    <mergeCell ref="M1:N2"/>
    <mergeCell ref="F2:G2"/>
    <mergeCell ref="I2:J2"/>
    <mergeCell ref="A1:A2"/>
    <mergeCell ref="B1:B2"/>
    <mergeCell ref="C1:C2"/>
    <mergeCell ref="D1:D2"/>
    <mergeCell ref="E1:G1"/>
    <mergeCell ref="H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12E0-7633-42D1-9048-5CDC8EA0DAEB}">
  <dimension ref="A1:F20"/>
  <sheetViews>
    <sheetView view="pageBreakPreview" zoomScale="96" zoomScaleNormal="100" zoomScaleSheetLayoutView="96" workbookViewId="0">
      <selection activeCell="C22" sqref="C22"/>
    </sheetView>
  </sheetViews>
  <sheetFormatPr defaultRowHeight="12.75" x14ac:dyDescent="0.2"/>
  <cols>
    <col min="1" max="1" width="48.5703125" style="206" customWidth="1"/>
    <col min="2" max="2" width="9.140625" style="206"/>
    <col min="3" max="3" width="16" style="206" customWidth="1"/>
    <col min="4" max="4" width="15.5703125" style="206" customWidth="1"/>
    <col min="5" max="5" width="13.7109375" style="206" customWidth="1"/>
    <col min="6" max="16384" width="9.140625" style="206"/>
  </cols>
  <sheetData>
    <row r="1" spans="1:6" x14ac:dyDescent="0.2">
      <c r="A1" s="739" t="s">
        <v>20</v>
      </c>
      <c r="B1" s="739"/>
      <c r="C1" s="739"/>
      <c r="D1" s="739"/>
      <c r="E1" s="739"/>
    </row>
    <row r="2" spans="1:6" x14ac:dyDescent="0.2">
      <c r="A2" s="739" t="s">
        <v>381</v>
      </c>
      <c r="B2" s="739"/>
      <c r="C2" s="739"/>
      <c r="D2" s="739"/>
      <c r="E2" s="739"/>
    </row>
    <row r="3" spans="1:6" x14ac:dyDescent="0.2">
      <c r="A3" s="739" t="s">
        <v>466</v>
      </c>
      <c r="B3" s="739"/>
      <c r="C3" s="739"/>
      <c r="D3" s="739"/>
      <c r="E3" s="739"/>
    </row>
    <row r="5" spans="1:6" ht="26.25" thickBot="1" x14ac:dyDescent="0.25">
      <c r="A5" s="207" t="s">
        <v>336</v>
      </c>
      <c r="B5" s="215" t="s">
        <v>1</v>
      </c>
      <c r="C5" s="220" t="s">
        <v>55</v>
      </c>
      <c r="D5" s="220" t="s">
        <v>56</v>
      </c>
      <c r="E5" s="220" t="s">
        <v>57</v>
      </c>
    </row>
    <row r="6" spans="1:6" x14ac:dyDescent="0.2">
      <c r="A6" s="211" t="s">
        <v>58</v>
      </c>
      <c r="B6" s="215" t="s">
        <v>5</v>
      </c>
      <c r="C6" s="248">
        <v>1587050</v>
      </c>
      <c r="D6" s="203">
        <v>-1137719</v>
      </c>
      <c r="E6" s="249">
        <f t="shared" ref="E6:E12" si="0">SUM(C6:D6)</f>
        <v>449331</v>
      </c>
    </row>
    <row r="7" spans="1:6" ht="13.5" thickBot="1" x14ac:dyDescent="0.25">
      <c r="A7" s="209" t="s">
        <v>59</v>
      </c>
      <c r="B7" s="215" t="s">
        <v>5</v>
      </c>
      <c r="C7" s="250">
        <v>0</v>
      </c>
      <c r="D7" s="251">
        <v>111235</v>
      </c>
      <c r="E7" s="251">
        <f t="shared" si="0"/>
        <v>111235</v>
      </c>
    </row>
    <row r="8" spans="1:6" x14ac:dyDescent="0.2">
      <c r="A8" s="211" t="s">
        <v>60</v>
      </c>
      <c r="B8" s="215" t="s">
        <v>5</v>
      </c>
      <c r="C8" s="249">
        <f>SUM(C6:C7)</f>
        <v>1587050</v>
      </c>
      <c r="D8" s="203">
        <f>SUM(D6:D7)</f>
        <v>-1026484</v>
      </c>
      <c r="E8" s="249">
        <f t="shared" si="0"/>
        <v>560566</v>
      </c>
    </row>
    <row r="9" spans="1:6" x14ac:dyDescent="0.2">
      <c r="A9" s="209" t="s">
        <v>61</v>
      </c>
      <c r="B9" s="215" t="s">
        <v>5</v>
      </c>
      <c r="C9" s="203">
        <v>0</v>
      </c>
      <c r="D9" s="203">
        <f>-104472</f>
        <v>-104472</v>
      </c>
      <c r="E9" s="203">
        <f t="shared" si="0"/>
        <v>-104472</v>
      </c>
    </row>
    <row r="10" spans="1:6" x14ac:dyDescent="0.2">
      <c r="A10" s="209" t="s">
        <v>52</v>
      </c>
      <c r="B10" s="215"/>
      <c r="C10" s="222">
        <v>145429</v>
      </c>
      <c r="D10" s="203">
        <v>0</v>
      </c>
      <c r="E10" s="249">
        <f t="shared" si="0"/>
        <v>145429</v>
      </c>
    </row>
    <row r="11" spans="1:6" x14ac:dyDescent="0.2">
      <c r="A11" s="209" t="s">
        <v>53</v>
      </c>
      <c r="B11" s="215"/>
      <c r="C11" s="201">
        <v>-20000</v>
      </c>
      <c r="D11" s="203">
        <v>0</v>
      </c>
      <c r="E11" s="203">
        <f t="shared" si="0"/>
        <v>-20000</v>
      </c>
    </row>
    <row r="12" spans="1:6" ht="13.5" thickBot="1" x14ac:dyDescent="0.25">
      <c r="A12" s="209" t="s">
        <v>54</v>
      </c>
      <c r="B12" s="215"/>
      <c r="C12" s="222">
        <v>25000</v>
      </c>
      <c r="D12" s="250">
        <v>0</v>
      </c>
      <c r="E12" s="249">
        <f t="shared" si="0"/>
        <v>25000</v>
      </c>
    </row>
    <row r="13" spans="1:6" ht="21" customHeight="1" thickBot="1" x14ac:dyDescent="0.25">
      <c r="A13" s="211" t="s">
        <v>62</v>
      </c>
      <c r="B13" s="215" t="s">
        <v>5</v>
      </c>
      <c r="C13" s="252">
        <f>SUM(C8:C12)</f>
        <v>1737479</v>
      </c>
      <c r="D13" s="204">
        <f>SUM(D8:D12)</f>
        <v>-1130956</v>
      </c>
      <c r="E13" s="252">
        <f>SUM(E8:E12)</f>
        <v>606523</v>
      </c>
      <c r="F13" s="226">
        <f>E13-'Баланс 30092022'!E27</f>
        <v>48832</v>
      </c>
    </row>
    <row r="14" spans="1:6" ht="21" customHeight="1" thickTop="1" x14ac:dyDescent="0.2">
      <c r="A14" s="209" t="s">
        <v>465</v>
      </c>
      <c r="B14" s="215"/>
      <c r="C14" s="249">
        <v>0</v>
      </c>
      <c r="D14" s="201">
        <f>'ОПиУ 3 кв 2022_2021'!C18</f>
        <v>69681</v>
      </c>
      <c r="E14" s="203">
        <f>SUM(C14:D14)</f>
        <v>69681</v>
      </c>
      <c r="F14" s="226"/>
    </row>
    <row r="15" spans="1:6" ht="21" customHeight="1" thickBot="1" x14ac:dyDescent="0.25">
      <c r="A15" s="209" t="s">
        <v>52</v>
      </c>
      <c r="B15" s="215"/>
      <c r="C15" s="222">
        <f>'Баланс 30092022'!C39</f>
        <v>0</v>
      </c>
      <c r="D15" s="203">
        <v>0</v>
      </c>
      <c r="E15" s="249">
        <f>SUM(C15:D15)</f>
        <v>0</v>
      </c>
      <c r="F15" s="226"/>
    </row>
    <row r="16" spans="1:6" ht="13.5" thickBot="1" x14ac:dyDescent="0.25">
      <c r="A16" s="211" t="s">
        <v>63</v>
      </c>
      <c r="C16" s="252">
        <f>SUM(C13:C15)</f>
        <v>1737479</v>
      </c>
      <c r="D16" s="204">
        <f>SUM(D13:D15)</f>
        <v>-1061275</v>
      </c>
      <c r="E16" s="204">
        <f>SUM(E13:E15)</f>
        <v>676204</v>
      </c>
      <c r="F16" s="226">
        <f>E16-'Баланс 30092022'!C27</f>
        <v>-125268</v>
      </c>
    </row>
    <row r="17" spans="5:5" ht="13.5" thickTop="1" x14ac:dyDescent="0.2"/>
    <row r="20" spans="5:5" x14ac:dyDescent="0.2">
      <c r="E20" s="226"/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799B-428C-46E2-B682-37E2042D0881}">
  <dimension ref="A1:F20"/>
  <sheetViews>
    <sheetView view="pageBreakPreview" zoomScale="96" zoomScaleNormal="100" zoomScaleSheetLayoutView="96" workbookViewId="0">
      <selection activeCell="D36" sqref="D36"/>
    </sheetView>
  </sheetViews>
  <sheetFormatPr defaultRowHeight="12.75" x14ac:dyDescent="0.2"/>
  <cols>
    <col min="1" max="1" width="48.5703125" style="206" customWidth="1"/>
    <col min="2" max="2" width="9.140625" style="206"/>
    <col min="3" max="5" width="13.7109375" style="206" customWidth="1"/>
    <col min="6" max="16384" width="9.140625" style="206"/>
  </cols>
  <sheetData>
    <row r="1" spans="1:6" x14ac:dyDescent="0.2">
      <c r="A1" s="739" t="s">
        <v>20</v>
      </c>
      <c r="B1" s="739"/>
      <c r="C1" s="739"/>
      <c r="D1" s="739"/>
      <c r="E1" s="739"/>
    </row>
    <row r="2" spans="1:6" x14ac:dyDescent="0.2">
      <c r="A2" s="739" t="s">
        <v>381</v>
      </c>
      <c r="B2" s="739"/>
      <c r="C2" s="739"/>
      <c r="D2" s="739"/>
      <c r="E2" s="739"/>
    </row>
    <row r="3" spans="1:6" x14ac:dyDescent="0.2">
      <c r="A3" s="739" t="s">
        <v>74</v>
      </c>
      <c r="B3" s="739"/>
      <c r="C3" s="739"/>
      <c r="D3" s="739"/>
      <c r="E3" s="739"/>
    </row>
    <row r="5" spans="1:6" ht="39" thickBot="1" x14ac:dyDescent="0.25">
      <c r="A5" s="207" t="s">
        <v>336</v>
      </c>
      <c r="B5" s="215" t="s">
        <v>1</v>
      </c>
      <c r="C5" s="220" t="s">
        <v>55</v>
      </c>
      <c r="D5" s="220" t="s">
        <v>56</v>
      </c>
      <c r="E5" s="220" t="s">
        <v>57</v>
      </c>
    </row>
    <row r="6" spans="1:6" x14ac:dyDescent="0.2">
      <c r="A6" s="211" t="s">
        <v>58</v>
      </c>
      <c r="B6" s="215" t="s">
        <v>5</v>
      </c>
      <c r="C6" s="248">
        <v>1587050</v>
      </c>
      <c r="D6" s="203">
        <v>-1137719</v>
      </c>
      <c r="E6" s="249">
        <f t="shared" ref="E6:E12" si="0">SUM(C6:D6)</f>
        <v>449331</v>
      </c>
    </row>
    <row r="7" spans="1:6" ht="13.5" thickBot="1" x14ac:dyDescent="0.25">
      <c r="A7" s="209" t="s">
        <v>59</v>
      </c>
      <c r="B7" s="215" t="s">
        <v>5</v>
      </c>
      <c r="C7" s="250">
        <v>0</v>
      </c>
      <c r="D7" s="251">
        <v>111235</v>
      </c>
      <c r="E7" s="251">
        <f t="shared" si="0"/>
        <v>111235</v>
      </c>
    </row>
    <row r="8" spans="1:6" x14ac:dyDescent="0.2">
      <c r="A8" s="211" t="s">
        <v>60</v>
      </c>
      <c r="B8" s="215" t="s">
        <v>5</v>
      </c>
      <c r="C8" s="249">
        <f>SUM(C6:C7)</f>
        <v>1587050</v>
      </c>
      <c r="D8" s="203">
        <f>SUM(D6:D7)</f>
        <v>-1026484</v>
      </c>
      <c r="E8" s="249">
        <f t="shared" si="0"/>
        <v>560566</v>
      </c>
    </row>
    <row r="9" spans="1:6" x14ac:dyDescent="0.2">
      <c r="A9" s="209" t="s">
        <v>61</v>
      </c>
      <c r="B9" s="215" t="s">
        <v>5</v>
      </c>
      <c r="C9" s="203">
        <v>0</v>
      </c>
      <c r="D9" s="203">
        <v>-104472</v>
      </c>
      <c r="E9" s="203">
        <f t="shared" si="0"/>
        <v>-104472</v>
      </c>
    </row>
    <row r="10" spans="1:6" x14ac:dyDescent="0.2">
      <c r="A10" s="209" t="s">
        <v>52</v>
      </c>
      <c r="B10" s="215" t="s">
        <v>460</v>
      </c>
      <c r="C10" s="222">
        <v>145429</v>
      </c>
      <c r="D10" s="203">
        <v>0</v>
      </c>
      <c r="E10" s="249">
        <f t="shared" si="0"/>
        <v>145429</v>
      </c>
    </row>
    <row r="11" spans="1:6" x14ac:dyDescent="0.2">
      <c r="A11" s="209" t="s">
        <v>53</v>
      </c>
      <c r="B11" s="215" t="s">
        <v>460</v>
      </c>
      <c r="C11" s="201">
        <v>-20000</v>
      </c>
      <c r="D11" s="203">
        <v>0</v>
      </c>
      <c r="E11" s="203">
        <f t="shared" si="0"/>
        <v>-20000</v>
      </c>
    </row>
    <row r="12" spans="1:6" ht="13.5" thickBot="1" x14ac:dyDescent="0.25">
      <c r="A12" s="209" t="s">
        <v>54</v>
      </c>
      <c r="B12" s="215" t="s">
        <v>460</v>
      </c>
      <c r="C12" s="222">
        <v>25000</v>
      </c>
      <c r="D12" s="250">
        <v>0</v>
      </c>
      <c r="E12" s="249">
        <f t="shared" si="0"/>
        <v>25000</v>
      </c>
    </row>
    <row r="13" spans="1:6" ht="21" customHeight="1" thickBot="1" x14ac:dyDescent="0.25">
      <c r="A13" s="211" t="s">
        <v>62</v>
      </c>
      <c r="B13" s="215" t="s">
        <v>5</v>
      </c>
      <c r="C13" s="252">
        <f>SUM(C8:C12)</f>
        <v>1737479</v>
      </c>
      <c r="D13" s="204">
        <f>SUM(D8:D12)</f>
        <v>-1130956</v>
      </c>
      <c r="E13" s="252">
        <f>SUM(E8:E12)</f>
        <v>606523</v>
      </c>
      <c r="F13" s="226">
        <f>E13-Баланс!E25</f>
        <v>0</v>
      </c>
    </row>
    <row r="14" spans="1:6" ht="21" customHeight="1" thickTop="1" x14ac:dyDescent="0.2">
      <c r="A14" s="209" t="s">
        <v>465</v>
      </c>
      <c r="B14" s="215"/>
      <c r="C14" s="249"/>
      <c r="D14" s="203">
        <f>ОПиУ!D17</f>
        <v>-88119</v>
      </c>
      <c r="E14" s="203">
        <f>SUM(C14:D14)</f>
        <v>-88119</v>
      </c>
      <c r="F14" s="226"/>
    </row>
    <row r="15" spans="1:6" ht="21" customHeight="1" thickBot="1" x14ac:dyDescent="0.25">
      <c r="A15" s="209" t="s">
        <v>52</v>
      </c>
      <c r="B15" s="215"/>
      <c r="C15" s="222">
        <v>100000</v>
      </c>
      <c r="D15" s="203"/>
      <c r="E15" s="249">
        <f>SUM(C15:D15)</f>
        <v>100000</v>
      </c>
      <c r="F15" s="226"/>
    </row>
    <row r="16" spans="1:6" ht="13.5" thickBot="1" x14ac:dyDescent="0.25">
      <c r="A16" s="211" t="s">
        <v>63</v>
      </c>
      <c r="C16" s="252">
        <f>SUM(C13:C15)</f>
        <v>1837479</v>
      </c>
      <c r="D16" s="204">
        <f>SUM(D13:D15)</f>
        <v>-1219075</v>
      </c>
      <c r="E16" s="204">
        <f>SUM(E13:E15)</f>
        <v>618404</v>
      </c>
      <c r="F16" s="226">
        <f>E16-Баланс!C25</f>
        <v>0</v>
      </c>
    </row>
    <row r="17" spans="5:5" ht="13.5" thickTop="1" x14ac:dyDescent="0.2"/>
    <row r="20" spans="5:5" x14ac:dyDescent="0.2">
      <c r="E20" s="226"/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BBF9-A8F0-4DC1-98A3-F17223A2AB9E}">
  <dimension ref="A1:P191"/>
  <sheetViews>
    <sheetView topLeftCell="A91" workbookViewId="0">
      <selection activeCell="K5" sqref="K5"/>
    </sheetView>
  </sheetViews>
  <sheetFormatPr defaultRowHeight="15" x14ac:dyDescent="0.25"/>
  <cols>
    <col min="1" max="1" width="35.7109375" customWidth="1"/>
    <col min="3" max="3" width="13.140625" bestFit="1" customWidth="1"/>
    <col min="4" max="4" width="13.7109375" bestFit="1" customWidth="1"/>
    <col min="5" max="6" width="15.42578125" bestFit="1" customWidth="1"/>
    <col min="7" max="7" width="14" bestFit="1" customWidth="1"/>
    <col min="8" max="8" width="13.7109375" bestFit="1" customWidth="1"/>
    <col min="16" max="16" width="21.28515625" customWidth="1"/>
  </cols>
  <sheetData>
    <row r="1" spans="1:12" x14ac:dyDescent="0.25">
      <c r="A1" s="307" t="s">
        <v>133</v>
      </c>
      <c r="B1" s="308"/>
      <c r="C1" s="308"/>
      <c r="D1" s="308"/>
      <c r="E1" s="308"/>
      <c r="F1" s="308"/>
      <c r="G1" s="308"/>
      <c r="H1" s="308"/>
    </row>
    <row r="2" spans="1:12" x14ac:dyDescent="0.25">
      <c r="A2" s="307" t="s">
        <v>467</v>
      </c>
      <c r="B2" s="308"/>
      <c r="C2" s="308"/>
      <c r="D2" s="308"/>
      <c r="E2" s="308"/>
      <c r="F2" s="308"/>
      <c r="G2" s="308"/>
      <c r="H2" s="308"/>
    </row>
    <row r="3" spans="1:12" x14ac:dyDescent="0.25">
      <c r="A3" s="309" t="s">
        <v>213</v>
      </c>
      <c r="B3" s="744" t="s">
        <v>468</v>
      </c>
      <c r="C3" s="746" t="s">
        <v>214</v>
      </c>
      <c r="D3" s="746"/>
      <c r="E3" s="746" t="s">
        <v>215</v>
      </c>
      <c r="F3" s="746"/>
      <c r="G3" s="746" t="s">
        <v>216</v>
      </c>
      <c r="H3" s="746"/>
    </row>
    <row r="4" spans="1:12" x14ac:dyDescent="0.25">
      <c r="A4" s="309" t="s">
        <v>383</v>
      </c>
      <c r="B4" s="745"/>
      <c r="C4" s="310" t="s">
        <v>139</v>
      </c>
      <c r="D4" s="310" t="s">
        <v>140</v>
      </c>
      <c r="E4" s="310" t="s">
        <v>139</v>
      </c>
      <c r="F4" s="310" t="s">
        <v>140</v>
      </c>
      <c r="G4" s="310" t="s">
        <v>139</v>
      </c>
      <c r="H4" s="310" t="s">
        <v>140</v>
      </c>
    </row>
    <row r="5" spans="1:12" x14ac:dyDescent="0.25">
      <c r="A5" s="311" t="s">
        <v>217</v>
      </c>
      <c r="B5" s="312" t="s">
        <v>469</v>
      </c>
      <c r="C5" s="313">
        <v>1143534181.46</v>
      </c>
      <c r="D5" s="314"/>
      <c r="E5" s="313">
        <v>118791026599.40999</v>
      </c>
      <c r="F5" s="313">
        <v>119907977358.67999</v>
      </c>
      <c r="G5" s="313">
        <v>26583422.190000001</v>
      </c>
      <c r="H5" s="314"/>
      <c r="I5" s="31">
        <f>C5-D155</f>
        <v>2765015.7300000191</v>
      </c>
      <c r="J5" s="31">
        <f>G5-H155</f>
        <v>8506187.3200000003</v>
      </c>
      <c r="K5" s="31">
        <f>ROUND(I5/1000,0)</f>
        <v>2765</v>
      </c>
      <c r="L5" s="31">
        <f>ROUND(J5/1000,0)</f>
        <v>8506</v>
      </c>
    </row>
    <row r="6" spans="1:12" x14ac:dyDescent="0.25">
      <c r="A6" s="315" t="s">
        <v>218</v>
      </c>
      <c r="B6" s="316" t="s">
        <v>469</v>
      </c>
      <c r="C6" s="317"/>
      <c r="D6" s="317"/>
      <c r="E6" s="318">
        <v>12143123.029999999</v>
      </c>
      <c r="F6" s="318">
        <v>12143123.029999999</v>
      </c>
      <c r="G6" s="317"/>
      <c r="H6" s="317"/>
    </row>
    <row r="7" spans="1:12" x14ac:dyDescent="0.25">
      <c r="A7" s="742" t="s">
        <v>385</v>
      </c>
      <c r="B7" s="319" t="s">
        <v>469</v>
      </c>
      <c r="C7" s="320"/>
      <c r="D7" s="320"/>
      <c r="E7" s="321">
        <v>12143123.029999999</v>
      </c>
      <c r="F7" s="321">
        <v>12143123.029999999</v>
      </c>
      <c r="G7" s="320"/>
      <c r="H7" s="320"/>
    </row>
    <row r="8" spans="1:12" x14ac:dyDescent="0.25">
      <c r="A8" s="743"/>
      <c r="B8" s="319" t="s">
        <v>470</v>
      </c>
      <c r="C8" s="320"/>
      <c r="D8" s="320"/>
      <c r="E8" s="321">
        <v>12143123.029999999</v>
      </c>
      <c r="F8" s="321">
        <v>12143123.029999999</v>
      </c>
      <c r="G8" s="320"/>
      <c r="H8" s="320"/>
    </row>
    <row r="9" spans="1:12" ht="22.5" x14ac:dyDescent="0.25">
      <c r="A9" s="315" t="s">
        <v>219</v>
      </c>
      <c r="B9" s="316" t="s">
        <v>469</v>
      </c>
      <c r="C9" s="318">
        <v>1143534181.46</v>
      </c>
      <c r="D9" s="317"/>
      <c r="E9" s="318">
        <v>118778883476.37999</v>
      </c>
      <c r="F9" s="318">
        <v>119895834235.64999</v>
      </c>
      <c r="G9" s="318">
        <v>26583422.190000001</v>
      </c>
      <c r="H9" s="317"/>
    </row>
    <row r="10" spans="1:12" x14ac:dyDescent="0.25">
      <c r="A10" s="742" t="s">
        <v>471</v>
      </c>
      <c r="B10" s="319" t="s">
        <v>469</v>
      </c>
      <c r="C10" s="321">
        <v>732288</v>
      </c>
      <c r="D10" s="320"/>
      <c r="E10" s="321">
        <v>73858.61</v>
      </c>
      <c r="F10" s="321">
        <v>59119.19</v>
      </c>
      <c r="G10" s="321">
        <v>747027.42</v>
      </c>
      <c r="H10" s="320"/>
    </row>
    <row r="11" spans="1:12" x14ac:dyDescent="0.25">
      <c r="A11" s="743"/>
      <c r="B11" s="319" t="s">
        <v>470</v>
      </c>
      <c r="C11" s="321">
        <v>1468.07</v>
      </c>
      <c r="D11" s="320"/>
      <c r="E11" s="320"/>
      <c r="F11" s="320"/>
      <c r="G11" s="321">
        <v>1468.07</v>
      </c>
      <c r="H11" s="320"/>
    </row>
    <row r="12" spans="1:12" x14ac:dyDescent="0.25">
      <c r="A12" s="742" t="s">
        <v>424</v>
      </c>
      <c r="B12" s="319" t="s">
        <v>469</v>
      </c>
      <c r="C12" s="321">
        <v>659250.22</v>
      </c>
      <c r="D12" s="320"/>
      <c r="E12" s="321">
        <v>59675.83</v>
      </c>
      <c r="F12" s="321">
        <v>197991.61</v>
      </c>
      <c r="G12" s="321">
        <v>520934.44</v>
      </c>
      <c r="H12" s="320"/>
    </row>
    <row r="13" spans="1:12" x14ac:dyDescent="0.25">
      <c r="A13" s="743"/>
      <c r="B13" s="319" t="s">
        <v>470</v>
      </c>
      <c r="C13" s="321">
        <v>1125.25</v>
      </c>
      <c r="D13" s="320"/>
      <c r="E13" s="320"/>
      <c r="F13" s="322">
        <v>246.54</v>
      </c>
      <c r="G13" s="322">
        <v>878.71</v>
      </c>
      <c r="H13" s="320"/>
    </row>
    <row r="14" spans="1:12" x14ac:dyDescent="0.25">
      <c r="A14" s="742" t="s">
        <v>385</v>
      </c>
      <c r="B14" s="319" t="s">
        <v>469</v>
      </c>
      <c r="C14" s="321">
        <v>505289072.11000001</v>
      </c>
      <c r="D14" s="320"/>
      <c r="E14" s="321">
        <v>109715969219.67</v>
      </c>
      <c r="F14" s="321">
        <v>110197487279.00999</v>
      </c>
      <c r="G14" s="321">
        <v>23771012.77</v>
      </c>
      <c r="H14" s="320"/>
    </row>
    <row r="15" spans="1:12" x14ac:dyDescent="0.25">
      <c r="A15" s="743"/>
      <c r="B15" s="319" t="s">
        <v>470</v>
      </c>
      <c r="C15" s="321">
        <v>505289072.11000001</v>
      </c>
      <c r="D15" s="320"/>
      <c r="E15" s="321">
        <v>109715969219.67</v>
      </c>
      <c r="F15" s="321">
        <v>110197487279.00999</v>
      </c>
      <c r="G15" s="321">
        <v>23771012.77</v>
      </c>
      <c r="H15" s="320"/>
    </row>
    <row r="16" spans="1:12" x14ac:dyDescent="0.25">
      <c r="A16" s="742" t="s">
        <v>420</v>
      </c>
      <c r="B16" s="319" t="s">
        <v>469</v>
      </c>
      <c r="C16" s="321">
        <v>636853571.13</v>
      </c>
      <c r="D16" s="320"/>
      <c r="E16" s="321">
        <v>9062780722.2700005</v>
      </c>
      <c r="F16" s="321">
        <v>9698089845.8399982</v>
      </c>
      <c r="G16" s="321">
        <v>1544447.56</v>
      </c>
      <c r="H16" s="320"/>
    </row>
    <row r="17" spans="1:12" x14ac:dyDescent="0.25">
      <c r="A17" s="743"/>
      <c r="B17" s="319" t="s">
        <v>470</v>
      </c>
      <c r="C17" s="321">
        <v>1500809.66</v>
      </c>
      <c r="D17" s="320"/>
      <c r="E17" s="321">
        <v>21080664.850000001</v>
      </c>
      <c r="F17" s="321">
        <v>22577865.059999999</v>
      </c>
      <c r="G17" s="321">
        <v>3609.45</v>
      </c>
      <c r="H17" s="320"/>
    </row>
    <row r="18" spans="1:12" ht="22.5" x14ac:dyDescent="0.25">
      <c r="A18" s="311" t="s">
        <v>220</v>
      </c>
      <c r="B18" s="312" t="s">
        <v>469</v>
      </c>
      <c r="C18" s="313">
        <v>573335515.85000002</v>
      </c>
      <c r="D18" s="314"/>
      <c r="E18" s="313">
        <v>816410394.02999997</v>
      </c>
      <c r="F18" s="313">
        <v>846412289.88</v>
      </c>
      <c r="G18" s="313">
        <v>543333620</v>
      </c>
      <c r="H18" s="314"/>
      <c r="K18" s="31">
        <f>ROUND(C18/1000,0)</f>
        <v>573336</v>
      </c>
      <c r="L18" s="31">
        <f>ROUND(G18/1000,0)</f>
        <v>543334</v>
      </c>
    </row>
    <row r="19" spans="1:12" ht="45" x14ac:dyDescent="0.25">
      <c r="A19" s="323" t="s">
        <v>221</v>
      </c>
      <c r="B19" s="324" t="s">
        <v>469</v>
      </c>
      <c r="C19" s="325">
        <v>543133620</v>
      </c>
      <c r="D19" s="326"/>
      <c r="E19" s="326"/>
      <c r="F19" s="326"/>
      <c r="G19" s="325">
        <v>543133620</v>
      </c>
      <c r="H19" s="326"/>
      <c r="K19" s="31">
        <f>ROUND(C19/1000,0)</f>
        <v>543134</v>
      </c>
      <c r="L19" s="31">
        <f>ROUND(G19/1000,0)</f>
        <v>543134</v>
      </c>
    </row>
    <row r="20" spans="1:12" ht="56.25" x14ac:dyDescent="0.25">
      <c r="A20" s="327" t="s">
        <v>222</v>
      </c>
      <c r="B20" s="316" t="s">
        <v>469</v>
      </c>
      <c r="C20" s="318">
        <v>422437260</v>
      </c>
      <c r="D20" s="317"/>
      <c r="E20" s="317"/>
      <c r="F20" s="317"/>
      <c r="G20" s="318">
        <v>422437260</v>
      </c>
      <c r="H20" s="317"/>
    </row>
    <row r="21" spans="1:12" x14ac:dyDescent="0.25">
      <c r="A21" s="740" t="s">
        <v>385</v>
      </c>
      <c r="B21" s="319" t="s">
        <v>469</v>
      </c>
      <c r="C21" s="321">
        <v>422437260</v>
      </c>
      <c r="D21" s="320"/>
      <c r="E21" s="320"/>
      <c r="F21" s="320"/>
      <c r="G21" s="321">
        <v>422437260</v>
      </c>
      <c r="H21" s="320"/>
    </row>
    <row r="22" spans="1:12" x14ac:dyDescent="0.25">
      <c r="A22" s="741"/>
      <c r="B22" s="319" t="s">
        <v>470</v>
      </c>
      <c r="C22" s="321">
        <v>422437260</v>
      </c>
      <c r="D22" s="320"/>
      <c r="E22" s="320"/>
      <c r="F22" s="320"/>
      <c r="G22" s="321">
        <v>422437260</v>
      </c>
      <c r="H22" s="320"/>
    </row>
    <row r="23" spans="1:12" ht="67.5" x14ac:dyDescent="0.25">
      <c r="A23" s="327" t="s">
        <v>223</v>
      </c>
      <c r="B23" s="316" t="s">
        <v>469</v>
      </c>
      <c r="C23" s="318">
        <v>120696360</v>
      </c>
      <c r="D23" s="317"/>
      <c r="E23" s="317"/>
      <c r="F23" s="317"/>
      <c r="G23" s="318">
        <v>120696360</v>
      </c>
      <c r="H23" s="317"/>
    </row>
    <row r="24" spans="1:12" x14ac:dyDescent="0.25">
      <c r="A24" s="740" t="s">
        <v>385</v>
      </c>
      <c r="B24" s="319" t="s">
        <v>469</v>
      </c>
      <c r="C24" s="321">
        <v>120696360</v>
      </c>
      <c r="D24" s="320"/>
      <c r="E24" s="320"/>
      <c r="F24" s="320"/>
      <c r="G24" s="321">
        <v>120696360</v>
      </c>
      <c r="H24" s="320"/>
    </row>
    <row r="25" spans="1:12" x14ac:dyDescent="0.25">
      <c r="A25" s="741"/>
      <c r="B25" s="319" t="s">
        <v>470</v>
      </c>
      <c r="C25" s="321">
        <v>120696360</v>
      </c>
      <c r="D25" s="320"/>
      <c r="E25" s="320"/>
      <c r="F25" s="320"/>
      <c r="G25" s="321">
        <v>120696360</v>
      </c>
      <c r="H25" s="320"/>
    </row>
    <row r="26" spans="1:12" ht="33.75" x14ac:dyDescent="0.25">
      <c r="A26" s="323" t="s">
        <v>224</v>
      </c>
      <c r="B26" s="324" t="s">
        <v>469</v>
      </c>
      <c r="C26" s="325">
        <v>200000</v>
      </c>
      <c r="D26" s="326"/>
      <c r="E26" s="326"/>
      <c r="F26" s="326"/>
      <c r="G26" s="325">
        <v>200000</v>
      </c>
      <c r="H26" s="326"/>
      <c r="K26" s="31">
        <f>ROUND(C26/1000,0)</f>
        <v>200</v>
      </c>
      <c r="L26" s="31">
        <f>ROUND(G26/1000,0)</f>
        <v>200</v>
      </c>
    </row>
    <row r="27" spans="1:12" ht="33.75" x14ac:dyDescent="0.25">
      <c r="A27" s="327" t="s">
        <v>225</v>
      </c>
      <c r="B27" s="316" t="s">
        <v>469</v>
      </c>
      <c r="C27" s="318">
        <v>200000</v>
      </c>
      <c r="D27" s="317"/>
      <c r="E27" s="317"/>
      <c r="F27" s="317"/>
      <c r="G27" s="318">
        <v>200000</v>
      </c>
      <c r="H27" s="317"/>
    </row>
    <row r="28" spans="1:12" x14ac:dyDescent="0.25">
      <c r="A28" s="740" t="s">
        <v>385</v>
      </c>
      <c r="B28" s="319" t="s">
        <v>469</v>
      </c>
      <c r="C28" s="321">
        <v>200000</v>
      </c>
      <c r="D28" s="320"/>
      <c r="E28" s="320"/>
      <c r="F28" s="320"/>
      <c r="G28" s="321">
        <v>200000</v>
      </c>
      <c r="H28" s="320"/>
    </row>
    <row r="29" spans="1:12" x14ac:dyDescent="0.25">
      <c r="A29" s="741"/>
      <c r="B29" s="319" t="s">
        <v>470</v>
      </c>
      <c r="C29" s="321">
        <v>200000</v>
      </c>
      <c r="D29" s="320"/>
      <c r="E29" s="320"/>
      <c r="F29" s="320"/>
      <c r="G29" s="321">
        <v>200000</v>
      </c>
      <c r="H29" s="320"/>
    </row>
    <row r="30" spans="1:12" ht="22.5" x14ac:dyDescent="0.25">
      <c r="A30" s="323" t="s">
        <v>226</v>
      </c>
      <c r="B30" s="324" t="s">
        <v>469</v>
      </c>
      <c r="C30" s="325">
        <v>30001895.850000001</v>
      </c>
      <c r="D30" s="326"/>
      <c r="E30" s="325">
        <v>816410394.02999997</v>
      </c>
      <c r="F30" s="325">
        <v>846412289.88</v>
      </c>
      <c r="G30" s="326"/>
      <c r="H30" s="326"/>
      <c r="K30" s="31">
        <f>ROUND(C30/1000,0)</f>
        <v>30002</v>
      </c>
      <c r="L30" s="31">
        <f>ROUND(G30/1000,0)</f>
        <v>0</v>
      </c>
    </row>
    <row r="31" spans="1:12" ht="22.5" x14ac:dyDescent="0.25">
      <c r="A31" s="327" t="s">
        <v>227</v>
      </c>
      <c r="B31" s="316" t="s">
        <v>469</v>
      </c>
      <c r="C31" s="318">
        <v>30001895.850000001</v>
      </c>
      <c r="D31" s="317"/>
      <c r="E31" s="318">
        <v>816410394.02999997</v>
      </c>
      <c r="F31" s="318">
        <v>846412289.88</v>
      </c>
      <c r="G31" s="317"/>
      <c r="H31" s="317"/>
    </row>
    <row r="32" spans="1:12" x14ac:dyDescent="0.25">
      <c r="A32" s="740" t="s">
        <v>385</v>
      </c>
      <c r="B32" s="319" t="s">
        <v>469</v>
      </c>
      <c r="C32" s="321">
        <v>30001895.850000001</v>
      </c>
      <c r="D32" s="320"/>
      <c r="E32" s="321">
        <v>816410394.02999997</v>
      </c>
      <c r="F32" s="321">
        <v>846412289.88</v>
      </c>
      <c r="G32" s="320"/>
      <c r="H32" s="320"/>
    </row>
    <row r="33" spans="1:16" x14ac:dyDescent="0.25">
      <c r="A33" s="741"/>
      <c r="B33" s="319" t="s">
        <v>470</v>
      </c>
      <c r="C33" s="321">
        <v>30001895.850000001</v>
      </c>
      <c r="D33" s="320"/>
      <c r="E33" s="321">
        <v>816410394.02999997</v>
      </c>
      <c r="F33" s="321">
        <v>846412289.88</v>
      </c>
      <c r="G33" s="320"/>
      <c r="H33" s="320"/>
    </row>
    <row r="34" spans="1:16" ht="22.5" x14ac:dyDescent="0.25">
      <c r="A34" s="311" t="s">
        <v>228</v>
      </c>
      <c r="B34" s="312" t="s">
        <v>469</v>
      </c>
      <c r="C34" s="313">
        <v>21490617.149999999</v>
      </c>
      <c r="D34" s="314"/>
      <c r="E34" s="313">
        <v>119491120</v>
      </c>
      <c r="F34" s="313">
        <v>100182434.8</v>
      </c>
      <c r="G34" s="313">
        <v>40799302.350000001</v>
      </c>
      <c r="H34" s="314"/>
    </row>
    <row r="35" spans="1:16" ht="22.5" x14ac:dyDescent="0.25">
      <c r="A35" s="315" t="s">
        <v>229</v>
      </c>
      <c r="B35" s="316" t="s">
        <v>469</v>
      </c>
      <c r="C35" s="318">
        <v>5208699.32</v>
      </c>
      <c r="D35" s="317"/>
      <c r="E35" s="318">
        <v>34727582.990000002</v>
      </c>
      <c r="F35" s="318">
        <v>31884798.75</v>
      </c>
      <c r="G35" s="318">
        <v>8051483.5599999996</v>
      </c>
      <c r="H35" s="317"/>
      <c r="K35" s="31">
        <f>ROUND(C35/1000,0)</f>
        <v>5209</v>
      </c>
      <c r="L35" s="31">
        <f>ROUND(G35/1000,0)</f>
        <v>8051</v>
      </c>
    </row>
    <row r="36" spans="1:16" x14ac:dyDescent="0.25">
      <c r="A36" s="742" t="s">
        <v>385</v>
      </c>
      <c r="B36" s="319" t="s">
        <v>469</v>
      </c>
      <c r="C36" s="321">
        <v>5208699.32</v>
      </c>
      <c r="D36" s="320"/>
      <c r="E36" s="321">
        <v>32722701.850000001</v>
      </c>
      <c r="F36" s="321">
        <v>30272220</v>
      </c>
      <c r="G36" s="321">
        <v>7659181.1699999999</v>
      </c>
      <c r="H36" s="320"/>
    </row>
    <row r="37" spans="1:16" x14ac:dyDescent="0.25">
      <c r="A37" s="743"/>
      <c r="B37" s="319" t="s">
        <v>470</v>
      </c>
      <c r="C37" s="321">
        <v>5208699.32</v>
      </c>
      <c r="D37" s="320"/>
      <c r="E37" s="321">
        <v>32722701.850000001</v>
      </c>
      <c r="F37" s="321">
        <v>30272220</v>
      </c>
      <c r="G37" s="321">
        <v>7659181.1699999999</v>
      </c>
      <c r="H37" s="320"/>
    </row>
    <row r="38" spans="1:16" x14ac:dyDescent="0.25">
      <c r="A38" s="742" t="s">
        <v>420</v>
      </c>
      <c r="B38" s="319" t="s">
        <v>469</v>
      </c>
      <c r="C38" s="320"/>
      <c r="D38" s="320"/>
      <c r="E38" s="321">
        <v>2004881.14</v>
      </c>
      <c r="F38" s="321">
        <v>1612578.75</v>
      </c>
      <c r="G38" s="321">
        <v>392302.39</v>
      </c>
      <c r="H38" s="320"/>
    </row>
    <row r="39" spans="1:16" x14ac:dyDescent="0.25">
      <c r="A39" s="743"/>
      <c r="B39" s="319" t="s">
        <v>470</v>
      </c>
      <c r="C39" s="320"/>
      <c r="D39" s="320"/>
      <c r="E39" s="321">
        <v>4652.92</v>
      </c>
      <c r="F39" s="321">
        <v>3736.09</v>
      </c>
      <c r="G39" s="322">
        <v>916.83</v>
      </c>
      <c r="H39" s="320"/>
    </row>
    <row r="40" spans="1:16" ht="22.5" x14ac:dyDescent="0.25">
      <c r="A40" s="323" t="s">
        <v>230</v>
      </c>
      <c r="B40" s="324" t="s">
        <v>469</v>
      </c>
      <c r="C40" s="325">
        <v>5467261.4400000004</v>
      </c>
      <c r="D40" s="326"/>
      <c r="E40" s="325">
        <v>56644622.829999998</v>
      </c>
      <c r="F40" s="325">
        <v>57743400.200000003</v>
      </c>
      <c r="G40" s="325">
        <v>4368484.07</v>
      </c>
      <c r="H40" s="326"/>
      <c r="K40" s="31">
        <f>ROUND(C40/1000,0)</f>
        <v>5467</v>
      </c>
      <c r="L40" s="31">
        <f>ROUND(G40/1000,0)</f>
        <v>4368</v>
      </c>
      <c r="P40" s="33">
        <f>L40</f>
        <v>4368</v>
      </c>
    </row>
    <row r="41" spans="1:16" ht="22.5" x14ac:dyDescent="0.25">
      <c r="A41" s="327" t="s">
        <v>231</v>
      </c>
      <c r="B41" s="316" t="s">
        <v>469</v>
      </c>
      <c r="C41" s="318">
        <v>148671.45000000001</v>
      </c>
      <c r="D41" s="317"/>
      <c r="E41" s="318">
        <v>1652492.45</v>
      </c>
      <c r="F41" s="318">
        <v>1693630.59</v>
      </c>
      <c r="G41" s="336">
        <v>107533.31</v>
      </c>
      <c r="H41" s="317"/>
      <c r="P41" s="33">
        <f>L55</f>
        <v>5123</v>
      </c>
    </row>
    <row r="42" spans="1:16" x14ac:dyDescent="0.25">
      <c r="A42" s="740" t="s">
        <v>385</v>
      </c>
      <c r="B42" s="319" t="s">
        <v>469</v>
      </c>
      <c r="C42" s="321">
        <v>148671.45000000001</v>
      </c>
      <c r="D42" s="320"/>
      <c r="E42" s="321">
        <v>1652492.45</v>
      </c>
      <c r="F42" s="321">
        <v>1693630.59</v>
      </c>
      <c r="G42" s="321">
        <v>107533.31</v>
      </c>
      <c r="H42" s="320"/>
      <c r="P42" s="33">
        <f>-(L65+M65)</f>
        <v>-5123</v>
      </c>
    </row>
    <row r="43" spans="1:16" x14ac:dyDescent="0.25">
      <c r="A43" s="741"/>
      <c r="B43" s="319" t="s">
        <v>470</v>
      </c>
      <c r="C43" s="321">
        <v>148671.45000000001</v>
      </c>
      <c r="D43" s="320"/>
      <c r="E43" s="321">
        <v>1652492.45</v>
      </c>
      <c r="F43" s="321">
        <v>1693630.59</v>
      </c>
      <c r="G43" s="321">
        <v>107533.31</v>
      </c>
      <c r="H43" s="320"/>
      <c r="P43" s="33">
        <f>L60</f>
        <v>5000</v>
      </c>
    </row>
    <row r="44" spans="1:16" ht="22.5" x14ac:dyDescent="0.25">
      <c r="A44" s="327" t="s">
        <v>232</v>
      </c>
      <c r="B44" s="316" t="s">
        <v>469</v>
      </c>
      <c r="C44" s="318">
        <v>1183699.73</v>
      </c>
      <c r="D44" s="317"/>
      <c r="E44" s="318">
        <v>54824649.399999999</v>
      </c>
      <c r="F44" s="318">
        <v>55538715.119999997</v>
      </c>
      <c r="G44" s="336">
        <v>469634.01</v>
      </c>
      <c r="H44" s="317"/>
      <c r="P44" s="33">
        <f>L75</f>
        <v>102</v>
      </c>
    </row>
    <row r="45" spans="1:16" ht="33.75" x14ac:dyDescent="0.25">
      <c r="A45" s="327" t="s">
        <v>233</v>
      </c>
      <c r="B45" s="316" t="s">
        <v>469</v>
      </c>
      <c r="C45" s="318">
        <v>4134890.26</v>
      </c>
      <c r="D45" s="317"/>
      <c r="E45" s="318">
        <v>167480.98000000001</v>
      </c>
      <c r="F45" s="318">
        <v>511054.49</v>
      </c>
      <c r="G45" s="336">
        <v>3791316.75</v>
      </c>
      <c r="H45" s="317"/>
      <c r="P45" s="33">
        <f>L77-L79</f>
        <v>11227</v>
      </c>
    </row>
    <row r="46" spans="1:16" ht="22.5" x14ac:dyDescent="0.25">
      <c r="A46" s="323" t="s">
        <v>234</v>
      </c>
      <c r="B46" s="324" t="s">
        <v>469</v>
      </c>
      <c r="C46" s="325">
        <v>11465577</v>
      </c>
      <c r="D46" s="326"/>
      <c r="E46" s="325">
        <v>27546940.09</v>
      </c>
      <c r="F46" s="325">
        <v>10335584.810000001</v>
      </c>
      <c r="G46" s="325">
        <v>28676932.280000001</v>
      </c>
      <c r="H46" s="326"/>
      <c r="P46" s="33">
        <f>L87</f>
        <v>19788</v>
      </c>
    </row>
    <row r="47" spans="1:16" ht="33.75" x14ac:dyDescent="0.25">
      <c r="A47" s="327" t="s">
        <v>235</v>
      </c>
      <c r="B47" s="316" t="s">
        <v>469</v>
      </c>
      <c r="C47" s="318">
        <v>7068.94</v>
      </c>
      <c r="D47" s="317"/>
      <c r="E47" s="318">
        <v>313970.34999999998</v>
      </c>
      <c r="F47" s="318">
        <v>321039.28999999998</v>
      </c>
      <c r="G47" s="317"/>
      <c r="H47" s="317"/>
      <c r="K47" s="31">
        <f>ROUND(C47/1000,0)</f>
        <v>7</v>
      </c>
      <c r="L47" s="31">
        <f>ROUND(G47/1000,0)</f>
        <v>0</v>
      </c>
      <c r="P47">
        <f>M65</f>
        <v>-174</v>
      </c>
    </row>
    <row r="48" spans="1:16" x14ac:dyDescent="0.25">
      <c r="A48" s="740" t="s">
        <v>385</v>
      </c>
      <c r="B48" s="319" t="s">
        <v>469</v>
      </c>
      <c r="C48" s="321">
        <v>7068.94</v>
      </c>
      <c r="D48" s="320"/>
      <c r="E48" s="321">
        <v>313970.34999999998</v>
      </c>
      <c r="F48" s="321">
        <v>321039.28999999998</v>
      </c>
      <c r="G48" s="320"/>
      <c r="H48" s="320"/>
    </row>
    <row r="49" spans="1:16" x14ac:dyDescent="0.25">
      <c r="A49" s="741"/>
      <c r="B49" s="319" t="s">
        <v>470</v>
      </c>
      <c r="C49" s="321">
        <v>7068.94</v>
      </c>
      <c r="D49" s="320"/>
      <c r="E49" s="321">
        <v>313970.34999999998</v>
      </c>
      <c r="F49" s="321">
        <v>321039.28999999998</v>
      </c>
      <c r="G49" s="320"/>
      <c r="H49" s="320"/>
    </row>
    <row r="50" spans="1:16" ht="33.75" x14ac:dyDescent="0.25">
      <c r="A50" s="327" t="s">
        <v>236</v>
      </c>
      <c r="B50" s="316" t="s">
        <v>469</v>
      </c>
      <c r="C50" s="318">
        <v>5982189.2000000002</v>
      </c>
      <c r="D50" s="317"/>
      <c r="E50" s="318">
        <v>27014935.34</v>
      </c>
      <c r="F50" s="318">
        <v>9443078.0500000007</v>
      </c>
      <c r="G50" s="318">
        <v>23554046.489999998</v>
      </c>
      <c r="H50" s="317"/>
      <c r="K50" s="31">
        <f>ROUND(C50/1000,0)</f>
        <v>5982</v>
      </c>
      <c r="L50" s="31">
        <f>ROUND(G50/1000,0)</f>
        <v>23554</v>
      </c>
      <c r="P50" s="33">
        <f>SUM(P40:P49)</f>
        <v>40311</v>
      </c>
    </row>
    <row r="51" spans="1:16" x14ac:dyDescent="0.25">
      <c r="A51" s="740" t="s">
        <v>385</v>
      </c>
      <c r="B51" s="319" t="s">
        <v>469</v>
      </c>
      <c r="C51" s="321">
        <v>5982189.2000000002</v>
      </c>
      <c r="D51" s="320"/>
      <c r="E51" s="321">
        <v>25662018.34</v>
      </c>
      <c r="F51" s="321">
        <v>8903152.0500000007</v>
      </c>
      <c r="G51" s="321">
        <v>22741055.489999998</v>
      </c>
      <c r="H51" s="320"/>
    </row>
    <row r="52" spans="1:16" x14ac:dyDescent="0.25">
      <c r="A52" s="741"/>
      <c r="B52" s="319" t="s">
        <v>470</v>
      </c>
      <c r="C52" s="321">
        <v>5982189.2000000002</v>
      </c>
      <c r="D52" s="320"/>
      <c r="E52" s="321">
        <v>25662018.34</v>
      </c>
      <c r="F52" s="321">
        <v>8903152.0500000007</v>
      </c>
      <c r="G52" s="321">
        <v>22741055.489999998</v>
      </c>
      <c r="H52" s="320"/>
    </row>
    <row r="53" spans="1:16" x14ac:dyDescent="0.25">
      <c r="A53" s="740" t="s">
        <v>420</v>
      </c>
      <c r="B53" s="319" t="s">
        <v>469</v>
      </c>
      <c r="C53" s="320"/>
      <c r="D53" s="320"/>
      <c r="E53" s="321">
        <v>1352917</v>
      </c>
      <c r="F53" s="321">
        <v>539926</v>
      </c>
      <c r="G53" s="321">
        <v>812991</v>
      </c>
      <c r="H53" s="320"/>
    </row>
    <row r="54" spans="1:16" x14ac:dyDescent="0.25">
      <c r="A54" s="741"/>
      <c r="B54" s="319" t="s">
        <v>470</v>
      </c>
      <c r="C54" s="320"/>
      <c r="D54" s="320"/>
      <c r="E54" s="321">
        <v>3100</v>
      </c>
      <c r="F54" s="321">
        <v>1200</v>
      </c>
      <c r="G54" s="321">
        <v>1900</v>
      </c>
      <c r="H54" s="320"/>
    </row>
    <row r="55" spans="1:16" ht="45" x14ac:dyDescent="0.25">
      <c r="A55" s="327" t="s">
        <v>238</v>
      </c>
      <c r="B55" s="316" t="s">
        <v>469</v>
      </c>
      <c r="C55" s="318">
        <v>5476318.8600000003</v>
      </c>
      <c r="D55" s="317"/>
      <c r="E55" s="318">
        <v>218034.4</v>
      </c>
      <c r="F55" s="318">
        <v>571467.47</v>
      </c>
      <c r="G55" s="318">
        <v>5122885.79</v>
      </c>
      <c r="H55" s="317"/>
      <c r="K55" s="31">
        <f>ROUND(C55/1000,0)</f>
        <v>5476</v>
      </c>
      <c r="L55" s="31">
        <f>ROUND(G55/1000,0)</f>
        <v>5123</v>
      </c>
    </row>
    <row r="56" spans="1:16" x14ac:dyDescent="0.25">
      <c r="A56" s="740" t="s">
        <v>385</v>
      </c>
      <c r="B56" s="319" t="s">
        <v>469</v>
      </c>
      <c r="C56" s="321">
        <v>2787462.98</v>
      </c>
      <c r="D56" s="320"/>
      <c r="E56" s="321">
        <v>24832.74</v>
      </c>
      <c r="F56" s="321">
        <v>400760.62</v>
      </c>
      <c r="G56" s="321">
        <v>2411535.1</v>
      </c>
      <c r="H56" s="320"/>
    </row>
    <row r="57" spans="1:16" x14ac:dyDescent="0.25">
      <c r="A57" s="741"/>
      <c r="B57" s="319" t="s">
        <v>470</v>
      </c>
      <c r="C57" s="321">
        <v>2787462.98</v>
      </c>
      <c r="D57" s="320"/>
      <c r="E57" s="321">
        <v>24832.74</v>
      </c>
      <c r="F57" s="321">
        <v>400760.62</v>
      </c>
      <c r="G57" s="321">
        <v>2411535.1</v>
      </c>
      <c r="H57" s="320"/>
    </row>
    <row r="58" spans="1:16" x14ac:dyDescent="0.25">
      <c r="A58" s="740" t="s">
        <v>420</v>
      </c>
      <c r="B58" s="319" t="s">
        <v>469</v>
      </c>
      <c r="C58" s="321">
        <v>2688855.88</v>
      </c>
      <c r="D58" s="320"/>
      <c r="E58" s="321">
        <v>193201.66</v>
      </c>
      <c r="F58" s="321">
        <v>170706.85</v>
      </c>
      <c r="G58" s="321">
        <v>2711350.69</v>
      </c>
      <c r="H58" s="320"/>
    </row>
    <row r="59" spans="1:16" x14ac:dyDescent="0.25">
      <c r="A59" s="741"/>
      <c r="B59" s="319" t="s">
        <v>470</v>
      </c>
      <c r="C59" s="321">
        <v>6336.56</v>
      </c>
      <c r="D59" s="320"/>
      <c r="E59" s="320"/>
      <c r="F59" s="320"/>
      <c r="G59" s="321">
        <v>6336.56</v>
      </c>
      <c r="H59" s="320"/>
    </row>
    <row r="60" spans="1:16" ht="22.5" x14ac:dyDescent="0.25">
      <c r="A60" s="323" t="s">
        <v>239</v>
      </c>
      <c r="B60" s="324" t="s">
        <v>469</v>
      </c>
      <c r="C60" s="325">
        <v>5000000</v>
      </c>
      <c r="D60" s="326"/>
      <c r="E60" s="326"/>
      <c r="F60" s="326"/>
      <c r="G60" s="325">
        <v>5000000</v>
      </c>
      <c r="H60" s="326"/>
      <c r="K60" s="31">
        <f>ROUND(C60/1000,0)</f>
        <v>5000</v>
      </c>
      <c r="L60" s="31">
        <f>ROUND(G60/1000,0)</f>
        <v>5000</v>
      </c>
    </row>
    <row r="61" spans="1:16" ht="22.5" x14ac:dyDescent="0.25">
      <c r="A61" s="327" t="s">
        <v>240</v>
      </c>
      <c r="B61" s="316" t="s">
        <v>469</v>
      </c>
      <c r="C61" s="318">
        <v>5000000</v>
      </c>
      <c r="D61" s="317"/>
      <c r="E61" s="317"/>
      <c r="F61" s="317"/>
      <c r="G61" s="318">
        <v>5000000</v>
      </c>
      <c r="H61" s="317"/>
    </row>
    <row r="62" spans="1:16" x14ac:dyDescent="0.25">
      <c r="A62" s="740" t="s">
        <v>385</v>
      </c>
      <c r="B62" s="319" t="s">
        <v>469</v>
      </c>
      <c r="C62" s="321">
        <v>5000000</v>
      </c>
      <c r="D62" s="320"/>
      <c r="E62" s="320"/>
      <c r="F62" s="320"/>
      <c r="G62" s="321">
        <v>5000000</v>
      </c>
      <c r="H62" s="320"/>
    </row>
    <row r="63" spans="1:16" x14ac:dyDescent="0.25">
      <c r="A63" s="741"/>
      <c r="B63" s="319" t="s">
        <v>470</v>
      </c>
      <c r="C63" s="321">
        <v>5000000</v>
      </c>
      <c r="D63" s="320"/>
      <c r="E63" s="320"/>
      <c r="F63" s="320"/>
      <c r="G63" s="321">
        <v>5000000</v>
      </c>
      <c r="H63" s="320"/>
    </row>
    <row r="64" spans="1:16" ht="22.5" x14ac:dyDescent="0.25">
      <c r="A64" s="323" t="s">
        <v>241</v>
      </c>
      <c r="B64" s="324" t="s">
        <v>469</v>
      </c>
      <c r="C64" s="326"/>
      <c r="D64" s="325">
        <v>5650920.6100000003</v>
      </c>
      <c r="E64" s="325">
        <v>571974.09</v>
      </c>
      <c r="F64" s="325">
        <v>218651.04</v>
      </c>
      <c r="G64" s="326"/>
      <c r="H64" s="325">
        <v>5297597.5599999996</v>
      </c>
      <c r="K64" s="31">
        <f>ROUND(D64/1000,0)</f>
        <v>5651</v>
      </c>
      <c r="L64" s="31">
        <f>ROUND(H64/1000,0)</f>
        <v>5298</v>
      </c>
    </row>
    <row r="65" spans="1:13" ht="33.75" x14ac:dyDescent="0.25">
      <c r="A65" s="327" t="s">
        <v>242</v>
      </c>
      <c r="B65" s="316" t="s">
        <v>469</v>
      </c>
      <c r="C65" s="317"/>
      <c r="D65" s="318">
        <v>5650676.1900000004</v>
      </c>
      <c r="E65" s="318">
        <v>571684.54</v>
      </c>
      <c r="F65" s="318">
        <v>218251.47</v>
      </c>
      <c r="G65" s="317"/>
      <c r="H65" s="318">
        <v>5297243.12</v>
      </c>
      <c r="K65" s="31">
        <f>ROUND(D65/1000,0)</f>
        <v>5651</v>
      </c>
      <c r="L65" s="31">
        <f>ROUND(H65/1000,0)</f>
        <v>5297</v>
      </c>
      <c r="M65">
        <v>-174</v>
      </c>
    </row>
    <row r="66" spans="1:13" x14ac:dyDescent="0.25">
      <c r="A66" s="740" t="s">
        <v>385</v>
      </c>
      <c r="B66" s="319" t="s">
        <v>469</v>
      </c>
      <c r="C66" s="320"/>
      <c r="D66" s="321">
        <v>2961820.31</v>
      </c>
      <c r="E66" s="321">
        <v>400760.62</v>
      </c>
      <c r="F66" s="321">
        <v>24832.74</v>
      </c>
      <c r="G66" s="320"/>
      <c r="H66" s="321">
        <v>2585892.4300000002</v>
      </c>
    </row>
    <row r="67" spans="1:13" x14ac:dyDescent="0.25">
      <c r="A67" s="741"/>
      <c r="B67" s="319" t="s">
        <v>470</v>
      </c>
      <c r="C67" s="320"/>
      <c r="D67" s="321">
        <v>2961820.31</v>
      </c>
      <c r="E67" s="321">
        <v>400760.62</v>
      </c>
      <c r="F67" s="321">
        <v>24832.74</v>
      </c>
      <c r="G67" s="320"/>
      <c r="H67" s="321">
        <v>2585892.4300000002</v>
      </c>
    </row>
    <row r="68" spans="1:13" x14ac:dyDescent="0.25">
      <c r="A68" s="740" t="s">
        <v>420</v>
      </c>
      <c r="B68" s="319" t="s">
        <v>469</v>
      </c>
      <c r="C68" s="320"/>
      <c r="D68" s="321">
        <v>2688855.88</v>
      </c>
      <c r="E68" s="321">
        <v>170923.92</v>
      </c>
      <c r="F68" s="321">
        <v>193418.73</v>
      </c>
      <c r="G68" s="320"/>
      <c r="H68" s="321">
        <v>2711350.69</v>
      </c>
    </row>
    <row r="69" spans="1:13" x14ac:dyDescent="0.25">
      <c r="A69" s="741"/>
      <c r="B69" s="319" t="s">
        <v>470</v>
      </c>
      <c r="C69" s="320"/>
      <c r="D69" s="321">
        <v>6336.56</v>
      </c>
      <c r="E69" s="320"/>
      <c r="F69" s="320"/>
      <c r="G69" s="320"/>
      <c r="H69" s="321">
        <v>6336.56</v>
      </c>
    </row>
    <row r="70" spans="1:13" ht="56.25" x14ac:dyDescent="0.25">
      <c r="A70" s="327" t="s">
        <v>243</v>
      </c>
      <c r="B70" s="316" t="s">
        <v>469</v>
      </c>
      <c r="C70" s="317"/>
      <c r="D70" s="328">
        <v>244.42</v>
      </c>
      <c r="E70" s="328">
        <v>289.55</v>
      </c>
      <c r="F70" s="328">
        <v>399.57</v>
      </c>
      <c r="G70" s="317"/>
      <c r="H70" s="328">
        <v>354.44</v>
      </c>
      <c r="K70" s="31">
        <f>ROUND(D70/1000,0)</f>
        <v>0</v>
      </c>
      <c r="L70" s="31">
        <f>ROUND(H70/1000,0)</f>
        <v>0</v>
      </c>
    </row>
    <row r="71" spans="1:13" x14ac:dyDescent="0.25">
      <c r="A71" s="740" t="s">
        <v>385</v>
      </c>
      <c r="B71" s="319" t="s">
        <v>469</v>
      </c>
      <c r="C71" s="320"/>
      <c r="D71" s="322">
        <v>117.12</v>
      </c>
      <c r="E71" s="322">
        <v>166.56</v>
      </c>
      <c r="F71" s="322">
        <v>378.21</v>
      </c>
      <c r="G71" s="320"/>
      <c r="H71" s="322">
        <v>328.77</v>
      </c>
    </row>
    <row r="72" spans="1:13" x14ac:dyDescent="0.25">
      <c r="A72" s="741"/>
      <c r="B72" s="319" t="s">
        <v>470</v>
      </c>
      <c r="C72" s="320"/>
      <c r="D72" s="322">
        <v>117.12</v>
      </c>
      <c r="E72" s="322">
        <v>166.56</v>
      </c>
      <c r="F72" s="322">
        <v>378.21</v>
      </c>
      <c r="G72" s="320"/>
      <c r="H72" s="322">
        <v>328.77</v>
      </c>
    </row>
    <row r="73" spans="1:13" x14ac:dyDescent="0.25">
      <c r="A73" s="740" t="s">
        <v>420</v>
      </c>
      <c r="B73" s="319" t="s">
        <v>469</v>
      </c>
      <c r="C73" s="320"/>
      <c r="D73" s="322">
        <v>127.3</v>
      </c>
      <c r="E73" s="322">
        <v>122.99</v>
      </c>
      <c r="F73" s="322">
        <v>21.36</v>
      </c>
      <c r="G73" s="320"/>
      <c r="H73" s="322">
        <v>25.67</v>
      </c>
    </row>
    <row r="74" spans="1:13" x14ac:dyDescent="0.25">
      <c r="A74" s="741"/>
      <c r="B74" s="319" t="s">
        <v>470</v>
      </c>
      <c r="C74" s="320"/>
      <c r="D74" s="322">
        <v>0.3</v>
      </c>
      <c r="E74" s="322">
        <v>0.28000000000000003</v>
      </c>
      <c r="F74" s="322">
        <v>0.04</v>
      </c>
      <c r="G74" s="320"/>
      <c r="H74" s="322">
        <v>0.06</v>
      </c>
    </row>
    <row r="75" spans="1:13" x14ac:dyDescent="0.25">
      <c r="A75" s="311" t="s">
        <v>244</v>
      </c>
      <c r="B75" s="312" t="s">
        <v>469</v>
      </c>
      <c r="C75" s="313">
        <v>301776.21000000002</v>
      </c>
      <c r="D75" s="314"/>
      <c r="E75" s="313">
        <v>882703.58</v>
      </c>
      <c r="F75" s="313">
        <v>1082076.5</v>
      </c>
      <c r="G75" s="313">
        <v>102403.29</v>
      </c>
      <c r="H75" s="314"/>
      <c r="K75" s="31">
        <f>ROUND(C75/1000,0)</f>
        <v>302</v>
      </c>
      <c r="L75" s="31">
        <f>ROUND(G75/1000,0)</f>
        <v>102</v>
      </c>
    </row>
    <row r="76" spans="1:13" x14ac:dyDescent="0.25">
      <c r="A76" s="315" t="s">
        <v>245</v>
      </c>
      <c r="B76" s="316" t="s">
        <v>469</v>
      </c>
      <c r="C76" s="318">
        <v>301776.21000000002</v>
      </c>
      <c r="D76" s="317"/>
      <c r="E76" s="318">
        <v>882703.58</v>
      </c>
      <c r="F76" s="318">
        <v>1082076.5</v>
      </c>
      <c r="G76" s="318">
        <v>102403.29</v>
      </c>
      <c r="H76" s="317"/>
    </row>
    <row r="77" spans="1:13" x14ac:dyDescent="0.25">
      <c r="A77" s="311" t="s">
        <v>246</v>
      </c>
      <c r="B77" s="312" t="s">
        <v>469</v>
      </c>
      <c r="C77" s="313">
        <v>14899130.949999999</v>
      </c>
      <c r="D77" s="314"/>
      <c r="E77" s="313">
        <v>2311986.4900000002</v>
      </c>
      <c r="F77" s="313">
        <v>1546004.11</v>
      </c>
      <c r="G77" s="313">
        <v>15665113.33</v>
      </c>
      <c r="H77" s="314"/>
      <c r="K77" s="31">
        <f>ROUND(C77/1000,0)</f>
        <v>14899</v>
      </c>
      <c r="L77" s="31">
        <f>ROUND(G77/1000,0)</f>
        <v>15665</v>
      </c>
    </row>
    <row r="78" spans="1:13" x14ac:dyDescent="0.25">
      <c r="A78" s="315" t="s">
        <v>247</v>
      </c>
      <c r="B78" s="316" t="s">
        <v>469</v>
      </c>
      <c r="C78" s="318">
        <v>1576353.47</v>
      </c>
      <c r="D78" s="317"/>
      <c r="E78" s="317"/>
      <c r="F78" s="317"/>
      <c r="G78" s="336">
        <v>1576353.47</v>
      </c>
      <c r="H78" s="317"/>
    </row>
    <row r="79" spans="1:13" ht="33.75" x14ac:dyDescent="0.25">
      <c r="A79" s="315" t="s">
        <v>248</v>
      </c>
      <c r="B79" s="316" t="s">
        <v>469</v>
      </c>
      <c r="C79" s="318">
        <v>4438497.9800000004</v>
      </c>
      <c r="D79" s="317"/>
      <c r="E79" s="317"/>
      <c r="F79" s="317"/>
      <c r="G79" s="336">
        <v>4438497.9800000004</v>
      </c>
      <c r="H79" s="317"/>
      <c r="K79" s="31">
        <f>ROUND(C79/1000,0)</f>
        <v>4438</v>
      </c>
      <c r="L79" s="31">
        <f>ROUND(G79/1000,0)</f>
        <v>4438</v>
      </c>
    </row>
    <row r="80" spans="1:13" ht="22.5" x14ac:dyDescent="0.25">
      <c r="A80" s="315" t="s">
        <v>249</v>
      </c>
      <c r="B80" s="316" t="s">
        <v>469</v>
      </c>
      <c r="C80" s="318">
        <v>4071475.69</v>
      </c>
      <c r="D80" s="317"/>
      <c r="E80" s="318">
        <v>2311986.4900000002</v>
      </c>
      <c r="F80" s="318">
        <v>1546004.11</v>
      </c>
      <c r="G80" s="336">
        <v>4837458.07</v>
      </c>
      <c r="H80" s="317"/>
    </row>
    <row r="81" spans="1:12" ht="22.5" x14ac:dyDescent="0.25">
      <c r="A81" s="327" t="s">
        <v>250</v>
      </c>
      <c r="B81" s="316" t="s">
        <v>469</v>
      </c>
      <c r="C81" s="318">
        <v>1671475.69</v>
      </c>
      <c r="D81" s="317"/>
      <c r="E81" s="318">
        <v>2311986.4900000002</v>
      </c>
      <c r="F81" s="318">
        <v>1546004.11</v>
      </c>
      <c r="G81" s="318">
        <v>2437458.0699999998</v>
      </c>
      <c r="H81" s="317"/>
    </row>
    <row r="82" spans="1:12" ht="33.75" x14ac:dyDescent="0.25">
      <c r="A82" s="327" t="s">
        <v>251</v>
      </c>
      <c r="B82" s="316" t="s">
        <v>469</v>
      </c>
      <c r="C82" s="318">
        <v>2400000</v>
      </c>
      <c r="D82" s="317"/>
      <c r="E82" s="317"/>
      <c r="F82" s="317"/>
      <c r="G82" s="318">
        <v>2400000</v>
      </c>
      <c r="H82" s="317"/>
    </row>
    <row r="83" spans="1:12" ht="22.5" x14ac:dyDescent="0.25">
      <c r="A83" s="323" t="s">
        <v>252</v>
      </c>
      <c r="B83" s="324" t="s">
        <v>469</v>
      </c>
      <c r="C83" s="325">
        <v>4812803.8099999996</v>
      </c>
      <c r="D83" s="326"/>
      <c r="E83" s="326"/>
      <c r="F83" s="326"/>
      <c r="G83" s="337">
        <v>4812803.8099999996</v>
      </c>
      <c r="H83" s="326"/>
    </row>
    <row r="84" spans="1:12" x14ac:dyDescent="0.25">
      <c r="A84" s="327" t="s">
        <v>253</v>
      </c>
      <c r="B84" s="316" t="s">
        <v>469</v>
      </c>
      <c r="C84" s="318">
        <v>331242.99</v>
      </c>
      <c r="D84" s="317"/>
      <c r="E84" s="317"/>
      <c r="F84" s="317"/>
      <c r="G84" s="318">
        <v>331242.99</v>
      </c>
      <c r="H84" s="317"/>
    </row>
    <row r="85" spans="1:12" x14ac:dyDescent="0.25">
      <c r="A85" s="327" t="s">
        <v>254</v>
      </c>
      <c r="B85" s="316" t="s">
        <v>469</v>
      </c>
      <c r="C85" s="328">
        <v>49.99</v>
      </c>
      <c r="D85" s="317"/>
      <c r="E85" s="317"/>
      <c r="F85" s="317"/>
      <c r="G85" s="328">
        <v>49.99</v>
      </c>
      <c r="H85" s="317"/>
    </row>
    <row r="86" spans="1:12" ht="22.5" x14ac:dyDescent="0.25">
      <c r="A86" s="327" t="s">
        <v>255</v>
      </c>
      <c r="B86" s="316" t="s">
        <v>469</v>
      </c>
      <c r="C86" s="318">
        <v>4481510.83</v>
      </c>
      <c r="D86" s="317"/>
      <c r="E86" s="317"/>
      <c r="F86" s="317"/>
      <c r="G86" s="318">
        <v>4481510.83</v>
      </c>
      <c r="H86" s="317"/>
    </row>
    <row r="87" spans="1:12" x14ac:dyDescent="0.25">
      <c r="A87" s="311" t="s">
        <v>256</v>
      </c>
      <c r="B87" s="312" t="s">
        <v>469</v>
      </c>
      <c r="C87" s="313">
        <v>25438016.129999999</v>
      </c>
      <c r="D87" s="314"/>
      <c r="E87" s="313">
        <v>167645849.22</v>
      </c>
      <c r="F87" s="313">
        <v>173295706.16</v>
      </c>
      <c r="G87" s="313">
        <v>19788159.190000001</v>
      </c>
      <c r="H87" s="314"/>
      <c r="K87" s="31">
        <f>ROUND(C87/1000,0)</f>
        <v>25438</v>
      </c>
      <c r="L87" s="31">
        <f>ROUND(G87/1000,0)</f>
        <v>19788</v>
      </c>
    </row>
    <row r="88" spans="1:12" x14ac:dyDescent="0.25">
      <c r="A88" s="323" t="s">
        <v>257</v>
      </c>
      <c r="B88" s="324" t="s">
        <v>469</v>
      </c>
      <c r="C88" s="325">
        <v>7860163.8300000001</v>
      </c>
      <c r="D88" s="326"/>
      <c r="E88" s="325">
        <v>161176697.03999999</v>
      </c>
      <c r="F88" s="325">
        <v>163521495.28999999</v>
      </c>
      <c r="G88" s="337">
        <v>5515365.5800000001</v>
      </c>
      <c r="H88" s="326"/>
    </row>
    <row r="89" spans="1:12" ht="22.5" x14ac:dyDescent="0.25">
      <c r="A89" s="327" t="s">
        <v>258</v>
      </c>
      <c r="B89" s="316" t="s">
        <v>469</v>
      </c>
      <c r="C89" s="318">
        <v>7860163.8300000001</v>
      </c>
      <c r="D89" s="317"/>
      <c r="E89" s="318">
        <v>21716931.460000001</v>
      </c>
      <c r="F89" s="318">
        <v>24061729.710000001</v>
      </c>
      <c r="G89" s="318">
        <v>5515365.5800000001</v>
      </c>
      <c r="H89" s="317"/>
    </row>
    <row r="90" spans="1:12" x14ac:dyDescent="0.25">
      <c r="A90" s="740" t="s">
        <v>385</v>
      </c>
      <c r="B90" s="319" t="s">
        <v>469</v>
      </c>
      <c r="C90" s="321">
        <v>7860163.8300000001</v>
      </c>
      <c r="D90" s="320"/>
      <c r="E90" s="321">
        <v>21570392.41</v>
      </c>
      <c r="F90" s="321">
        <v>24058821.91</v>
      </c>
      <c r="G90" s="321">
        <v>5371734.3300000001</v>
      </c>
      <c r="H90" s="320"/>
    </row>
    <row r="91" spans="1:12" x14ac:dyDescent="0.25">
      <c r="A91" s="741"/>
      <c r="B91" s="319" t="s">
        <v>470</v>
      </c>
      <c r="C91" s="321">
        <v>7860163.8300000001</v>
      </c>
      <c r="D91" s="320"/>
      <c r="E91" s="321">
        <v>21570392.41</v>
      </c>
      <c r="F91" s="321">
        <v>24058821.91</v>
      </c>
      <c r="G91" s="321">
        <v>5371734.3300000001</v>
      </c>
      <c r="H91" s="320"/>
    </row>
    <row r="92" spans="1:12" x14ac:dyDescent="0.25">
      <c r="A92" s="740" t="s">
        <v>420</v>
      </c>
      <c r="B92" s="319" t="s">
        <v>469</v>
      </c>
      <c r="C92" s="320"/>
      <c r="D92" s="320"/>
      <c r="E92" s="321">
        <v>146539.04999999999</v>
      </c>
      <c r="F92" s="321">
        <v>2907.8</v>
      </c>
      <c r="G92" s="321">
        <v>143631.25</v>
      </c>
      <c r="H92" s="320"/>
    </row>
    <row r="93" spans="1:12" x14ac:dyDescent="0.25">
      <c r="A93" s="741"/>
      <c r="B93" s="319" t="s">
        <v>470</v>
      </c>
      <c r="C93" s="320"/>
      <c r="D93" s="320"/>
      <c r="E93" s="322">
        <v>335</v>
      </c>
      <c r="F93" s="320"/>
      <c r="G93" s="322">
        <v>335</v>
      </c>
      <c r="H93" s="320"/>
    </row>
    <row r="94" spans="1:12" x14ac:dyDescent="0.25">
      <c r="A94" s="327" t="s">
        <v>259</v>
      </c>
      <c r="B94" s="316" t="s">
        <v>469</v>
      </c>
      <c r="C94" s="317"/>
      <c r="D94" s="317"/>
      <c r="E94" s="318">
        <v>139459765.58000001</v>
      </c>
      <c r="F94" s="318">
        <v>139459765.58000001</v>
      </c>
      <c r="G94" s="317"/>
      <c r="H94" s="317"/>
    </row>
    <row r="95" spans="1:12" x14ac:dyDescent="0.25">
      <c r="A95" s="740" t="s">
        <v>385</v>
      </c>
      <c r="B95" s="319" t="s">
        <v>469</v>
      </c>
      <c r="C95" s="320"/>
      <c r="D95" s="320"/>
      <c r="E95" s="321">
        <v>139459765.58000001</v>
      </c>
      <c r="F95" s="321">
        <v>139459765.58000001</v>
      </c>
      <c r="G95" s="320"/>
      <c r="H95" s="320"/>
    </row>
    <row r="96" spans="1:12" x14ac:dyDescent="0.25">
      <c r="A96" s="741"/>
      <c r="B96" s="319" t="s">
        <v>470</v>
      </c>
      <c r="C96" s="320"/>
      <c r="D96" s="320"/>
      <c r="E96" s="321">
        <v>139459765.58000001</v>
      </c>
      <c r="F96" s="321">
        <v>139459765.58000001</v>
      </c>
      <c r="G96" s="320"/>
      <c r="H96" s="320"/>
    </row>
    <row r="97" spans="1:12" x14ac:dyDescent="0.25">
      <c r="A97" s="323" t="s">
        <v>260</v>
      </c>
      <c r="B97" s="324" t="s">
        <v>469</v>
      </c>
      <c r="C97" s="325">
        <v>17577852.300000001</v>
      </c>
      <c r="D97" s="326"/>
      <c r="E97" s="325">
        <v>6469152.1799999997</v>
      </c>
      <c r="F97" s="325">
        <v>9774210.8699999992</v>
      </c>
      <c r="G97" s="337">
        <v>14272793.609999999</v>
      </c>
      <c r="H97" s="326"/>
      <c r="K97" s="31">
        <f>ROUND(C97/1000,0)</f>
        <v>17578</v>
      </c>
      <c r="L97" s="31">
        <f>ROUND(G97/1000,0)</f>
        <v>14273</v>
      </c>
    </row>
    <row r="98" spans="1:12" ht="33.75" x14ac:dyDescent="0.25">
      <c r="A98" s="327" t="s">
        <v>261</v>
      </c>
      <c r="B98" s="316" t="s">
        <v>469</v>
      </c>
      <c r="C98" s="318">
        <v>6051.54</v>
      </c>
      <c r="D98" s="317"/>
      <c r="E98" s="318">
        <v>172639</v>
      </c>
      <c r="F98" s="318">
        <v>41482.31</v>
      </c>
      <c r="G98" s="318">
        <v>137208.23000000001</v>
      </c>
      <c r="H98" s="317"/>
    </row>
    <row r="99" spans="1:12" ht="22.5" x14ac:dyDescent="0.25">
      <c r="A99" s="327" t="s">
        <v>262</v>
      </c>
      <c r="B99" s="316" t="s">
        <v>469</v>
      </c>
      <c r="C99" s="318">
        <v>17571800.760000002</v>
      </c>
      <c r="D99" s="317"/>
      <c r="E99" s="318">
        <v>6296513.1799999997</v>
      </c>
      <c r="F99" s="318">
        <v>9732728.5600000005</v>
      </c>
      <c r="G99" s="318">
        <v>14135585.380000001</v>
      </c>
      <c r="H99" s="317"/>
    </row>
    <row r="100" spans="1:12" ht="22.5" x14ac:dyDescent="0.25">
      <c r="A100" s="311" t="s">
        <v>263</v>
      </c>
      <c r="B100" s="312" t="s">
        <v>469</v>
      </c>
      <c r="C100" s="313">
        <v>500000</v>
      </c>
      <c r="D100" s="314"/>
      <c r="E100" s="314"/>
      <c r="F100" s="314"/>
      <c r="G100" s="313">
        <v>500000</v>
      </c>
      <c r="H100" s="314"/>
      <c r="K100" s="31">
        <f>ROUND(C100/1000,0)</f>
        <v>500</v>
      </c>
      <c r="L100" s="31">
        <f>ROUND(G100/1000,0)</f>
        <v>500</v>
      </c>
    </row>
    <row r="101" spans="1:12" ht="22.5" x14ac:dyDescent="0.25">
      <c r="A101" s="315" t="s">
        <v>264</v>
      </c>
      <c r="B101" s="316" t="s">
        <v>469</v>
      </c>
      <c r="C101" s="318">
        <v>500000</v>
      </c>
      <c r="D101" s="317"/>
      <c r="E101" s="317"/>
      <c r="F101" s="317"/>
      <c r="G101" s="318">
        <v>500000</v>
      </c>
      <c r="H101" s="317"/>
    </row>
    <row r="102" spans="1:12" x14ac:dyDescent="0.25">
      <c r="A102" s="742" t="s">
        <v>385</v>
      </c>
      <c r="B102" s="319" t="s">
        <v>469</v>
      </c>
      <c r="C102" s="321">
        <v>500000</v>
      </c>
      <c r="D102" s="320"/>
      <c r="E102" s="320"/>
      <c r="F102" s="320"/>
      <c r="G102" s="321">
        <v>500000</v>
      </c>
      <c r="H102" s="320"/>
    </row>
    <row r="103" spans="1:12" x14ac:dyDescent="0.25">
      <c r="A103" s="743"/>
      <c r="B103" s="319" t="s">
        <v>470</v>
      </c>
      <c r="C103" s="321">
        <v>500000</v>
      </c>
      <c r="D103" s="320"/>
      <c r="E103" s="320"/>
      <c r="F103" s="320"/>
      <c r="G103" s="321">
        <v>500000</v>
      </c>
      <c r="H103" s="320"/>
    </row>
    <row r="104" spans="1:12" x14ac:dyDescent="0.25">
      <c r="A104" s="311" t="s">
        <v>265</v>
      </c>
      <c r="B104" s="312" t="s">
        <v>469</v>
      </c>
      <c r="C104" s="313">
        <v>13426173.42</v>
      </c>
      <c r="D104" s="314"/>
      <c r="E104" s="313">
        <v>27015885.699999999</v>
      </c>
      <c r="F104" s="313">
        <v>23665970.850000001</v>
      </c>
      <c r="G104" s="313">
        <v>16776088.27</v>
      </c>
      <c r="H104" s="314"/>
      <c r="K104" s="31">
        <f>ROUND(C104/1000,0)</f>
        <v>13426</v>
      </c>
      <c r="L104" s="31">
        <f>ROUND(G104/1000,0)</f>
        <v>16776</v>
      </c>
    </row>
    <row r="105" spans="1:12" x14ac:dyDescent="0.25">
      <c r="A105" s="315" t="s">
        <v>266</v>
      </c>
      <c r="B105" s="316" t="s">
        <v>469</v>
      </c>
      <c r="C105" s="318">
        <v>84241577.159999996</v>
      </c>
      <c r="D105" s="317"/>
      <c r="E105" s="318">
        <v>5244547.33</v>
      </c>
      <c r="F105" s="318">
        <v>21771032.030000001</v>
      </c>
      <c r="G105" s="318">
        <v>67715092.459999993</v>
      </c>
      <c r="H105" s="317"/>
    </row>
    <row r="106" spans="1:12" ht="22.5" x14ac:dyDescent="0.25">
      <c r="A106" s="329" t="s">
        <v>267</v>
      </c>
      <c r="B106" s="324" t="s">
        <v>469</v>
      </c>
      <c r="C106" s="325">
        <v>84241577.159999996</v>
      </c>
      <c r="D106" s="326"/>
      <c r="E106" s="325">
        <v>5244547.33</v>
      </c>
      <c r="F106" s="325">
        <v>21771032.030000001</v>
      </c>
      <c r="G106" s="325">
        <v>67715092.459999993</v>
      </c>
      <c r="H106" s="326"/>
    </row>
    <row r="107" spans="1:12" x14ac:dyDescent="0.25">
      <c r="A107" s="330" t="s">
        <v>268</v>
      </c>
      <c r="B107" s="316" t="s">
        <v>469</v>
      </c>
      <c r="C107" s="318">
        <v>34052072.960000001</v>
      </c>
      <c r="D107" s="317"/>
      <c r="E107" s="318">
        <v>4616654.47</v>
      </c>
      <c r="F107" s="318">
        <v>6632835.9000000004</v>
      </c>
      <c r="G107" s="318">
        <v>32035891.530000001</v>
      </c>
      <c r="H107" s="317"/>
    </row>
    <row r="108" spans="1:12" x14ac:dyDescent="0.25">
      <c r="A108" s="330" t="s">
        <v>269</v>
      </c>
      <c r="B108" s="316" t="s">
        <v>469</v>
      </c>
      <c r="C108" s="318">
        <v>50189504.200000003</v>
      </c>
      <c r="D108" s="317"/>
      <c r="E108" s="318">
        <v>627892.86</v>
      </c>
      <c r="F108" s="318">
        <v>15138196.130000001</v>
      </c>
      <c r="G108" s="318">
        <v>35679200.93</v>
      </c>
      <c r="H108" s="317"/>
    </row>
    <row r="109" spans="1:12" x14ac:dyDescent="0.25">
      <c r="A109" s="323" t="s">
        <v>270</v>
      </c>
      <c r="B109" s="324" t="s">
        <v>469</v>
      </c>
      <c r="C109" s="326"/>
      <c r="D109" s="325">
        <v>70815403.739999995</v>
      </c>
      <c r="E109" s="325">
        <v>21771338.370000001</v>
      </c>
      <c r="F109" s="325">
        <v>1894938.82</v>
      </c>
      <c r="G109" s="326"/>
      <c r="H109" s="325">
        <v>50939004.189999998</v>
      </c>
    </row>
    <row r="110" spans="1:12" ht="22.5" x14ac:dyDescent="0.25">
      <c r="A110" s="329" t="s">
        <v>271</v>
      </c>
      <c r="B110" s="324" t="s">
        <v>469</v>
      </c>
      <c r="C110" s="326"/>
      <c r="D110" s="325">
        <v>70815403.739999995</v>
      </c>
      <c r="E110" s="325">
        <v>21771338.370000001</v>
      </c>
      <c r="F110" s="325">
        <v>1894938.82</v>
      </c>
      <c r="G110" s="326"/>
      <c r="H110" s="325">
        <v>50939004.189999998</v>
      </c>
    </row>
    <row r="111" spans="1:12" ht="22.5" x14ac:dyDescent="0.25">
      <c r="A111" s="330" t="s">
        <v>272</v>
      </c>
      <c r="B111" s="316" t="s">
        <v>469</v>
      </c>
      <c r="C111" s="317"/>
      <c r="D111" s="318">
        <v>26807854.920000002</v>
      </c>
      <c r="E111" s="318">
        <v>6632835.9000000004</v>
      </c>
      <c r="F111" s="318">
        <v>1428591.49</v>
      </c>
      <c r="G111" s="317"/>
      <c r="H111" s="318">
        <v>21603610.510000002</v>
      </c>
    </row>
    <row r="112" spans="1:12" x14ac:dyDescent="0.25">
      <c r="A112" s="330" t="s">
        <v>273</v>
      </c>
      <c r="B112" s="316" t="s">
        <v>469</v>
      </c>
      <c r="C112" s="317"/>
      <c r="D112" s="318">
        <v>44007548.82</v>
      </c>
      <c r="E112" s="318">
        <v>15138502.470000001</v>
      </c>
      <c r="F112" s="318">
        <v>466347.33</v>
      </c>
      <c r="G112" s="317"/>
      <c r="H112" s="318">
        <v>29335393.68</v>
      </c>
    </row>
    <row r="113" spans="1:12" x14ac:dyDescent="0.25">
      <c r="A113" s="311" t="s">
        <v>274</v>
      </c>
      <c r="B113" s="312" t="s">
        <v>469</v>
      </c>
      <c r="C113" s="313">
        <v>3835050.76</v>
      </c>
      <c r="D113" s="314"/>
      <c r="E113" s="313">
        <v>473214.29</v>
      </c>
      <c r="F113" s="313">
        <v>168786.21</v>
      </c>
      <c r="G113" s="313">
        <v>4139478.84</v>
      </c>
      <c r="H113" s="314"/>
      <c r="K113" s="31">
        <f>ROUND(C113/1000,0)</f>
        <v>3835</v>
      </c>
      <c r="L113" s="31">
        <f>ROUND(G113/1000,0)</f>
        <v>4139</v>
      </c>
    </row>
    <row r="114" spans="1:12" x14ac:dyDescent="0.25">
      <c r="A114" s="323" t="s">
        <v>275</v>
      </c>
      <c r="B114" s="324" t="s">
        <v>469</v>
      </c>
      <c r="C114" s="325">
        <v>22478890.149999999</v>
      </c>
      <c r="D114" s="326"/>
      <c r="E114" s="325">
        <v>473214.29</v>
      </c>
      <c r="F114" s="326"/>
      <c r="G114" s="325">
        <v>22952104.440000001</v>
      </c>
      <c r="H114" s="326"/>
    </row>
    <row r="115" spans="1:12" x14ac:dyDescent="0.25">
      <c r="A115" s="327" t="s">
        <v>276</v>
      </c>
      <c r="B115" s="316" t="s">
        <v>469</v>
      </c>
      <c r="C115" s="318">
        <v>7367315.2599999998</v>
      </c>
      <c r="D115" s="317"/>
      <c r="E115" s="317"/>
      <c r="F115" s="317"/>
      <c r="G115" s="318">
        <v>7367315.2599999998</v>
      </c>
      <c r="H115" s="317"/>
    </row>
    <row r="116" spans="1:12" x14ac:dyDescent="0.25">
      <c r="A116" s="327" t="s">
        <v>277</v>
      </c>
      <c r="B116" s="316" t="s">
        <v>469</v>
      </c>
      <c r="C116" s="318">
        <v>15111574.890000001</v>
      </c>
      <c r="D116" s="317"/>
      <c r="E116" s="318">
        <v>473214.29</v>
      </c>
      <c r="F116" s="317"/>
      <c r="G116" s="318">
        <v>15584789.18</v>
      </c>
      <c r="H116" s="317"/>
    </row>
    <row r="117" spans="1:12" ht="22.5" x14ac:dyDescent="0.25">
      <c r="A117" s="323" t="s">
        <v>278</v>
      </c>
      <c r="B117" s="324" t="s">
        <v>469</v>
      </c>
      <c r="C117" s="326"/>
      <c r="D117" s="325">
        <v>18643839.390000001</v>
      </c>
      <c r="E117" s="326"/>
      <c r="F117" s="325">
        <v>168786.21</v>
      </c>
      <c r="G117" s="326"/>
      <c r="H117" s="325">
        <v>18812625.600000001</v>
      </c>
    </row>
    <row r="118" spans="1:12" ht="33.75" x14ac:dyDescent="0.25">
      <c r="A118" s="327" t="s">
        <v>279</v>
      </c>
      <c r="B118" s="316" t="s">
        <v>469</v>
      </c>
      <c r="C118" s="317"/>
      <c r="D118" s="318">
        <v>7367315.2599999998</v>
      </c>
      <c r="E118" s="317"/>
      <c r="F118" s="317"/>
      <c r="G118" s="317"/>
      <c r="H118" s="318">
        <v>7367315.2599999998</v>
      </c>
    </row>
    <row r="119" spans="1:12" ht="33.75" x14ac:dyDescent="0.25">
      <c r="A119" s="327" t="s">
        <v>280</v>
      </c>
      <c r="B119" s="316" t="s">
        <v>469</v>
      </c>
      <c r="C119" s="317"/>
      <c r="D119" s="318">
        <v>11276524.130000001</v>
      </c>
      <c r="E119" s="317"/>
      <c r="F119" s="318">
        <v>168786.21</v>
      </c>
      <c r="G119" s="317"/>
      <c r="H119" s="318">
        <v>11445310.34</v>
      </c>
    </row>
    <row r="120" spans="1:12" x14ac:dyDescent="0.25">
      <c r="A120" s="311" t="s">
        <v>281</v>
      </c>
      <c r="B120" s="312" t="s">
        <v>469</v>
      </c>
      <c r="C120" s="314"/>
      <c r="D120" s="313">
        <v>4630585.13</v>
      </c>
      <c r="E120" s="313">
        <v>12047576.6</v>
      </c>
      <c r="F120" s="313">
        <v>12627904.6</v>
      </c>
      <c r="G120" s="314"/>
      <c r="H120" s="313">
        <v>5210913.13</v>
      </c>
      <c r="J120" s="31">
        <f>ROUND(D120/1000,0)</f>
        <v>4631</v>
      </c>
      <c r="K120" s="31">
        <f>ROUND(H120/1000,0)</f>
        <v>5211</v>
      </c>
    </row>
    <row r="121" spans="1:12" ht="22.5" x14ac:dyDescent="0.25">
      <c r="A121" s="323" t="s">
        <v>282</v>
      </c>
      <c r="B121" s="324" t="s">
        <v>469</v>
      </c>
      <c r="C121" s="326"/>
      <c r="D121" s="325">
        <v>1756.61</v>
      </c>
      <c r="E121" s="325">
        <v>116616.89</v>
      </c>
      <c r="F121" s="325">
        <v>1141697.45</v>
      </c>
      <c r="G121" s="326"/>
      <c r="H121" s="325">
        <v>1026837.17</v>
      </c>
    </row>
    <row r="122" spans="1:12" ht="22.5" x14ac:dyDescent="0.25">
      <c r="A122" s="327" t="s">
        <v>283</v>
      </c>
      <c r="B122" s="316" t="s">
        <v>469</v>
      </c>
      <c r="C122" s="317"/>
      <c r="D122" s="318">
        <v>1756.61</v>
      </c>
      <c r="E122" s="318">
        <v>116616.89</v>
      </c>
      <c r="F122" s="318">
        <v>1141697.45</v>
      </c>
      <c r="G122" s="317"/>
      <c r="H122" s="318">
        <v>1026837.17</v>
      </c>
    </row>
    <row r="123" spans="1:12" x14ac:dyDescent="0.25">
      <c r="A123" s="315" t="s">
        <v>284</v>
      </c>
      <c r="B123" s="316" t="s">
        <v>469</v>
      </c>
      <c r="C123" s="317"/>
      <c r="D123" s="318">
        <v>2472564.9300000002</v>
      </c>
      <c r="E123" s="318">
        <v>6418765.0999999996</v>
      </c>
      <c r="F123" s="318">
        <v>5883449.54</v>
      </c>
      <c r="G123" s="317"/>
      <c r="H123" s="318">
        <v>1937249.37</v>
      </c>
    </row>
    <row r="124" spans="1:12" x14ac:dyDescent="0.25">
      <c r="A124" s="315" t="s">
        <v>285</v>
      </c>
      <c r="B124" s="316" t="s">
        <v>469</v>
      </c>
      <c r="C124" s="317"/>
      <c r="D124" s="317"/>
      <c r="E124" s="318">
        <v>61776.34</v>
      </c>
      <c r="F124" s="318">
        <v>677879.16</v>
      </c>
      <c r="G124" s="317"/>
      <c r="H124" s="318">
        <v>616102.81999999995</v>
      </c>
    </row>
    <row r="125" spans="1:12" x14ac:dyDescent="0.25">
      <c r="A125" s="315" t="s">
        <v>286</v>
      </c>
      <c r="B125" s="316" t="s">
        <v>469</v>
      </c>
      <c r="C125" s="317"/>
      <c r="D125" s="318">
        <v>2156263.59</v>
      </c>
      <c r="E125" s="318">
        <v>5450418.2699999996</v>
      </c>
      <c r="F125" s="318">
        <v>4924878.45</v>
      </c>
      <c r="G125" s="317"/>
      <c r="H125" s="318">
        <v>1630723.77</v>
      </c>
    </row>
    <row r="126" spans="1:12" ht="45" x14ac:dyDescent="0.25">
      <c r="A126" s="311" t="s">
        <v>288</v>
      </c>
      <c r="B126" s="312" t="s">
        <v>469</v>
      </c>
      <c r="C126" s="314"/>
      <c r="D126" s="313">
        <v>3072238.22</v>
      </c>
      <c r="E126" s="313">
        <v>9419118.1799999997</v>
      </c>
      <c r="F126" s="313">
        <v>9503244.0500000007</v>
      </c>
      <c r="G126" s="314"/>
      <c r="H126" s="313">
        <v>3156364.09</v>
      </c>
      <c r="J126" s="31">
        <f>ROUND(D126/1000,0)</f>
        <v>3072</v>
      </c>
      <c r="K126" s="31">
        <f>ROUND(H126/1000,0)</f>
        <v>3156</v>
      </c>
    </row>
    <row r="127" spans="1:12" ht="22.5" x14ac:dyDescent="0.25">
      <c r="A127" s="323" t="s">
        <v>289</v>
      </c>
      <c r="B127" s="324" t="s">
        <v>469</v>
      </c>
      <c r="C127" s="326"/>
      <c r="D127" s="325">
        <v>851344</v>
      </c>
      <c r="E127" s="325">
        <v>2577112</v>
      </c>
      <c r="F127" s="325">
        <v>2588825</v>
      </c>
      <c r="G127" s="326"/>
      <c r="H127" s="325">
        <v>863057</v>
      </c>
    </row>
    <row r="128" spans="1:12" ht="22.5" x14ac:dyDescent="0.25">
      <c r="A128" s="327" t="s">
        <v>290</v>
      </c>
      <c r="B128" s="316" t="s">
        <v>469</v>
      </c>
      <c r="C128" s="317"/>
      <c r="D128" s="318">
        <v>332312</v>
      </c>
      <c r="E128" s="318">
        <v>1002021</v>
      </c>
      <c r="F128" s="318">
        <v>1004648</v>
      </c>
      <c r="G128" s="317"/>
      <c r="H128" s="318">
        <v>334939</v>
      </c>
    </row>
    <row r="129" spans="1:11" ht="22.5" x14ac:dyDescent="0.25">
      <c r="A129" s="327" t="s">
        <v>291</v>
      </c>
      <c r="B129" s="316" t="s">
        <v>469</v>
      </c>
      <c r="C129" s="317"/>
      <c r="D129" s="318">
        <v>261227</v>
      </c>
      <c r="E129" s="318">
        <v>796334</v>
      </c>
      <c r="F129" s="318">
        <v>801186</v>
      </c>
      <c r="G129" s="317"/>
      <c r="H129" s="318">
        <v>266079</v>
      </c>
    </row>
    <row r="130" spans="1:11" ht="33.75" x14ac:dyDescent="0.25">
      <c r="A130" s="327" t="s">
        <v>292</v>
      </c>
      <c r="B130" s="316" t="s">
        <v>469</v>
      </c>
      <c r="C130" s="317"/>
      <c r="D130" s="318">
        <v>257805</v>
      </c>
      <c r="E130" s="318">
        <v>778757</v>
      </c>
      <c r="F130" s="318">
        <v>782991</v>
      </c>
      <c r="G130" s="317"/>
      <c r="H130" s="318">
        <v>262039</v>
      </c>
    </row>
    <row r="131" spans="1:11" ht="22.5" x14ac:dyDescent="0.25">
      <c r="A131" s="315" t="s">
        <v>293</v>
      </c>
      <c r="B131" s="316" t="s">
        <v>469</v>
      </c>
      <c r="C131" s="317"/>
      <c r="D131" s="318">
        <v>2220894.2200000002</v>
      </c>
      <c r="E131" s="318">
        <v>6842006.1799999997</v>
      </c>
      <c r="F131" s="318">
        <v>6914419.0499999998</v>
      </c>
      <c r="G131" s="317"/>
      <c r="H131" s="318">
        <v>2293307.09</v>
      </c>
    </row>
    <row r="132" spans="1:11" ht="22.5" x14ac:dyDescent="0.25">
      <c r="A132" s="311" t="s">
        <v>294</v>
      </c>
      <c r="B132" s="312" t="s">
        <v>469</v>
      </c>
      <c r="C132" s="314"/>
      <c r="D132" s="313">
        <v>1159640710.2499998</v>
      </c>
      <c r="E132" s="313">
        <v>118943476611.34999</v>
      </c>
      <c r="F132" s="313">
        <v>117831925946.86</v>
      </c>
      <c r="G132" s="314"/>
      <c r="H132" s="313">
        <v>48090045.759999998</v>
      </c>
    </row>
    <row r="133" spans="1:11" ht="33.75" x14ac:dyDescent="0.25">
      <c r="A133" s="315" t="s">
        <v>295</v>
      </c>
      <c r="B133" s="316" t="s">
        <v>469</v>
      </c>
      <c r="C133" s="317"/>
      <c r="D133" s="318">
        <v>15104131.5</v>
      </c>
      <c r="E133" s="318">
        <v>38226001.509999998</v>
      </c>
      <c r="F133" s="318">
        <v>43190149.479999997</v>
      </c>
      <c r="G133" s="317"/>
      <c r="H133" s="318">
        <v>20068279.469999999</v>
      </c>
      <c r="J133" s="31">
        <f>ROUND(D133/1000,0)</f>
        <v>15104</v>
      </c>
      <c r="K133" s="31">
        <f>ROUND(H133/1000,0)</f>
        <v>20068</v>
      </c>
    </row>
    <row r="134" spans="1:11" x14ac:dyDescent="0.25">
      <c r="A134" s="742" t="s">
        <v>385</v>
      </c>
      <c r="B134" s="319" t="s">
        <v>469</v>
      </c>
      <c r="C134" s="320"/>
      <c r="D134" s="321">
        <v>1096960.8899999999</v>
      </c>
      <c r="E134" s="321">
        <v>24652955.440000001</v>
      </c>
      <c r="F134" s="321">
        <v>24595491.829999998</v>
      </c>
      <c r="G134" s="320"/>
      <c r="H134" s="321">
        <v>1039497.28</v>
      </c>
    </row>
    <row r="135" spans="1:11" x14ac:dyDescent="0.25">
      <c r="A135" s="743"/>
      <c r="B135" s="319" t="s">
        <v>470</v>
      </c>
      <c r="C135" s="320"/>
      <c r="D135" s="321">
        <v>1096960.8899999999</v>
      </c>
      <c r="E135" s="321">
        <v>24652955.440000001</v>
      </c>
      <c r="F135" s="321">
        <v>24595491.829999998</v>
      </c>
      <c r="G135" s="320"/>
      <c r="H135" s="321">
        <v>1039497.28</v>
      </c>
    </row>
    <row r="136" spans="1:11" x14ac:dyDescent="0.25">
      <c r="A136" s="742" t="s">
        <v>420</v>
      </c>
      <c r="B136" s="319" t="s">
        <v>469</v>
      </c>
      <c r="C136" s="320"/>
      <c r="D136" s="321">
        <v>14007170.609999999</v>
      </c>
      <c r="E136" s="321">
        <v>13573046.07</v>
      </c>
      <c r="F136" s="321">
        <v>18594657.649999999</v>
      </c>
      <c r="G136" s="320"/>
      <c r="H136" s="321">
        <v>19028782.190000001</v>
      </c>
    </row>
    <row r="137" spans="1:11" x14ac:dyDescent="0.25">
      <c r="A137" s="743"/>
      <c r="B137" s="319" t="s">
        <v>470</v>
      </c>
      <c r="C137" s="320"/>
      <c r="D137" s="321">
        <v>33009.31</v>
      </c>
      <c r="E137" s="321">
        <v>30094.58</v>
      </c>
      <c r="F137" s="321">
        <v>41555.910000000003</v>
      </c>
      <c r="G137" s="320"/>
      <c r="H137" s="321">
        <v>44470.64</v>
      </c>
    </row>
    <row r="138" spans="1:11" ht="33.75" x14ac:dyDescent="0.25">
      <c r="A138" s="315" t="s">
        <v>296</v>
      </c>
      <c r="B138" s="316" t="s">
        <v>469</v>
      </c>
      <c r="C138" s="317"/>
      <c r="D138" s="317"/>
      <c r="E138" s="318">
        <v>79000000</v>
      </c>
      <c r="F138" s="318">
        <v>79000000</v>
      </c>
      <c r="G138" s="317"/>
      <c r="H138" s="317"/>
    </row>
    <row r="139" spans="1:11" x14ac:dyDescent="0.25">
      <c r="A139" s="742" t="s">
        <v>385</v>
      </c>
      <c r="B139" s="319" t="s">
        <v>469</v>
      </c>
      <c r="C139" s="320"/>
      <c r="D139" s="320"/>
      <c r="E139" s="321">
        <v>79000000</v>
      </c>
      <c r="F139" s="321">
        <v>79000000</v>
      </c>
      <c r="G139" s="320"/>
      <c r="H139" s="320"/>
    </row>
    <row r="140" spans="1:11" x14ac:dyDescent="0.25">
      <c r="A140" s="743"/>
      <c r="B140" s="319" t="s">
        <v>470</v>
      </c>
      <c r="C140" s="320"/>
      <c r="D140" s="320"/>
      <c r="E140" s="321">
        <v>79000000</v>
      </c>
      <c r="F140" s="321">
        <v>79000000</v>
      </c>
      <c r="G140" s="320"/>
      <c r="H140" s="320"/>
    </row>
    <row r="141" spans="1:11" ht="22.5" x14ac:dyDescent="0.25">
      <c r="A141" s="315" t="s">
        <v>297</v>
      </c>
      <c r="B141" s="316" t="s">
        <v>469</v>
      </c>
      <c r="C141" s="317"/>
      <c r="D141" s="318">
        <v>45153.97</v>
      </c>
      <c r="E141" s="318">
        <v>124575692.89</v>
      </c>
      <c r="F141" s="318">
        <v>124530538.92</v>
      </c>
      <c r="G141" s="317"/>
      <c r="H141" s="317"/>
      <c r="J141" s="31">
        <f>ROUND(D141/1000,0)</f>
        <v>45</v>
      </c>
      <c r="K141" s="31">
        <f>ROUND(H141/1000,0)</f>
        <v>0</v>
      </c>
    </row>
    <row r="142" spans="1:11" ht="22.5" x14ac:dyDescent="0.25">
      <c r="A142" s="315" t="s">
        <v>298</v>
      </c>
      <c r="B142" s="316" t="s">
        <v>469</v>
      </c>
      <c r="C142" s="317"/>
      <c r="D142" s="328">
        <v>0.01</v>
      </c>
      <c r="E142" s="318">
        <v>5344200</v>
      </c>
      <c r="F142" s="318">
        <v>7478200</v>
      </c>
      <c r="G142" s="317"/>
      <c r="H142" s="318">
        <v>2134000.0099999998</v>
      </c>
      <c r="J142" s="31">
        <f>ROUND(D142/1000,0)</f>
        <v>0</v>
      </c>
      <c r="K142" s="31">
        <f>ROUND(H142/1000,0)</f>
        <v>2134</v>
      </c>
    </row>
    <row r="143" spans="1:11" x14ac:dyDescent="0.25">
      <c r="A143" s="742" t="s">
        <v>385</v>
      </c>
      <c r="B143" s="319" t="s">
        <v>469</v>
      </c>
      <c r="C143" s="320"/>
      <c r="D143" s="322">
        <v>0.01</v>
      </c>
      <c r="E143" s="321">
        <v>5344200</v>
      </c>
      <c r="F143" s="321">
        <v>7478200</v>
      </c>
      <c r="G143" s="320"/>
      <c r="H143" s="321">
        <v>2134000.0099999998</v>
      </c>
    </row>
    <row r="144" spans="1:11" x14ac:dyDescent="0.25">
      <c r="A144" s="743"/>
      <c r="B144" s="319" t="s">
        <v>470</v>
      </c>
      <c r="C144" s="320"/>
      <c r="D144" s="322">
        <v>0.01</v>
      </c>
      <c r="E144" s="321">
        <v>5344200</v>
      </c>
      <c r="F144" s="321">
        <v>7478200</v>
      </c>
      <c r="G144" s="320"/>
      <c r="H144" s="321">
        <v>2134000.0099999998</v>
      </c>
    </row>
    <row r="145" spans="1:16" ht="22.5" x14ac:dyDescent="0.25">
      <c r="A145" s="323" t="s">
        <v>299</v>
      </c>
      <c r="B145" s="324" t="s">
        <v>469</v>
      </c>
      <c r="C145" s="326"/>
      <c r="D145" s="325">
        <v>3722259.04</v>
      </c>
      <c r="E145" s="325">
        <v>12258137.92</v>
      </c>
      <c r="F145" s="325">
        <v>16346410.289999999</v>
      </c>
      <c r="G145" s="326"/>
      <c r="H145" s="325">
        <v>7810531.4100000001</v>
      </c>
      <c r="J145" s="31">
        <f>ROUND(D145/1000,0)</f>
        <v>3722</v>
      </c>
      <c r="K145" s="31">
        <f>ROUND(H145/1000,0)</f>
        <v>7811</v>
      </c>
    </row>
    <row r="146" spans="1:16" ht="22.5" x14ac:dyDescent="0.25">
      <c r="A146" s="327" t="s">
        <v>300</v>
      </c>
      <c r="B146" s="316" t="s">
        <v>469</v>
      </c>
      <c r="C146" s="317"/>
      <c r="D146" s="318">
        <v>2643383.96</v>
      </c>
      <c r="E146" s="318">
        <v>8303668.7800000003</v>
      </c>
      <c r="F146" s="318">
        <v>11677911.109999999</v>
      </c>
      <c r="G146" s="317"/>
      <c r="H146" s="318">
        <v>6017626.29</v>
      </c>
      <c r="J146" s="31">
        <f>ROUND(D146/1000,0)</f>
        <v>2643</v>
      </c>
      <c r="K146" s="31">
        <f>ROUND(H146/1000,0)</f>
        <v>6018</v>
      </c>
    </row>
    <row r="147" spans="1:16" x14ac:dyDescent="0.25">
      <c r="A147" s="740" t="s">
        <v>385</v>
      </c>
      <c r="B147" s="319" t="s">
        <v>469</v>
      </c>
      <c r="C147" s="320"/>
      <c r="D147" s="321">
        <v>2643383.96</v>
      </c>
      <c r="E147" s="321">
        <v>8303668.7800000003</v>
      </c>
      <c r="F147" s="321">
        <v>11677911.109999999</v>
      </c>
      <c r="G147" s="320"/>
      <c r="H147" s="321">
        <v>6017626.29</v>
      </c>
    </row>
    <row r="148" spans="1:16" x14ac:dyDescent="0.25">
      <c r="A148" s="741"/>
      <c r="B148" s="319" t="s">
        <v>470</v>
      </c>
      <c r="C148" s="320"/>
      <c r="D148" s="321">
        <v>2643383.96</v>
      </c>
      <c r="E148" s="321">
        <v>8303668.7800000003</v>
      </c>
      <c r="F148" s="321">
        <v>11677911.109999999</v>
      </c>
      <c r="G148" s="320"/>
      <c r="H148" s="321">
        <v>6017626.29</v>
      </c>
    </row>
    <row r="149" spans="1:16" ht="33.75" x14ac:dyDescent="0.25">
      <c r="A149" s="327" t="s">
        <v>301</v>
      </c>
      <c r="B149" s="316" t="s">
        <v>469</v>
      </c>
      <c r="C149" s="317"/>
      <c r="D149" s="318">
        <v>216857.24</v>
      </c>
      <c r="E149" s="318">
        <v>327328.89</v>
      </c>
      <c r="F149" s="318">
        <v>681922.37</v>
      </c>
      <c r="G149" s="317"/>
      <c r="H149" s="318">
        <v>571450.72</v>
      </c>
      <c r="J149" s="31">
        <f>ROUND(D149/1000,0)</f>
        <v>217</v>
      </c>
      <c r="K149" s="31">
        <f>ROUND(H149/1000,0)</f>
        <v>571</v>
      </c>
    </row>
    <row r="150" spans="1:16" x14ac:dyDescent="0.25">
      <c r="A150" s="740" t="s">
        <v>385</v>
      </c>
      <c r="B150" s="319" t="s">
        <v>469</v>
      </c>
      <c r="C150" s="320"/>
      <c r="D150" s="321">
        <v>216857.24</v>
      </c>
      <c r="E150" s="321">
        <v>327328.89</v>
      </c>
      <c r="F150" s="321">
        <v>681922.37</v>
      </c>
      <c r="G150" s="320"/>
      <c r="H150" s="321">
        <v>571450.72</v>
      </c>
    </row>
    <row r="151" spans="1:16" x14ac:dyDescent="0.25">
      <c r="A151" s="741"/>
      <c r="B151" s="319" t="s">
        <v>470</v>
      </c>
      <c r="C151" s="320"/>
      <c r="D151" s="321">
        <v>216857.24</v>
      </c>
      <c r="E151" s="321">
        <v>327328.89</v>
      </c>
      <c r="F151" s="321">
        <v>681922.37</v>
      </c>
      <c r="G151" s="320"/>
      <c r="H151" s="321">
        <v>571450.72</v>
      </c>
    </row>
    <row r="152" spans="1:16" ht="33.75" x14ac:dyDescent="0.25">
      <c r="A152" s="327" t="s">
        <v>302</v>
      </c>
      <c r="B152" s="316" t="s">
        <v>469</v>
      </c>
      <c r="C152" s="317"/>
      <c r="D152" s="318">
        <v>862017.84</v>
      </c>
      <c r="E152" s="318">
        <v>3627140.25</v>
      </c>
      <c r="F152" s="318">
        <v>3986576.81</v>
      </c>
      <c r="G152" s="317"/>
      <c r="H152" s="318">
        <v>1221454.3999999999</v>
      </c>
      <c r="J152" s="31">
        <f>ROUND(D152/1000,0)</f>
        <v>862</v>
      </c>
      <c r="K152" s="31">
        <f>ROUND(H152/1000,0)</f>
        <v>1221</v>
      </c>
    </row>
    <row r="153" spans="1:16" x14ac:dyDescent="0.25">
      <c r="A153" s="740" t="s">
        <v>385</v>
      </c>
      <c r="B153" s="319" t="s">
        <v>469</v>
      </c>
      <c r="C153" s="320"/>
      <c r="D153" s="321">
        <v>862017.84</v>
      </c>
      <c r="E153" s="321">
        <v>3627140.25</v>
      </c>
      <c r="F153" s="321">
        <v>3986576.81</v>
      </c>
      <c r="G153" s="320"/>
      <c r="H153" s="321">
        <v>1221454.3999999999</v>
      </c>
    </row>
    <row r="154" spans="1:16" x14ac:dyDescent="0.25">
      <c r="A154" s="741"/>
      <c r="B154" s="319" t="s">
        <v>470</v>
      </c>
      <c r="C154" s="320"/>
      <c r="D154" s="321">
        <v>862017.84</v>
      </c>
      <c r="E154" s="321">
        <v>3627140.25</v>
      </c>
      <c r="F154" s="321">
        <v>3986576.81</v>
      </c>
      <c r="G154" s="320"/>
      <c r="H154" s="321">
        <v>1221454.3999999999</v>
      </c>
    </row>
    <row r="155" spans="1:16" ht="22.5" x14ac:dyDescent="0.25">
      <c r="A155" s="323" t="s">
        <v>303</v>
      </c>
      <c r="B155" s="324" t="s">
        <v>469</v>
      </c>
      <c r="C155" s="326"/>
      <c r="D155" s="325">
        <v>1140769165.73</v>
      </c>
      <c r="E155" s="325">
        <v>118684072579.03</v>
      </c>
      <c r="F155" s="325">
        <v>117561380648.17</v>
      </c>
      <c r="G155" s="326"/>
      <c r="H155" s="325">
        <v>18077234.870000001</v>
      </c>
    </row>
    <row r="156" spans="1:16" ht="22.5" x14ac:dyDescent="0.25">
      <c r="A156" s="327" t="s">
        <v>304</v>
      </c>
      <c r="B156" s="316" t="s">
        <v>469</v>
      </c>
      <c r="C156" s="317"/>
      <c r="D156" s="318">
        <v>1140769165.73</v>
      </c>
      <c r="E156" s="318">
        <v>118684072579.03</v>
      </c>
      <c r="F156" s="318">
        <v>117561380648.17</v>
      </c>
      <c r="G156" s="317"/>
      <c r="H156" s="318">
        <v>18077234.870000001</v>
      </c>
    </row>
    <row r="157" spans="1:16" x14ac:dyDescent="0.25">
      <c r="A157" s="740" t="s">
        <v>471</v>
      </c>
      <c r="B157" s="319" t="s">
        <v>469</v>
      </c>
      <c r="C157" s="320"/>
      <c r="D157" s="321">
        <v>732288</v>
      </c>
      <c r="E157" s="321">
        <v>59119.19</v>
      </c>
      <c r="F157" s="321">
        <v>73858.61</v>
      </c>
      <c r="G157" s="320"/>
      <c r="H157" s="321">
        <v>747027.42</v>
      </c>
      <c r="P157" s="33">
        <f>K133</f>
        <v>20068</v>
      </c>
    </row>
    <row r="158" spans="1:16" x14ac:dyDescent="0.25">
      <c r="A158" s="741"/>
      <c r="B158" s="319" t="s">
        <v>470</v>
      </c>
      <c r="C158" s="320"/>
      <c r="D158" s="321">
        <v>1468.07</v>
      </c>
      <c r="E158" s="320"/>
      <c r="F158" s="320"/>
      <c r="G158" s="320"/>
      <c r="H158" s="321">
        <v>1468.07</v>
      </c>
      <c r="P158" s="33">
        <f>K142</f>
        <v>2134</v>
      </c>
    </row>
    <row r="159" spans="1:16" x14ac:dyDescent="0.25">
      <c r="A159" s="740" t="s">
        <v>424</v>
      </c>
      <c r="B159" s="319" t="s">
        <v>469</v>
      </c>
      <c r="C159" s="320"/>
      <c r="D159" s="321">
        <v>659250.22</v>
      </c>
      <c r="E159" s="321">
        <v>197991.61</v>
      </c>
      <c r="F159" s="321">
        <v>59675.83</v>
      </c>
      <c r="G159" s="320"/>
      <c r="H159" s="321">
        <v>520934.44</v>
      </c>
      <c r="P159">
        <f>K145</f>
        <v>7811</v>
      </c>
    </row>
    <row r="160" spans="1:16" x14ac:dyDescent="0.25">
      <c r="A160" s="741"/>
      <c r="B160" s="319" t="s">
        <v>470</v>
      </c>
      <c r="C160" s="320"/>
      <c r="D160" s="321">
        <v>1125.25</v>
      </c>
      <c r="E160" s="322">
        <v>246.54</v>
      </c>
      <c r="F160" s="320"/>
      <c r="G160" s="320"/>
      <c r="H160" s="322">
        <v>878.71</v>
      </c>
      <c r="P160" s="33">
        <f>K165</f>
        <v>8666</v>
      </c>
    </row>
    <row r="161" spans="1:16" x14ac:dyDescent="0.25">
      <c r="A161" s="740" t="s">
        <v>385</v>
      </c>
      <c r="B161" s="319" t="s">
        <v>469</v>
      </c>
      <c r="C161" s="320"/>
      <c r="D161" s="321">
        <v>502543665.14999998</v>
      </c>
      <c r="E161" s="321">
        <v>108997424002.99001</v>
      </c>
      <c r="F161" s="321">
        <v>108511351107.06</v>
      </c>
      <c r="G161" s="320"/>
      <c r="H161" s="321">
        <v>16470769.220000001</v>
      </c>
      <c r="P161" s="33">
        <f>K167</f>
        <v>24</v>
      </c>
    </row>
    <row r="162" spans="1:16" x14ac:dyDescent="0.25">
      <c r="A162" s="741"/>
      <c r="B162" s="319" t="s">
        <v>470</v>
      </c>
      <c r="C162" s="320"/>
      <c r="D162" s="321">
        <v>502543665.14999998</v>
      </c>
      <c r="E162" s="321">
        <v>108997424002.99001</v>
      </c>
      <c r="F162" s="321">
        <v>108511351107.06</v>
      </c>
      <c r="G162" s="320"/>
      <c r="H162" s="321">
        <v>16470769.220000001</v>
      </c>
      <c r="P162" s="33"/>
    </row>
    <row r="163" spans="1:16" x14ac:dyDescent="0.25">
      <c r="A163" s="740" t="s">
        <v>420</v>
      </c>
      <c r="B163" s="319" t="s">
        <v>469</v>
      </c>
      <c r="C163" s="320"/>
      <c r="D163" s="321">
        <v>636833962.36000001</v>
      </c>
      <c r="E163" s="321">
        <v>9686391465.2399979</v>
      </c>
      <c r="F163" s="321">
        <v>9049896006.6700001</v>
      </c>
      <c r="G163" s="320"/>
      <c r="H163" s="321">
        <v>338503.79</v>
      </c>
      <c r="P163" s="33">
        <f>SUM(P157:P162)</f>
        <v>38703</v>
      </c>
    </row>
    <row r="164" spans="1:16" x14ac:dyDescent="0.25">
      <c r="A164" s="741"/>
      <c r="B164" s="319" t="s">
        <v>470</v>
      </c>
      <c r="C164" s="320"/>
      <c r="D164" s="321">
        <v>1500763.45</v>
      </c>
      <c r="E164" s="321">
        <v>22550705.059999999</v>
      </c>
      <c r="F164" s="321">
        <v>21050732.710000001</v>
      </c>
      <c r="G164" s="320"/>
      <c r="H164" s="322">
        <v>791.1</v>
      </c>
      <c r="P164" s="33">
        <f>K120+K126</f>
        <v>8367</v>
      </c>
    </row>
    <row r="165" spans="1:16" ht="22.5" x14ac:dyDescent="0.25">
      <c r="A165" s="311" t="s">
        <v>306</v>
      </c>
      <c r="B165" s="312" t="s">
        <v>469</v>
      </c>
      <c r="C165" s="314"/>
      <c r="D165" s="313">
        <v>10614001.060000001</v>
      </c>
      <c r="E165" s="314"/>
      <c r="F165" s="331">
        <v>-1947545.29</v>
      </c>
      <c r="G165" s="314"/>
      <c r="H165" s="313">
        <v>8666455.7699999996</v>
      </c>
      <c r="J165" s="31">
        <f>ROUND(D165/1000,0)</f>
        <v>10614</v>
      </c>
      <c r="K165" s="31">
        <f>ROUND(H165/1000,0)</f>
        <v>8666</v>
      </c>
    </row>
    <row r="166" spans="1:16" ht="33.75" x14ac:dyDescent="0.25">
      <c r="A166" s="315" t="s">
        <v>307</v>
      </c>
      <c r="B166" s="316" t="s">
        <v>469</v>
      </c>
      <c r="C166" s="317"/>
      <c r="D166" s="318">
        <v>10614001.060000001</v>
      </c>
      <c r="E166" s="317"/>
      <c r="F166" s="332">
        <v>-1947545.29</v>
      </c>
      <c r="G166" s="317"/>
      <c r="H166" s="318">
        <v>8666455.7699999996</v>
      </c>
    </row>
    <row r="167" spans="1:16" ht="22.5" x14ac:dyDescent="0.25">
      <c r="A167" s="311" t="s">
        <v>308</v>
      </c>
      <c r="B167" s="312" t="s">
        <v>469</v>
      </c>
      <c r="C167" s="314"/>
      <c r="D167" s="313">
        <v>88901.58</v>
      </c>
      <c r="E167" s="313">
        <v>75552.75</v>
      </c>
      <c r="F167" s="313">
        <v>10836.11</v>
      </c>
      <c r="G167" s="314"/>
      <c r="H167" s="313">
        <v>24184.94</v>
      </c>
      <c r="J167" s="31">
        <f>ROUND(D167/1000,0)</f>
        <v>89</v>
      </c>
      <c r="K167" s="31">
        <f>ROUND(H167/1000,0)</f>
        <v>24</v>
      </c>
    </row>
    <row r="168" spans="1:16" x14ac:dyDescent="0.25">
      <c r="A168" s="323" t="s">
        <v>309</v>
      </c>
      <c r="B168" s="324" t="s">
        <v>469</v>
      </c>
      <c r="C168" s="326"/>
      <c r="D168" s="325">
        <v>88901.58</v>
      </c>
      <c r="E168" s="325">
        <v>75552.75</v>
      </c>
      <c r="F168" s="325">
        <v>10836.11</v>
      </c>
      <c r="G168" s="326"/>
      <c r="H168" s="325">
        <v>24184.94</v>
      </c>
    </row>
    <row r="169" spans="1:16" ht="22.5" x14ac:dyDescent="0.25">
      <c r="A169" s="329" t="s">
        <v>309</v>
      </c>
      <c r="B169" s="324" t="s">
        <v>469</v>
      </c>
      <c r="C169" s="326"/>
      <c r="D169" s="325">
        <v>13022.99</v>
      </c>
      <c r="E169" s="333">
        <v>268.54000000000002</v>
      </c>
      <c r="F169" s="333">
        <v>403.89</v>
      </c>
      <c r="G169" s="326"/>
      <c r="H169" s="325">
        <v>13158.34</v>
      </c>
    </row>
    <row r="170" spans="1:16" x14ac:dyDescent="0.25">
      <c r="A170" s="740" t="s">
        <v>420</v>
      </c>
      <c r="B170" s="319" t="s">
        <v>469</v>
      </c>
      <c r="C170" s="320"/>
      <c r="D170" s="321">
        <v>13022.99</v>
      </c>
      <c r="E170" s="322">
        <v>268.54000000000002</v>
      </c>
      <c r="F170" s="322">
        <v>403.89</v>
      </c>
      <c r="G170" s="320"/>
      <c r="H170" s="321">
        <v>13158.34</v>
      </c>
    </row>
    <row r="171" spans="1:16" x14ac:dyDescent="0.25">
      <c r="A171" s="741"/>
      <c r="B171" s="319" t="s">
        <v>470</v>
      </c>
      <c r="C171" s="320"/>
      <c r="D171" s="322">
        <v>30.69</v>
      </c>
      <c r="E171" s="320"/>
      <c r="F171" s="320"/>
      <c r="G171" s="320"/>
      <c r="H171" s="322">
        <v>30.69</v>
      </c>
    </row>
    <row r="172" spans="1:16" ht="45" x14ac:dyDescent="0.25">
      <c r="A172" s="327" t="s">
        <v>310</v>
      </c>
      <c r="B172" s="316" t="s">
        <v>469</v>
      </c>
      <c r="C172" s="317"/>
      <c r="D172" s="318">
        <v>75878.59</v>
      </c>
      <c r="E172" s="318">
        <v>75284.210000000006</v>
      </c>
      <c r="F172" s="318">
        <v>10432.219999999999</v>
      </c>
      <c r="G172" s="317"/>
      <c r="H172" s="318">
        <v>11026.6</v>
      </c>
      <c r="J172" s="31">
        <f>ROUND(D172/1000,0)</f>
        <v>76</v>
      </c>
      <c r="K172" s="31">
        <f>ROUND(H172/1000,0)</f>
        <v>11</v>
      </c>
    </row>
    <row r="173" spans="1:16" x14ac:dyDescent="0.25">
      <c r="A173" s="740" t="s">
        <v>385</v>
      </c>
      <c r="B173" s="319" t="s">
        <v>469</v>
      </c>
      <c r="C173" s="320"/>
      <c r="D173" s="321">
        <v>75611.259999999995</v>
      </c>
      <c r="E173" s="321">
        <v>75278.7</v>
      </c>
      <c r="F173" s="322">
        <v>800</v>
      </c>
      <c r="G173" s="320"/>
      <c r="H173" s="321">
        <v>1132.56</v>
      </c>
    </row>
    <row r="174" spans="1:16" x14ac:dyDescent="0.25">
      <c r="A174" s="741"/>
      <c r="B174" s="319" t="s">
        <v>470</v>
      </c>
      <c r="C174" s="320"/>
      <c r="D174" s="321">
        <v>75611.259999999995</v>
      </c>
      <c r="E174" s="321">
        <v>75278.7</v>
      </c>
      <c r="F174" s="322">
        <v>800</v>
      </c>
      <c r="G174" s="320"/>
      <c r="H174" s="321">
        <v>1132.56</v>
      </c>
    </row>
    <row r="175" spans="1:16" x14ac:dyDescent="0.25">
      <c r="A175" s="740" t="s">
        <v>420</v>
      </c>
      <c r="B175" s="319" t="s">
        <v>469</v>
      </c>
      <c r="C175" s="320"/>
      <c r="D175" s="322">
        <v>267.33</v>
      </c>
      <c r="E175" s="322">
        <v>5.51</v>
      </c>
      <c r="F175" s="321">
        <v>9632.2199999999993</v>
      </c>
      <c r="G175" s="320"/>
      <c r="H175" s="321">
        <v>9894.0400000000009</v>
      </c>
    </row>
    <row r="176" spans="1:16" x14ac:dyDescent="0.25">
      <c r="A176" s="741"/>
      <c r="B176" s="319" t="s">
        <v>470</v>
      </c>
      <c r="C176" s="320"/>
      <c r="D176" s="322">
        <v>0.63</v>
      </c>
      <c r="E176" s="320"/>
      <c r="F176" s="322">
        <v>22.51</v>
      </c>
      <c r="G176" s="320"/>
      <c r="H176" s="322">
        <v>23.14</v>
      </c>
    </row>
    <row r="177" spans="1:11" x14ac:dyDescent="0.25">
      <c r="A177" s="311" t="s">
        <v>311</v>
      </c>
      <c r="B177" s="312" t="s">
        <v>469</v>
      </c>
      <c r="C177" s="314"/>
      <c r="D177" s="313">
        <v>1832479000</v>
      </c>
      <c r="E177" s="314"/>
      <c r="F177" s="313">
        <v>79000000</v>
      </c>
      <c r="G177" s="314"/>
      <c r="H177" s="313">
        <v>1911479000</v>
      </c>
      <c r="J177" s="31">
        <f>ROUND(D177/1000,0)</f>
        <v>1832479</v>
      </c>
      <c r="K177" s="31">
        <f>ROUND(H177/1000,0)</f>
        <v>1911479</v>
      </c>
    </row>
    <row r="178" spans="1:11" x14ac:dyDescent="0.25">
      <c r="A178" s="315" t="s">
        <v>312</v>
      </c>
      <c r="B178" s="316" t="s">
        <v>469</v>
      </c>
      <c r="C178" s="317"/>
      <c r="D178" s="318">
        <v>1832479000</v>
      </c>
      <c r="E178" s="317"/>
      <c r="F178" s="318">
        <v>79000000</v>
      </c>
      <c r="G178" s="317"/>
      <c r="H178" s="318">
        <v>1911479000</v>
      </c>
    </row>
    <row r="179" spans="1:11" ht="22.5" x14ac:dyDescent="0.25">
      <c r="A179" s="311" t="s">
        <v>313</v>
      </c>
      <c r="B179" s="312" t="s">
        <v>469</v>
      </c>
      <c r="C179" s="313">
        <v>10070896.08</v>
      </c>
      <c r="D179" s="314"/>
      <c r="E179" s="314"/>
      <c r="F179" s="314"/>
      <c r="G179" s="313">
        <v>10070896.08</v>
      </c>
      <c r="H179" s="314"/>
      <c r="J179" s="31">
        <f>ROUND(C179/1000,0)</f>
        <v>10071</v>
      </c>
      <c r="K179" s="31">
        <f>ROUND(G179/1000,0)</f>
        <v>10071</v>
      </c>
    </row>
    <row r="180" spans="1:11" ht="22.5" x14ac:dyDescent="0.25">
      <c r="A180" s="315" t="s">
        <v>314</v>
      </c>
      <c r="B180" s="316" t="s">
        <v>469</v>
      </c>
      <c r="C180" s="318">
        <v>10070896.08</v>
      </c>
      <c r="D180" s="317"/>
      <c r="E180" s="317"/>
      <c r="F180" s="317"/>
      <c r="G180" s="318">
        <v>10070896.08</v>
      </c>
      <c r="H180" s="317"/>
    </row>
    <row r="181" spans="1:11" x14ac:dyDescent="0.25">
      <c r="A181" s="311" t="s">
        <v>315</v>
      </c>
      <c r="B181" s="312" t="s">
        <v>469</v>
      </c>
      <c r="C181" s="314"/>
      <c r="D181" s="313">
        <v>15070500</v>
      </c>
      <c r="E181" s="314"/>
      <c r="F181" s="314"/>
      <c r="G181" s="314"/>
      <c r="H181" s="313">
        <v>15070500</v>
      </c>
      <c r="J181" s="31">
        <f>ROUND(D181/1000,0)</f>
        <v>15071</v>
      </c>
      <c r="K181" s="31">
        <f>ROUND(H181/1000,0)</f>
        <v>15071</v>
      </c>
    </row>
    <row r="182" spans="1:11" x14ac:dyDescent="0.25">
      <c r="A182" s="315" t="s">
        <v>316</v>
      </c>
      <c r="B182" s="316" t="s">
        <v>469</v>
      </c>
      <c r="C182" s="317"/>
      <c r="D182" s="318">
        <v>15070500</v>
      </c>
      <c r="E182" s="317"/>
      <c r="F182" s="317"/>
      <c r="G182" s="317"/>
      <c r="H182" s="318">
        <v>15070500</v>
      </c>
    </row>
    <row r="183" spans="1:11" ht="22.5" x14ac:dyDescent="0.25">
      <c r="A183" s="311" t="s">
        <v>317</v>
      </c>
      <c r="B183" s="312" t="s">
        <v>469</v>
      </c>
      <c r="C183" s="314"/>
      <c r="D183" s="331">
        <v>-1218764578.23</v>
      </c>
      <c r="E183" s="314"/>
      <c r="F183" s="331">
        <v>-95174401.920000002</v>
      </c>
      <c r="G183" s="314"/>
      <c r="H183" s="331">
        <v>-1313938980.1500001</v>
      </c>
      <c r="J183" s="31">
        <f>ROUND(D183/1000,0)</f>
        <v>-1218765</v>
      </c>
      <c r="K183" s="31">
        <f>ROUND(H183/1000,0)</f>
        <v>-1313939</v>
      </c>
    </row>
    <row r="184" spans="1:11" ht="22.5" x14ac:dyDescent="0.25">
      <c r="A184" s="315" t="s">
        <v>318</v>
      </c>
      <c r="B184" s="316" t="s">
        <v>469</v>
      </c>
      <c r="C184" s="317"/>
      <c r="D184" s="332">
        <v>-88115434.590000004</v>
      </c>
      <c r="E184" s="317"/>
      <c r="F184" s="332">
        <v>-95174401.920000002</v>
      </c>
      <c r="G184" s="317"/>
      <c r="H184" s="332">
        <v>-183289836.50999999</v>
      </c>
    </row>
    <row r="185" spans="1:11" ht="22.5" x14ac:dyDescent="0.25">
      <c r="A185" s="315" t="s">
        <v>319</v>
      </c>
      <c r="B185" s="316" t="s">
        <v>469</v>
      </c>
      <c r="C185" s="317"/>
      <c r="D185" s="332">
        <v>-1130649143.6400001</v>
      </c>
      <c r="E185" s="317"/>
      <c r="F185" s="317"/>
      <c r="G185" s="317"/>
      <c r="H185" s="332">
        <v>-1130649143.6400001</v>
      </c>
    </row>
    <row r="187" spans="1:11" x14ac:dyDescent="0.25">
      <c r="G187" s="334">
        <v>677758483.53999996</v>
      </c>
    </row>
    <row r="188" spans="1:11" x14ac:dyDescent="0.25">
      <c r="G188" s="43">
        <f>H156</f>
        <v>18077234.870000001</v>
      </c>
    </row>
    <row r="189" spans="1:11" x14ac:dyDescent="0.25">
      <c r="G189" s="335">
        <f>G187-G188</f>
        <v>659681248.66999996</v>
      </c>
    </row>
    <row r="190" spans="1:11" x14ac:dyDescent="0.25">
      <c r="G190" s="335">
        <f>G189-G180</f>
        <v>649610352.58999991</v>
      </c>
    </row>
    <row r="191" spans="1:11" x14ac:dyDescent="0.25">
      <c r="G191" s="31">
        <f>ROUND(G190/1000,0)</f>
        <v>649610</v>
      </c>
    </row>
  </sheetData>
  <mergeCells count="44">
    <mergeCell ref="A163:A164"/>
    <mergeCell ref="A170:A171"/>
    <mergeCell ref="A173:A174"/>
    <mergeCell ref="A175:A176"/>
    <mergeCell ref="A95:A96"/>
    <mergeCell ref="A102:A103"/>
    <mergeCell ref="A134:A135"/>
    <mergeCell ref="A136:A137"/>
    <mergeCell ref="A139:A140"/>
    <mergeCell ref="A143:A144"/>
    <mergeCell ref="A153:A154"/>
    <mergeCell ref="A157:A158"/>
    <mergeCell ref="A159:A160"/>
    <mergeCell ref="A161:A162"/>
    <mergeCell ref="A147:A148"/>
    <mergeCell ref="A150:A151"/>
    <mergeCell ref="A10:A11"/>
    <mergeCell ref="A12:A13"/>
    <mergeCell ref="A14:A15"/>
    <mergeCell ref="A32:A33"/>
    <mergeCell ref="A36:A37"/>
    <mergeCell ref="A16:A17"/>
    <mergeCell ref="A21:A22"/>
    <mergeCell ref="A24:A25"/>
    <mergeCell ref="A28:A29"/>
    <mergeCell ref="B3:B4"/>
    <mergeCell ref="C3:D3"/>
    <mergeCell ref="E3:F3"/>
    <mergeCell ref="G3:H3"/>
    <mergeCell ref="A7:A8"/>
    <mergeCell ref="A71:A72"/>
    <mergeCell ref="A73:A74"/>
    <mergeCell ref="A90:A91"/>
    <mergeCell ref="A92:A93"/>
    <mergeCell ref="A66:A67"/>
    <mergeCell ref="A68:A69"/>
    <mergeCell ref="A62:A63"/>
    <mergeCell ref="A38:A39"/>
    <mergeCell ref="A42:A43"/>
    <mergeCell ref="A48:A49"/>
    <mergeCell ref="A51:A52"/>
    <mergeCell ref="A53:A54"/>
    <mergeCell ref="A56:A57"/>
    <mergeCell ref="A58:A5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C86-8D9F-473F-A78B-DDF41EE3BBD5}">
  <dimension ref="A1:K32"/>
  <sheetViews>
    <sheetView view="pageBreakPreview" zoomScale="93" zoomScaleNormal="100" zoomScaleSheetLayoutView="93" workbookViewId="0">
      <selection activeCell="C22" sqref="C22"/>
    </sheetView>
  </sheetViews>
  <sheetFormatPr defaultRowHeight="12.75" x14ac:dyDescent="0.2"/>
  <cols>
    <col min="1" max="1" width="68.5703125" style="206" customWidth="1"/>
    <col min="2" max="2" width="9.140625" style="218"/>
    <col min="3" max="3" width="14.7109375" style="206" customWidth="1"/>
    <col min="4" max="4" width="1.28515625" style="218" customWidth="1"/>
    <col min="5" max="5" width="14.85546875" style="206" customWidth="1"/>
    <col min="6" max="6" width="15.5703125" style="206" customWidth="1"/>
    <col min="7" max="7" width="1.42578125" style="206" customWidth="1"/>
    <col min="8" max="8" width="16.5703125" style="206" customWidth="1"/>
    <col min="9" max="9" width="15.140625" style="206" customWidth="1"/>
    <col min="10" max="10" width="1.7109375" style="206" customWidth="1"/>
    <col min="11" max="11" width="14.140625" style="206" customWidth="1"/>
    <col min="12" max="16384" width="9.140625" style="206"/>
  </cols>
  <sheetData>
    <row r="1" spans="1:11" x14ac:dyDescent="0.2">
      <c r="A1" s="739" t="s">
        <v>20</v>
      </c>
      <c r="B1" s="739"/>
      <c r="C1" s="739"/>
      <c r="D1" s="739"/>
      <c r="E1" s="739"/>
      <c r="F1" s="739"/>
      <c r="G1" s="739"/>
      <c r="H1" s="739"/>
    </row>
    <row r="2" spans="1:11" x14ac:dyDescent="0.2">
      <c r="A2" s="739" t="s">
        <v>380</v>
      </c>
      <c r="B2" s="739"/>
      <c r="C2" s="739"/>
      <c r="D2" s="739"/>
      <c r="E2" s="739"/>
      <c r="F2" s="739"/>
      <c r="G2" s="739"/>
      <c r="H2" s="739"/>
    </row>
    <row r="3" spans="1:11" x14ac:dyDescent="0.2">
      <c r="A3" s="739" t="s">
        <v>333</v>
      </c>
      <c r="B3" s="739"/>
      <c r="C3" s="739"/>
      <c r="D3" s="739"/>
      <c r="E3" s="739"/>
      <c r="F3" s="739"/>
      <c r="G3" s="739"/>
      <c r="H3" s="739"/>
    </row>
    <row r="5" spans="1:11" ht="39" thickBot="1" x14ac:dyDescent="0.25">
      <c r="A5" s="207" t="s">
        <v>336</v>
      </c>
      <c r="B5" s="208" t="s">
        <v>1</v>
      </c>
      <c r="C5" s="220" t="s">
        <v>378</v>
      </c>
      <c r="D5" s="221"/>
      <c r="E5" s="291" t="s">
        <v>379</v>
      </c>
      <c r="F5" s="220" t="s">
        <v>378</v>
      </c>
      <c r="G5" s="221"/>
      <c r="H5" s="220" t="s">
        <v>379</v>
      </c>
      <c r="I5" s="220" t="s">
        <v>378</v>
      </c>
      <c r="J5" s="220"/>
      <c r="K5" s="220" t="s">
        <v>379</v>
      </c>
    </row>
    <row r="6" spans="1:11" x14ac:dyDescent="0.2">
      <c r="A6" s="211" t="s">
        <v>21</v>
      </c>
      <c r="B6" s="208" t="s">
        <v>5</v>
      </c>
      <c r="C6" s="209"/>
      <c r="D6" s="208"/>
      <c r="E6" s="209"/>
      <c r="F6" s="215"/>
      <c r="G6" s="215"/>
      <c r="H6" s="215"/>
      <c r="I6" s="215"/>
      <c r="J6" s="215"/>
      <c r="K6" s="215"/>
    </row>
    <row r="7" spans="1:11" x14ac:dyDescent="0.2">
      <c r="A7" s="209" t="s">
        <v>22</v>
      </c>
      <c r="B7" s="208">
        <v>9</v>
      </c>
      <c r="C7" s="255">
        <f>F7+I7</f>
        <v>2959</v>
      </c>
      <c r="D7" s="281"/>
      <c r="E7" s="255">
        <f>H7+K7</f>
        <v>11961</v>
      </c>
      <c r="F7" s="210">
        <f>'ОСВ 2021'!I8</f>
        <v>2765</v>
      </c>
      <c r="G7" s="215"/>
      <c r="H7" s="222">
        <v>11767</v>
      </c>
      <c r="I7" s="222">
        <v>194</v>
      </c>
      <c r="J7" s="222"/>
      <c r="K7" s="222">
        <v>194</v>
      </c>
    </row>
    <row r="8" spans="1:11" x14ac:dyDescent="0.2">
      <c r="A8" s="209" t="s">
        <v>23</v>
      </c>
      <c r="B8" s="208">
        <v>10</v>
      </c>
      <c r="C8" s="255">
        <f>F8</f>
        <v>30009</v>
      </c>
      <c r="D8" s="281"/>
      <c r="E8" s="255">
        <f>H8+K8</f>
        <v>29008</v>
      </c>
      <c r="F8" s="210">
        <f>'ОСВ 2021'!I15+'ОСВ 2021'!I24</f>
        <v>30009</v>
      </c>
      <c r="G8" s="215"/>
      <c r="H8" s="222">
        <v>29008</v>
      </c>
      <c r="I8" s="222"/>
      <c r="J8" s="222"/>
      <c r="K8" s="222"/>
    </row>
    <row r="9" spans="1:11" ht="25.5" x14ac:dyDescent="0.2">
      <c r="A9" s="209" t="s">
        <v>24</v>
      </c>
      <c r="B9" s="208" t="s">
        <v>25</v>
      </c>
      <c r="C9" s="255">
        <f>F9</f>
        <v>543134</v>
      </c>
      <c r="D9" s="281"/>
      <c r="E9" s="255">
        <f>H9+K9</f>
        <v>543134</v>
      </c>
      <c r="F9" s="210">
        <f>'ОСВ 2021'!I10</f>
        <v>543134</v>
      </c>
      <c r="G9" s="215"/>
      <c r="H9" s="222">
        <v>543134</v>
      </c>
      <c r="I9" s="222"/>
      <c r="J9" s="222"/>
      <c r="K9" s="222"/>
    </row>
    <row r="10" spans="1:11" ht="25.5" x14ac:dyDescent="0.2">
      <c r="A10" s="209" t="s">
        <v>26</v>
      </c>
      <c r="B10" s="208" t="s">
        <v>27</v>
      </c>
      <c r="C10" s="255">
        <f>F10</f>
        <v>200</v>
      </c>
      <c r="D10" s="281"/>
      <c r="E10" s="255">
        <f>H10+K10</f>
        <v>200</v>
      </c>
      <c r="F10" s="210">
        <f>'ОСВ 2021'!I13</f>
        <v>200</v>
      </c>
      <c r="G10" s="215"/>
      <c r="H10" s="222">
        <v>200</v>
      </c>
      <c r="I10" s="222"/>
      <c r="J10" s="222"/>
      <c r="K10" s="222"/>
    </row>
    <row r="11" spans="1:11" hidden="1" x14ac:dyDescent="0.2">
      <c r="A11" s="209" t="s">
        <v>28</v>
      </c>
      <c r="B11" s="208" t="s">
        <v>5</v>
      </c>
      <c r="C11" s="209"/>
      <c r="D11" s="208"/>
      <c r="E11" s="255"/>
      <c r="F11" s="210">
        <f>'ОСВ 2021'!I52</f>
        <v>500</v>
      </c>
      <c r="G11" s="215"/>
      <c r="H11" s="222">
        <v>500</v>
      </c>
      <c r="I11" s="222"/>
      <c r="J11" s="222"/>
      <c r="K11" s="222"/>
    </row>
    <row r="12" spans="1:11" x14ac:dyDescent="0.2">
      <c r="A12" s="209" t="s">
        <v>29</v>
      </c>
      <c r="B12" s="208">
        <v>12</v>
      </c>
      <c r="C12" s="255">
        <f>F12</f>
        <v>11191</v>
      </c>
      <c r="D12" s="281"/>
      <c r="E12" s="255">
        <f>H12+K12</f>
        <v>13768</v>
      </c>
      <c r="F12" s="210">
        <f>'ОСВ 2021'!I25+'ОСВ 2021'!I18</f>
        <v>11191</v>
      </c>
      <c r="G12" s="215"/>
      <c r="H12" s="222">
        <v>13768</v>
      </c>
      <c r="I12" s="222"/>
      <c r="J12" s="222"/>
      <c r="K12" s="222"/>
    </row>
    <row r="13" spans="1:11" x14ac:dyDescent="0.2">
      <c r="A13" s="209" t="s">
        <v>30</v>
      </c>
      <c r="B13" s="208">
        <v>13</v>
      </c>
      <c r="C13" s="255">
        <f>F13</f>
        <v>46493</v>
      </c>
      <c r="D13" s="281"/>
      <c r="E13" s="255">
        <f>H13+K13</f>
        <v>36706</v>
      </c>
      <c r="F13" s="210">
        <f>'ОСВ 2021'!M27+'ОСВ 2021'!J27</f>
        <v>46493</v>
      </c>
      <c r="G13" s="215"/>
      <c r="H13" s="222">
        <v>36706</v>
      </c>
      <c r="I13" s="222"/>
      <c r="J13" s="222"/>
      <c r="K13" s="222"/>
    </row>
    <row r="14" spans="1:11" x14ac:dyDescent="0.2">
      <c r="A14" s="209" t="s">
        <v>31</v>
      </c>
      <c r="B14" s="208">
        <v>14</v>
      </c>
      <c r="C14" s="255">
        <f>F14</f>
        <v>17261</v>
      </c>
      <c r="D14" s="281"/>
      <c r="E14" s="255">
        <f>H14+K14</f>
        <v>18786</v>
      </c>
      <c r="F14" s="210">
        <f>'ОСВ 2021'!I54+'ОСВ 2021'!I63</f>
        <v>17261</v>
      </c>
      <c r="G14" s="215"/>
      <c r="H14" s="222">
        <v>18786</v>
      </c>
      <c r="I14" s="222"/>
      <c r="J14" s="222"/>
      <c r="K14" s="222"/>
    </row>
    <row r="15" spans="1:11" ht="13.5" thickBot="1" x14ac:dyDescent="0.25">
      <c r="A15" s="209" t="s">
        <v>32</v>
      </c>
      <c r="B15" s="208" t="s">
        <v>33</v>
      </c>
      <c r="C15" s="255">
        <f>F15</f>
        <v>4438</v>
      </c>
      <c r="D15" s="281"/>
      <c r="E15" s="255">
        <f>H15+K15</f>
        <v>4438</v>
      </c>
      <c r="F15" s="210">
        <f>'ОСВ 2021'!I37</f>
        <v>4438</v>
      </c>
      <c r="G15" s="215"/>
      <c r="H15" s="222">
        <v>4438</v>
      </c>
      <c r="I15" s="222"/>
      <c r="J15" s="222"/>
      <c r="K15" s="222"/>
    </row>
    <row r="16" spans="1:11" ht="13.5" thickBot="1" x14ac:dyDescent="0.25">
      <c r="A16" s="211" t="s">
        <v>34</v>
      </c>
      <c r="B16" s="208" t="s">
        <v>5</v>
      </c>
      <c r="C16" s="285">
        <f>SUM(C7:C15)</f>
        <v>655685</v>
      </c>
      <c r="D16" s="282"/>
      <c r="E16" s="285">
        <f>SUM(E7:E15)</f>
        <v>658001</v>
      </c>
      <c r="F16" s="223">
        <f>SUM(F7:F15)</f>
        <v>655991</v>
      </c>
      <c r="G16" s="221"/>
      <c r="H16" s="223">
        <f>SUM(H7:H15)</f>
        <v>658307</v>
      </c>
      <c r="I16" s="223">
        <f>I7</f>
        <v>194</v>
      </c>
      <c r="J16" s="223"/>
      <c r="K16" s="223">
        <f>K7</f>
        <v>194</v>
      </c>
    </row>
    <row r="17" spans="1:11" ht="13.5" thickTop="1" x14ac:dyDescent="0.2">
      <c r="A17" s="211" t="s">
        <v>35</v>
      </c>
      <c r="B17" s="208" t="s">
        <v>5</v>
      </c>
      <c r="C17" s="209"/>
      <c r="D17" s="208"/>
      <c r="E17" s="209"/>
      <c r="F17" s="215"/>
      <c r="G17" s="215"/>
      <c r="H17" s="215"/>
      <c r="I17" s="215"/>
      <c r="J17" s="215"/>
      <c r="K17" s="215"/>
    </row>
    <row r="18" spans="1:11" x14ac:dyDescent="0.2">
      <c r="A18" s="211" t="s">
        <v>36</v>
      </c>
      <c r="B18" s="208" t="s">
        <v>5</v>
      </c>
      <c r="C18" s="209"/>
      <c r="D18" s="208"/>
      <c r="E18" s="209"/>
      <c r="F18" s="215"/>
      <c r="G18" s="215"/>
      <c r="H18" s="215"/>
      <c r="I18" s="215"/>
      <c r="J18" s="215"/>
      <c r="K18" s="215"/>
    </row>
    <row r="19" spans="1:11" x14ac:dyDescent="0.2">
      <c r="A19" s="209" t="s">
        <v>37</v>
      </c>
      <c r="B19" s="208">
        <v>15</v>
      </c>
      <c r="C19" s="286">
        <f>F19+I19</f>
        <v>29578</v>
      </c>
      <c r="D19" s="283"/>
      <c r="E19" s="286">
        <f>H19+K19</f>
        <v>42848</v>
      </c>
      <c r="F19" s="210">
        <f>'ОСВ 2021'!J84+'ОСВ 2021'!J86+'ОСВ 2021'!J88+'ОСВ 2021'!J96+'ОСВ 2021'!J97+1</f>
        <v>29575</v>
      </c>
      <c r="G19" s="215"/>
      <c r="H19" s="222">
        <v>42848</v>
      </c>
      <c r="I19" s="222">
        <v>3</v>
      </c>
      <c r="J19" s="222"/>
      <c r="K19" s="222"/>
    </row>
    <row r="20" spans="1:11" ht="13.5" thickBot="1" x14ac:dyDescent="0.25">
      <c r="A20" s="209" t="s">
        <v>38</v>
      </c>
      <c r="B20" s="208">
        <v>16</v>
      </c>
      <c r="C20" s="255">
        <f>F20</f>
        <v>7703</v>
      </c>
      <c r="D20" s="281"/>
      <c r="E20" s="255">
        <f>H20+K21</f>
        <v>8630</v>
      </c>
      <c r="F20" s="210">
        <f>'ОСВ 2021'!J77+'ОСВ 2021'!J70</f>
        <v>7703</v>
      </c>
      <c r="G20" s="215"/>
      <c r="H20" s="222">
        <v>8630</v>
      </c>
      <c r="I20" s="222"/>
      <c r="J20" s="222"/>
      <c r="K20" s="222"/>
    </row>
    <row r="21" spans="1:11" ht="13.5" thickBot="1" x14ac:dyDescent="0.25">
      <c r="A21" s="209"/>
      <c r="B21" s="208" t="s">
        <v>5</v>
      </c>
      <c r="C21" s="287">
        <f>SUM(C19:C20)</f>
        <v>37281</v>
      </c>
      <c r="D21" s="256"/>
      <c r="E21" s="287">
        <f>SUM(E19:E20)</f>
        <v>51478</v>
      </c>
      <c r="F21" s="224">
        <f>SUM(F19:F20)</f>
        <v>37278</v>
      </c>
      <c r="G21" s="215"/>
      <c r="H21" s="224">
        <f>SUM(H19:H20)</f>
        <v>51478</v>
      </c>
      <c r="I21" s="224">
        <f>I19</f>
        <v>3</v>
      </c>
      <c r="J21" s="224"/>
      <c r="K21" s="224"/>
    </row>
    <row r="22" spans="1:11" x14ac:dyDescent="0.2">
      <c r="A22" s="211" t="s">
        <v>39</v>
      </c>
      <c r="B22" s="208" t="s">
        <v>5</v>
      </c>
      <c r="C22" s="209"/>
      <c r="D22" s="208"/>
      <c r="E22" s="209"/>
      <c r="F22" s="215"/>
      <c r="G22" s="215"/>
      <c r="H22" s="215"/>
      <c r="I22" s="215"/>
      <c r="J22" s="215"/>
      <c r="K22" s="215"/>
    </row>
    <row r="23" spans="1:11" x14ac:dyDescent="0.2">
      <c r="A23" s="209" t="s">
        <v>40</v>
      </c>
      <c r="B23" s="208" t="s">
        <v>41</v>
      </c>
      <c r="C23" s="255">
        <f>F23</f>
        <v>1837479</v>
      </c>
      <c r="D23" s="281"/>
      <c r="E23" s="255">
        <f>H23</f>
        <v>1737479</v>
      </c>
      <c r="F23" s="210">
        <f>'Отчет СК'!C16</f>
        <v>1837479</v>
      </c>
      <c r="G23" s="215"/>
      <c r="H23" s="222">
        <f>'Отчет СК'!C13</f>
        <v>1737479</v>
      </c>
      <c r="I23" s="222">
        <v>500</v>
      </c>
      <c r="J23" s="222"/>
      <c r="K23" s="222">
        <v>500</v>
      </c>
    </row>
    <row r="24" spans="1:11" ht="13.5" thickBot="1" x14ac:dyDescent="0.25">
      <c r="A24" s="209" t="s">
        <v>42</v>
      </c>
      <c r="B24" s="208" t="s">
        <v>5</v>
      </c>
      <c r="C24" s="288">
        <f>F24+I24</f>
        <v>-1219075</v>
      </c>
      <c r="D24" s="284"/>
      <c r="E24" s="288">
        <f>H24+K24</f>
        <v>-1130956</v>
      </c>
      <c r="F24" s="202">
        <f>'ОСВ 2021'!J107-1</f>
        <v>-1218766</v>
      </c>
      <c r="G24" s="215"/>
      <c r="H24" s="202">
        <v>-1130650</v>
      </c>
      <c r="I24" s="202">
        <v>-309</v>
      </c>
      <c r="J24" s="202"/>
      <c r="K24" s="202">
        <v>-306</v>
      </c>
    </row>
    <row r="25" spans="1:11" ht="13.5" thickBot="1" x14ac:dyDescent="0.25">
      <c r="A25" s="211"/>
      <c r="B25" s="208" t="s">
        <v>5</v>
      </c>
      <c r="C25" s="287">
        <f>SUM(C23:C24)</f>
        <v>618404</v>
      </c>
      <c r="D25" s="256"/>
      <c r="E25" s="287">
        <f>SUM(E23:E24)</f>
        <v>606523</v>
      </c>
      <c r="F25" s="224">
        <f>SUM(F23:F24)</f>
        <v>618713</v>
      </c>
      <c r="G25" s="215"/>
      <c r="H25" s="224">
        <f>SUM(H23:H24)</f>
        <v>606829</v>
      </c>
      <c r="I25" s="224">
        <f>I23+I24</f>
        <v>191</v>
      </c>
      <c r="J25" s="224"/>
      <c r="K25" s="224">
        <f>K23+K24</f>
        <v>194</v>
      </c>
    </row>
    <row r="26" spans="1:11" ht="13.5" thickBot="1" x14ac:dyDescent="0.25">
      <c r="A26" s="211" t="s">
        <v>43</v>
      </c>
      <c r="B26" s="208" t="s">
        <v>5</v>
      </c>
      <c r="C26" s="289">
        <f>C21+C25</f>
        <v>655685</v>
      </c>
      <c r="D26" s="249"/>
      <c r="E26" s="289">
        <f>E21+E25</f>
        <v>658001</v>
      </c>
      <c r="F26" s="225">
        <f>F21+F25</f>
        <v>655991</v>
      </c>
      <c r="G26" s="221"/>
      <c r="H26" s="225">
        <f>H21+H25</f>
        <v>658307</v>
      </c>
      <c r="I26" s="225">
        <f>I25+I21</f>
        <v>194</v>
      </c>
      <c r="J26" s="225"/>
      <c r="K26" s="225">
        <f>K25+K21</f>
        <v>194</v>
      </c>
    </row>
    <row r="27" spans="1:11" ht="13.5" thickTop="1" x14ac:dyDescent="0.2">
      <c r="A27" s="209"/>
      <c r="B27" s="208" t="s">
        <v>5</v>
      </c>
      <c r="C27" s="209"/>
      <c r="D27" s="208"/>
      <c r="E27" s="209"/>
      <c r="F27" s="215"/>
      <c r="G27" s="215"/>
      <c r="H27" s="215"/>
      <c r="I27" s="215"/>
      <c r="J27" s="215"/>
      <c r="K27" s="215"/>
    </row>
    <row r="28" spans="1:11" ht="13.5" thickBot="1" x14ac:dyDescent="0.25">
      <c r="A28" s="209" t="s">
        <v>44</v>
      </c>
      <c r="B28" s="208" t="s">
        <v>45</v>
      </c>
      <c r="C28" s="290">
        <f>'Примечание к балансу'!B80</f>
        <v>340.08144437318322</v>
      </c>
      <c r="D28" s="208"/>
      <c r="E28" s="290">
        <f>'Примечание к балансу'!D80</f>
        <v>363.54646037589214</v>
      </c>
      <c r="F28" s="216">
        <f>'Примечание к балансу'!B80</f>
        <v>340.08144437318322</v>
      </c>
      <c r="G28" s="215"/>
      <c r="H28" s="216">
        <f>'Примечание к балансу'!D80</f>
        <v>363.54646037589214</v>
      </c>
      <c r="I28" s="216"/>
      <c r="J28" s="216"/>
      <c r="K28" s="216"/>
    </row>
    <row r="30" spans="1:11" x14ac:dyDescent="0.2">
      <c r="F30" s="226">
        <f>F16-'ОСВ 2021'!G117</f>
        <v>0</v>
      </c>
    </row>
    <row r="31" spans="1:11" x14ac:dyDescent="0.2">
      <c r="C31" s="219">
        <f>C23-E23</f>
        <v>100000</v>
      </c>
      <c r="F31" s="226">
        <f>F26-'ОСВ 2021'!G117</f>
        <v>0</v>
      </c>
    </row>
    <row r="32" spans="1:11" x14ac:dyDescent="0.2">
      <c r="C32" s="292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EE5DC-030B-4C80-A46F-7974BE718B82}">
  <dimension ref="A1:D60"/>
  <sheetViews>
    <sheetView view="pageBreakPreview" zoomScale="95" zoomScaleNormal="100" zoomScaleSheetLayoutView="95" workbookViewId="0">
      <selection activeCell="C22" sqref="C22"/>
    </sheetView>
  </sheetViews>
  <sheetFormatPr defaultRowHeight="12.75" outlineLevelRow="1" x14ac:dyDescent="0.2"/>
  <cols>
    <col min="1" max="1" width="63.42578125" style="227" customWidth="1"/>
    <col min="2" max="2" width="16.85546875" style="227" customWidth="1"/>
    <col min="3" max="3" width="1.28515625" style="227" customWidth="1"/>
    <col min="4" max="4" width="16.85546875" style="227" customWidth="1"/>
    <col min="5" max="16384" width="9.140625" style="227"/>
  </cols>
  <sheetData>
    <row r="1" spans="1:4" x14ac:dyDescent="0.2">
      <c r="A1" s="751" t="s">
        <v>20</v>
      </c>
      <c r="B1" s="751"/>
      <c r="C1" s="751"/>
      <c r="D1" s="751"/>
    </row>
    <row r="2" spans="1:4" x14ac:dyDescent="0.2">
      <c r="A2" s="751" t="s">
        <v>382</v>
      </c>
      <c r="B2" s="751"/>
      <c r="C2" s="751"/>
      <c r="D2" s="751"/>
    </row>
    <row r="3" spans="1:4" x14ac:dyDescent="0.2">
      <c r="A3" s="751" t="s">
        <v>74</v>
      </c>
      <c r="B3" s="751"/>
      <c r="C3" s="751"/>
      <c r="D3" s="751"/>
    </row>
    <row r="4" spans="1:4" x14ac:dyDescent="0.2">
      <c r="A4" s="752" t="s">
        <v>336</v>
      </c>
      <c r="B4" s="752"/>
      <c r="C4" s="752"/>
      <c r="D4" s="752"/>
    </row>
    <row r="5" spans="1:4" ht="15" customHeight="1" x14ac:dyDescent="0.2">
      <c r="A5" s="228"/>
      <c r="B5" s="228"/>
      <c r="C5" s="228"/>
      <c r="D5" s="229"/>
    </row>
    <row r="6" spans="1:4" ht="13.5" thickBot="1" x14ac:dyDescent="0.25">
      <c r="A6" s="750" t="s">
        <v>337</v>
      </c>
      <c r="B6" s="230" t="s">
        <v>374</v>
      </c>
      <c r="C6" s="230"/>
      <c r="D6" s="230" t="s">
        <v>374</v>
      </c>
    </row>
    <row r="7" spans="1:4" ht="13.5" thickBot="1" x14ac:dyDescent="0.25">
      <c r="A7" s="750"/>
      <c r="B7" s="231" t="s">
        <v>373</v>
      </c>
      <c r="C7" s="232"/>
      <c r="D7" s="231" t="s">
        <v>339</v>
      </c>
    </row>
    <row r="8" spans="1:4" ht="25.5" x14ac:dyDescent="0.2">
      <c r="A8" s="233" t="s">
        <v>338</v>
      </c>
      <c r="B8" s="233"/>
      <c r="C8" s="233"/>
      <c r="D8" s="234"/>
    </row>
    <row r="9" spans="1:4" x14ac:dyDescent="0.2">
      <c r="A9" s="235" t="s">
        <v>340</v>
      </c>
      <c r="B9" s="236">
        <f>B11+B12+B13+B14</f>
        <v>73064</v>
      </c>
      <c r="C9" s="236"/>
      <c r="D9" s="236">
        <f>D11+D12+D13+D14</f>
        <v>40302</v>
      </c>
    </row>
    <row r="10" spans="1:4" x14ac:dyDescent="0.2">
      <c r="A10" s="237" t="s">
        <v>341</v>
      </c>
      <c r="B10" s="237"/>
      <c r="C10" s="237"/>
      <c r="D10" s="236">
        <v>0</v>
      </c>
    </row>
    <row r="11" spans="1:4" x14ac:dyDescent="0.2">
      <c r="A11" s="237" t="s">
        <v>342</v>
      </c>
      <c r="B11" s="238">
        <f>'расчеты к ДДС'!E148+'расчеты к ДДС'!E259</f>
        <v>72152</v>
      </c>
      <c r="C11" s="238"/>
      <c r="D11" s="238">
        <f>'расчеты к ДДС'!L187+'расчеты к ДДС'!L188+'расчеты к ДДС'!L189+'расчеты к ДДС'!L185+'расчеты к ДДС'!L309</f>
        <v>35855</v>
      </c>
    </row>
    <row r="12" spans="1:4" x14ac:dyDescent="0.2">
      <c r="A12" s="237" t="s">
        <v>438</v>
      </c>
      <c r="B12" s="238">
        <f>'расчеты к ДДС'!E332+'расчеты к ДДС'!C394</f>
        <v>843</v>
      </c>
      <c r="C12" s="238"/>
      <c r="D12" s="238">
        <f>'расчеты к ДДС'!O342</f>
        <v>3178</v>
      </c>
    </row>
    <row r="13" spans="1:4" x14ac:dyDescent="0.2">
      <c r="A13" s="237" t="s">
        <v>343</v>
      </c>
      <c r="B13" s="201">
        <f>'расчеты к ДДС'!E375</f>
        <v>25</v>
      </c>
      <c r="C13" s="201"/>
      <c r="D13" s="238">
        <f>'расчеты к ДДС'!J467</f>
        <v>516</v>
      </c>
    </row>
    <row r="14" spans="1:4" x14ac:dyDescent="0.2">
      <c r="A14" s="237" t="s">
        <v>344</v>
      </c>
      <c r="B14" s="238">
        <f>'расчеты к ДДС'!E178</f>
        <v>44</v>
      </c>
      <c r="C14" s="238"/>
      <c r="D14" s="238">
        <f>'расчеты к ДДС'!L217</f>
        <v>753</v>
      </c>
    </row>
    <row r="15" spans="1:4" x14ac:dyDescent="0.2">
      <c r="A15" s="235" t="s">
        <v>345</v>
      </c>
      <c r="B15" s="236">
        <f>B17+B31+B32+B33++B34+B35</f>
        <v>177805</v>
      </c>
      <c r="C15" s="236"/>
      <c r="D15" s="236">
        <f>D17+D31+D32+D33++D34+D35</f>
        <v>147197</v>
      </c>
    </row>
    <row r="16" spans="1:4" x14ac:dyDescent="0.2">
      <c r="A16" s="237" t="s">
        <v>341</v>
      </c>
      <c r="B16" s="237"/>
      <c r="C16" s="237"/>
      <c r="D16" s="239"/>
    </row>
    <row r="17" spans="1:4" x14ac:dyDescent="0.2">
      <c r="A17" s="237" t="s">
        <v>346</v>
      </c>
      <c r="B17" s="238">
        <f>SUM(B18:B30)</f>
        <v>95295</v>
      </c>
      <c r="C17" s="238"/>
      <c r="D17" s="238">
        <f>SUM(D18:D30)</f>
        <v>54761</v>
      </c>
    </row>
    <row r="18" spans="1:4" outlineLevel="1" x14ac:dyDescent="0.2">
      <c r="A18" s="189" t="s">
        <v>441</v>
      </c>
      <c r="B18" s="199">
        <f>'расчеты к ДДС'!E140+'расчеты к ДДС'!E144+'расчеты к ДДС'!E256+'расчеты к ДДС'!E360</f>
        <v>43993</v>
      </c>
      <c r="C18" s="199"/>
      <c r="D18" s="199">
        <f>'расчеты к ДДС'!L175+'расчеты к ДДС'!L180+'расчеты к ДДС'!L300+'расчеты к ДДС'!L301+'расчеты к ДДС'!L416+12</f>
        <v>12317</v>
      </c>
    </row>
    <row r="19" spans="1:4" outlineLevel="1" x14ac:dyDescent="0.2">
      <c r="A19" s="189" t="s">
        <v>430</v>
      </c>
      <c r="B19" s="199">
        <f>'расчеты к ДДС'!E355+'расчеты к ДДС'!F22+'расчеты к ДДС'!E66</f>
        <v>22686</v>
      </c>
      <c r="C19" s="199"/>
      <c r="D19" s="199">
        <f>'расчеты к ДДС'!L436+'расчеты к ДДС'!L88</f>
        <v>7908</v>
      </c>
    </row>
    <row r="20" spans="1:4" outlineLevel="1" x14ac:dyDescent="0.2">
      <c r="A20" s="189" t="s">
        <v>353</v>
      </c>
      <c r="B20" s="199">
        <f>'расчеты к ДДС'!E84+'расчеты к ДДС'!E105</f>
        <v>13959</v>
      </c>
      <c r="C20" s="199"/>
      <c r="D20" s="199">
        <f>'расчеты к ДДС'!L110</f>
        <v>72</v>
      </c>
    </row>
    <row r="21" spans="1:4" outlineLevel="1" x14ac:dyDescent="0.2">
      <c r="A21" s="189" t="s">
        <v>348</v>
      </c>
      <c r="B21" s="199">
        <f>'расчеты к ДДС'!E50</f>
        <v>7663</v>
      </c>
      <c r="C21" s="199"/>
      <c r="D21" s="199">
        <f>'расчеты к ДДС'!L79+'расчеты к ДДС'!L75+'расчеты к ДДС'!L73</f>
        <v>16583</v>
      </c>
    </row>
    <row r="22" spans="1:4" outlineLevel="1" x14ac:dyDescent="0.2">
      <c r="A22" s="189" t="s">
        <v>349</v>
      </c>
      <c r="B22" s="199">
        <f>'расчеты к ДДС'!E236+'расчеты к ДДС'!F23+'расчеты к ДДС'!E93</f>
        <v>2072</v>
      </c>
      <c r="C22" s="199"/>
      <c r="D22" s="199">
        <f>'расчеты к ДДС'!L289+'расчеты к ДДС'!L115+'расчеты к ДДС'!L118</f>
        <v>2025</v>
      </c>
    </row>
    <row r="23" spans="1:4" outlineLevel="1" x14ac:dyDescent="0.2">
      <c r="A23" s="189" t="s">
        <v>347</v>
      </c>
      <c r="B23" s="199">
        <f>'расчеты к ДДС'!E58+'расчеты к ДДС'!E114</f>
        <v>1719</v>
      </c>
      <c r="C23" s="199"/>
      <c r="D23" s="199">
        <f>'расчеты к ДДС'!L83</f>
        <v>1623</v>
      </c>
    </row>
    <row r="24" spans="1:4" outlineLevel="1" x14ac:dyDescent="0.2">
      <c r="A24" s="189" t="s">
        <v>352</v>
      </c>
      <c r="B24" s="199">
        <f>'расчеты к ДДС'!E80+'расчеты к ДДС'!E230</f>
        <v>1036</v>
      </c>
      <c r="C24" s="199"/>
      <c r="D24" s="199">
        <f>'расчеты к ДДС'!L102+'расчеты к ДДС'!L105+'расчеты к ДДС'!L284</f>
        <v>4092</v>
      </c>
    </row>
    <row r="25" spans="1:4" outlineLevel="1" x14ac:dyDescent="0.2">
      <c r="A25" s="189" t="s">
        <v>350</v>
      </c>
      <c r="B25" s="199">
        <f>G25</f>
        <v>0</v>
      </c>
      <c r="C25" s="199"/>
      <c r="D25" s="199">
        <f>'расчеты к ДДС'!M45</f>
        <v>2296</v>
      </c>
    </row>
    <row r="26" spans="1:4" outlineLevel="1" x14ac:dyDescent="0.2">
      <c r="A26" s="189" t="s">
        <v>351</v>
      </c>
      <c r="B26" s="199">
        <f>'расчеты к ДДС'!F31+'расчеты к ДДС'!E224</f>
        <v>400</v>
      </c>
      <c r="C26" s="199"/>
      <c r="D26" s="199">
        <f>'расчеты к ДДС'!M62</f>
        <v>600</v>
      </c>
    </row>
    <row r="27" spans="1:4" outlineLevel="1" x14ac:dyDescent="0.2">
      <c r="A27" s="189" t="s">
        <v>354</v>
      </c>
      <c r="B27" s="199">
        <f>'расчеты к ДДС'!E247</f>
        <v>294</v>
      </c>
      <c r="C27" s="199"/>
      <c r="D27" s="199">
        <f>'расчеты к ДДС'!O267+'расчеты к ДДС'!L153+'расчеты к ДДС'!L155+'расчеты к ДДС'!M63</f>
        <v>598</v>
      </c>
    </row>
    <row r="28" spans="1:4" outlineLevel="1" x14ac:dyDescent="0.2">
      <c r="A28" s="189" t="s">
        <v>355</v>
      </c>
      <c r="B28" s="199">
        <f>'расчеты к ДДС'!E109+'расчеты к ДДС'!E121</f>
        <v>53</v>
      </c>
      <c r="C28" s="199"/>
      <c r="D28" s="199">
        <f>'расчеты к ДДС'!L142+'расчеты к ДДС'!L140</f>
        <v>328</v>
      </c>
    </row>
    <row r="29" spans="1:4" outlineLevel="1" x14ac:dyDescent="0.2">
      <c r="A29" s="189" t="s">
        <v>356</v>
      </c>
      <c r="B29" s="199">
        <v>0</v>
      </c>
      <c r="C29" s="199"/>
      <c r="D29" s="199">
        <f>'расчеты к ДДС'!L15</f>
        <v>3699</v>
      </c>
    </row>
    <row r="30" spans="1:4" outlineLevel="1" x14ac:dyDescent="0.2">
      <c r="A30" s="189" t="s">
        <v>357</v>
      </c>
      <c r="B30" s="199">
        <f>'расчеты к ДДС'!F32+'расчеты к ДДС'!F25+'расчеты к ДДС'!E101+'расчеты к ДДС'!E69+'расчеты к ДДС'!E241+'расчеты к ДДС'!E126+'расчеты к ДДС'!E96</f>
        <v>1420</v>
      </c>
      <c r="C30" s="199"/>
      <c r="D30" s="199">
        <f>'расчеты к ДДС'!L294+'расчеты к ДДС'!L275+'расчеты к ДДС'!O268+'расчеты к ДДС'!L162+'расчеты к ДДС'!L148+'расчеты к ДДС'!L131+'расчеты к ДДС'!L133+'расчеты к ДДС'!L124+'расчеты к ДДС'!L126+'расчеты к ДДС'!L95+'расчеты к ДДС'!L97+'расчеты к ДДС'!M46+'расчеты к ДДС'!L52+2</f>
        <v>2620</v>
      </c>
    </row>
    <row r="31" spans="1:4" x14ac:dyDescent="0.2">
      <c r="A31" s="237" t="s">
        <v>358</v>
      </c>
      <c r="B31" s="238">
        <f>'расчеты к ДДС'!E9+'расчеты к ДДС'!E219</f>
        <v>51325</v>
      </c>
      <c r="C31" s="238"/>
      <c r="D31" s="238">
        <f>'расчеты к ДДС'!L263+'расчеты к ДДС'!L33+2</f>
        <v>61501</v>
      </c>
    </row>
    <row r="32" spans="1:4" x14ac:dyDescent="0.2">
      <c r="A32" s="237" t="s">
        <v>359</v>
      </c>
      <c r="B32" s="238">
        <f>'расчеты к ДДС'!E206-'расчеты к ДДС'!E211+'расчеты к ДДС'!E37</f>
        <v>14157</v>
      </c>
      <c r="C32" s="238"/>
      <c r="D32" s="238">
        <f>'расчеты к ДДС'!M249+'расчеты к ДДС'!L66</f>
        <v>14386</v>
      </c>
    </row>
    <row r="33" spans="1:4" x14ac:dyDescent="0.2">
      <c r="A33" s="237" t="s">
        <v>101</v>
      </c>
      <c r="B33" s="238">
        <f>'расчеты к ДДС'!E211</f>
        <v>6616</v>
      </c>
      <c r="C33" s="238"/>
      <c r="D33" s="238">
        <f>'расчеты к ДДС'!L249</f>
        <v>7310</v>
      </c>
    </row>
    <row r="34" spans="1:4" x14ac:dyDescent="0.2">
      <c r="A34" s="237" t="s">
        <v>360</v>
      </c>
      <c r="B34" s="238">
        <f>'расчеты к ДДС'!E193+'расчеты к ДДС'!E199+'расчеты к ДДС'!E202</f>
        <v>3071</v>
      </c>
      <c r="C34" s="238"/>
      <c r="D34" s="238">
        <f>'расчеты к ДДС'!L239+'расчеты к ДДС'!L233+'расчеты к ДДС'!L324</f>
        <v>4179</v>
      </c>
    </row>
    <row r="35" spans="1:4" ht="13.5" thickBot="1" x14ac:dyDescent="0.25">
      <c r="A35" s="237" t="s">
        <v>361</v>
      </c>
      <c r="B35" s="213">
        <f>'расчеты к ДДС'!F383+'расчеты к ДДС'!E28-2</f>
        <v>7341</v>
      </c>
      <c r="C35" s="238"/>
      <c r="D35" s="238">
        <f>'расчеты к ДДС'!L313+'расчеты к ДДС'!L258+'расчеты к ДДС'!L59+'расчеты к ДДС'!J466-1</f>
        <v>5060</v>
      </c>
    </row>
    <row r="36" spans="1:4" ht="26.25" thickBot="1" x14ac:dyDescent="0.25">
      <c r="A36" s="235" t="s">
        <v>362</v>
      </c>
      <c r="B36" s="240">
        <f>B9-B15</f>
        <v>-104741</v>
      </c>
      <c r="C36" s="241"/>
      <c r="D36" s="240">
        <f>D9-D15</f>
        <v>-106895</v>
      </c>
    </row>
    <row r="37" spans="1:4" x14ac:dyDescent="0.2">
      <c r="A37" s="747" t="s">
        <v>363</v>
      </c>
      <c r="B37" s="747"/>
      <c r="C37" s="747"/>
      <c r="D37" s="747"/>
    </row>
    <row r="38" spans="1:4" x14ac:dyDescent="0.2">
      <c r="A38" s="235" t="s">
        <v>340</v>
      </c>
      <c r="B38" s="236">
        <f>SUM(B39:B41)</f>
        <v>2541183</v>
      </c>
      <c r="C38" s="236"/>
      <c r="D38" s="236">
        <f>SUM(D39:D41)</f>
        <v>1818010</v>
      </c>
    </row>
    <row r="39" spans="1:4" x14ac:dyDescent="0.2">
      <c r="A39" s="237" t="s">
        <v>341</v>
      </c>
      <c r="B39" s="237"/>
      <c r="C39" s="237"/>
      <c r="D39" s="239"/>
    </row>
    <row r="40" spans="1:4" x14ac:dyDescent="0.2">
      <c r="A40" s="237" t="s">
        <v>439</v>
      </c>
      <c r="B40" s="238">
        <f>'расчеты к ДДС'!C392</f>
        <v>2541183</v>
      </c>
      <c r="C40" s="238"/>
      <c r="D40" s="238">
        <f>'расчеты к ДДС'!O340</f>
        <v>1818010</v>
      </c>
    </row>
    <row r="41" spans="1:4" x14ac:dyDescent="0.2">
      <c r="A41" s="237" t="s">
        <v>364</v>
      </c>
      <c r="B41" s="238">
        <f>G41</f>
        <v>0</v>
      </c>
      <c r="C41" s="238"/>
      <c r="D41" s="238">
        <v>0</v>
      </c>
    </row>
    <row r="42" spans="1:4" x14ac:dyDescent="0.2">
      <c r="A42" s="235" t="s">
        <v>345</v>
      </c>
      <c r="B42" s="236">
        <f>SUM(B44:B45)</f>
        <v>2545444</v>
      </c>
      <c r="C42" s="236"/>
      <c r="D42" s="236">
        <f>SUM(D44:D45)</f>
        <v>1800642</v>
      </c>
    </row>
    <row r="43" spans="1:4" x14ac:dyDescent="0.2">
      <c r="A43" s="237" t="s">
        <v>341</v>
      </c>
      <c r="B43" s="237"/>
      <c r="C43" s="237"/>
      <c r="D43" s="239"/>
    </row>
    <row r="44" spans="1:4" x14ac:dyDescent="0.2">
      <c r="A44" s="237" t="s">
        <v>440</v>
      </c>
      <c r="B44" s="238">
        <f>'расчеты к ДДС'!D392</f>
        <v>2542176</v>
      </c>
      <c r="C44" s="238"/>
      <c r="D44" s="238">
        <f>'расчеты к ДДС'!P340</f>
        <v>1797960</v>
      </c>
    </row>
    <row r="45" spans="1:4" ht="13.5" thickBot="1" x14ac:dyDescent="0.25">
      <c r="A45" s="237" t="s">
        <v>365</v>
      </c>
      <c r="B45" s="213">
        <f>'расчеты к ДДС'!E162+'расчеты к ДДС'!E269</f>
        <v>3268</v>
      </c>
      <c r="C45" s="238"/>
      <c r="D45" s="213">
        <f>'расчеты к ДДС'!L195+'расчеты к ДДС'!L201</f>
        <v>2682</v>
      </c>
    </row>
    <row r="46" spans="1:4" ht="26.25" thickBot="1" x14ac:dyDescent="0.25">
      <c r="A46" s="235" t="s">
        <v>366</v>
      </c>
      <c r="B46" s="242">
        <f>B38-B42</f>
        <v>-4261</v>
      </c>
      <c r="C46" s="241"/>
      <c r="D46" s="242">
        <f>D38-D42</f>
        <v>17368</v>
      </c>
    </row>
    <row r="47" spans="1:4" x14ac:dyDescent="0.2">
      <c r="A47" s="747" t="s">
        <v>367</v>
      </c>
      <c r="B47" s="747"/>
      <c r="C47" s="747"/>
      <c r="D47" s="747"/>
    </row>
    <row r="48" spans="1:4" x14ac:dyDescent="0.2">
      <c r="A48" s="235" t="s">
        <v>340</v>
      </c>
      <c r="B48" s="236">
        <f>B49</f>
        <v>100000</v>
      </c>
      <c r="C48" s="236"/>
      <c r="D48" s="236">
        <f>D49</f>
        <v>85429</v>
      </c>
    </row>
    <row r="49" spans="1:4" x14ac:dyDescent="0.2">
      <c r="A49" s="237" t="s">
        <v>52</v>
      </c>
      <c r="B49" s="238">
        <f>'расчеты к ДДС'!E311</f>
        <v>100000</v>
      </c>
      <c r="C49" s="238"/>
      <c r="D49" s="238">
        <f>'расчеты к ДДС'!L362</f>
        <v>85429</v>
      </c>
    </row>
    <row r="50" spans="1:4" x14ac:dyDescent="0.2">
      <c r="A50" s="235" t="s">
        <v>345</v>
      </c>
      <c r="B50" s="238">
        <f>B51</f>
        <v>0</v>
      </c>
      <c r="C50" s="238"/>
      <c r="D50" s="238">
        <f>D51</f>
        <v>0</v>
      </c>
    </row>
    <row r="51" spans="1:4" ht="13.5" thickBot="1" x14ac:dyDescent="0.25">
      <c r="A51" s="237" t="s">
        <v>368</v>
      </c>
      <c r="B51" s="213">
        <v>0</v>
      </c>
      <c r="C51" s="238"/>
      <c r="D51" s="213">
        <v>0</v>
      </c>
    </row>
    <row r="52" spans="1:4" ht="26.25" thickBot="1" x14ac:dyDescent="0.25">
      <c r="A52" s="235" t="s">
        <v>369</v>
      </c>
      <c r="B52" s="243">
        <f>B48-B50</f>
        <v>100000</v>
      </c>
      <c r="C52" s="244"/>
      <c r="D52" s="243">
        <f>D48-D50</f>
        <v>85429</v>
      </c>
    </row>
    <row r="53" spans="1:4" x14ac:dyDescent="0.2">
      <c r="A53" s="747" t="s">
        <v>370</v>
      </c>
      <c r="B53" s="748">
        <f>B36+B46+B52</f>
        <v>-9002</v>
      </c>
      <c r="C53" s="241"/>
      <c r="D53" s="748">
        <f>D36+D46+D52</f>
        <v>-4098</v>
      </c>
    </row>
    <row r="54" spans="1:4" ht="13.5" thickBot="1" x14ac:dyDescent="0.25">
      <c r="A54" s="747"/>
      <c r="B54" s="749"/>
      <c r="C54" s="241"/>
      <c r="D54" s="749"/>
    </row>
    <row r="55" spans="1:4" ht="26.25" thickBot="1" x14ac:dyDescent="0.25">
      <c r="A55" s="235" t="s">
        <v>371</v>
      </c>
      <c r="B55" s="243">
        <f>'расчеты к ДДС'!E5+194</f>
        <v>11961</v>
      </c>
      <c r="C55" s="244"/>
      <c r="D55" s="243">
        <f>'расчеты к ДДС'!L5+39</f>
        <v>12102</v>
      </c>
    </row>
    <row r="56" spans="1:4" ht="26.25" thickBot="1" x14ac:dyDescent="0.25">
      <c r="A56" s="235" t="s">
        <v>372</v>
      </c>
      <c r="B56" s="245">
        <f>B53+B55</f>
        <v>2959</v>
      </c>
      <c r="C56" s="244"/>
      <c r="D56" s="245">
        <f>D53+D55</f>
        <v>8004</v>
      </c>
    </row>
    <row r="57" spans="1:4" ht="13.5" thickTop="1" x14ac:dyDescent="0.2">
      <c r="D57" s="246"/>
    </row>
    <row r="58" spans="1:4" x14ac:dyDescent="0.2">
      <c r="B58" s="247"/>
      <c r="D58" s="246"/>
    </row>
    <row r="59" spans="1:4" x14ac:dyDescent="0.2">
      <c r="B59" s="246"/>
    </row>
    <row r="60" spans="1:4" x14ac:dyDescent="0.2">
      <c r="B60" s="246"/>
    </row>
  </sheetData>
  <mergeCells count="10">
    <mergeCell ref="A53:A54"/>
    <mergeCell ref="B53:B54"/>
    <mergeCell ref="D53:D54"/>
    <mergeCell ref="A6:A7"/>
    <mergeCell ref="A1:D1"/>
    <mergeCell ref="A2:D2"/>
    <mergeCell ref="A3:D3"/>
    <mergeCell ref="A4:D4"/>
    <mergeCell ref="A37:D37"/>
    <mergeCell ref="A47:D47"/>
  </mergeCells>
  <pageMargins left="0.7" right="0.7" top="0.75" bottom="0.75" header="0.3" footer="0.3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2FF4-74C6-4FB9-BA98-9477ED83B511}">
  <dimension ref="A1:F24"/>
  <sheetViews>
    <sheetView view="pageBreakPreview" zoomScale="89" zoomScaleNormal="100" zoomScaleSheetLayoutView="89" workbookViewId="0">
      <selection activeCell="C22" sqref="C22"/>
    </sheetView>
  </sheetViews>
  <sheetFormatPr defaultRowHeight="12.75" x14ac:dyDescent="0.2"/>
  <cols>
    <col min="1" max="1" width="57.5703125" style="206" customWidth="1"/>
    <col min="2" max="2" width="9.140625" style="218"/>
    <col min="3" max="3" width="18" style="206" customWidth="1"/>
    <col min="4" max="4" width="15.28515625" style="206" customWidth="1"/>
    <col min="5" max="5" width="16.42578125" style="206" customWidth="1"/>
    <col min="6" max="6" width="17.140625" style="206" customWidth="1"/>
    <col min="7" max="16384" width="9.140625" style="206"/>
  </cols>
  <sheetData>
    <row r="1" spans="1:6" x14ac:dyDescent="0.2">
      <c r="A1" s="739" t="s">
        <v>20</v>
      </c>
      <c r="B1" s="739"/>
      <c r="C1" s="739"/>
      <c r="D1" s="739"/>
      <c r="E1" s="739"/>
      <c r="F1" s="739"/>
    </row>
    <row r="2" spans="1:6" x14ac:dyDescent="0.2">
      <c r="A2" s="739" t="s">
        <v>375</v>
      </c>
      <c r="B2" s="739"/>
      <c r="C2" s="739"/>
      <c r="D2" s="739"/>
      <c r="E2" s="739"/>
      <c r="F2" s="739"/>
    </row>
    <row r="3" spans="1:6" x14ac:dyDescent="0.2">
      <c r="A3" s="739" t="s">
        <v>74</v>
      </c>
      <c r="B3" s="739"/>
      <c r="C3" s="739"/>
      <c r="D3" s="739"/>
      <c r="E3" s="739"/>
      <c r="F3" s="739"/>
    </row>
    <row r="4" spans="1:6" ht="63.75" x14ac:dyDescent="0.2">
      <c r="A4" s="207" t="s">
        <v>336</v>
      </c>
      <c r="B4" s="208" t="s">
        <v>1</v>
      </c>
      <c r="C4" s="200" t="s">
        <v>376</v>
      </c>
      <c r="D4" s="200" t="s">
        <v>334</v>
      </c>
      <c r="E4" s="200" t="s">
        <v>377</v>
      </c>
      <c r="F4" s="200" t="s">
        <v>335</v>
      </c>
    </row>
    <row r="5" spans="1:6" x14ac:dyDescent="0.2">
      <c r="A5" s="209" t="s">
        <v>2</v>
      </c>
      <c r="B5" s="208">
        <v>3</v>
      </c>
      <c r="C5" s="210">
        <f>'расчет к ОПиУ'!F11</f>
        <v>50174</v>
      </c>
      <c r="D5" s="210">
        <v>50174</v>
      </c>
      <c r="E5" s="210">
        <f>'расчет к ОПиУ'!Q13+'расчет к ОПиУ'!Q14+'расчет к ОПиУ'!Q15+'расчет к ОПиУ'!Q9</f>
        <v>27986</v>
      </c>
      <c r="F5" s="210">
        <f>E5</f>
        <v>27986</v>
      </c>
    </row>
    <row r="6" spans="1:6" ht="13.5" thickBot="1" x14ac:dyDescent="0.25">
      <c r="A6" s="209" t="s">
        <v>3</v>
      </c>
      <c r="B6" s="208">
        <v>4</v>
      </c>
      <c r="C6" s="201">
        <f>-('расчет к ОПиУ'!E35+'расчет к ОПиУ'!E37)</f>
        <v>-48</v>
      </c>
      <c r="D6" s="201">
        <v>-48</v>
      </c>
      <c r="E6" s="201">
        <f>-('расчет к ОПиУ'!P42+'расчет к ОПиУ'!P45+'расчет к ОПиУ'!P47-1)</f>
        <v>-7857</v>
      </c>
      <c r="F6" s="201">
        <f>E6</f>
        <v>-7857</v>
      </c>
    </row>
    <row r="7" spans="1:6" x14ac:dyDescent="0.2">
      <c r="A7" s="211" t="s">
        <v>4</v>
      </c>
      <c r="B7" s="208" t="s">
        <v>5</v>
      </c>
      <c r="C7" s="212">
        <f>SUM(C5:C6)</f>
        <v>50126</v>
      </c>
      <c r="D7" s="212">
        <f>SUM(D5:D6)</f>
        <v>50126</v>
      </c>
      <c r="E7" s="212">
        <f>SUM(E5:E6)</f>
        <v>20129</v>
      </c>
      <c r="F7" s="212">
        <f>SUM(F5:F6)</f>
        <v>20129</v>
      </c>
    </row>
    <row r="8" spans="1:6" x14ac:dyDescent="0.2">
      <c r="A8" s="209" t="s">
        <v>6</v>
      </c>
      <c r="B8" s="208">
        <v>5</v>
      </c>
      <c r="C8" s="210">
        <f>'расчет к ОПиУ'!F10</f>
        <v>851</v>
      </c>
      <c r="D8" s="210">
        <v>851</v>
      </c>
      <c r="E8" s="210">
        <f>'расчет к ОПиУ'!Q12+'расчет к ОПиУ'!Q16</f>
        <v>126985</v>
      </c>
      <c r="F8" s="210">
        <f>E8</f>
        <v>126985</v>
      </c>
    </row>
    <row r="9" spans="1:6" x14ac:dyDescent="0.2">
      <c r="A9" s="209" t="s">
        <v>7</v>
      </c>
      <c r="B9" s="208">
        <v>6</v>
      </c>
      <c r="C9" s="201">
        <f>-('расчет к ОПиУ'!E20+'расчет к ОПиУ'!E22+'расчет к ОПиУ'!E32)-3</f>
        <v>-138713</v>
      </c>
      <c r="D9" s="201">
        <v>-138713</v>
      </c>
      <c r="E9" s="201">
        <f>-('расчет к ОПиУ'!P26+'расчет к ОПиУ'!P28)-183</f>
        <v>-131009</v>
      </c>
      <c r="F9" s="201">
        <f>E9</f>
        <v>-131009</v>
      </c>
    </row>
    <row r="10" spans="1:6" ht="13.5" thickBot="1" x14ac:dyDescent="0.25">
      <c r="A10" s="209" t="s">
        <v>8</v>
      </c>
      <c r="B10" s="208">
        <v>7</v>
      </c>
      <c r="C10" s="202">
        <f>'расчет к ОПиУ'!E44+1</f>
        <v>-36</v>
      </c>
      <c r="D10" s="202">
        <v>-36</v>
      </c>
      <c r="E10" s="201">
        <f>'расчет к ОПиУ'!P55+1</f>
        <v>-40</v>
      </c>
      <c r="F10" s="201">
        <f>E10</f>
        <v>-40</v>
      </c>
    </row>
    <row r="11" spans="1:6" x14ac:dyDescent="0.2">
      <c r="A11" s="211" t="s">
        <v>9</v>
      </c>
      <c r="B11" s="208" t="s">
        <v>5</v>
      </c>
      <c r="C11" s="203">
        <f>SUM(C7:C10)</f>
        <v>-87772</v>
      </c>
      <c r="D11" s="203">
        <f>SUM(D7:D10)</f>
        <v>-87772</v>
      </c>
      <c r="E11" s="212">
        <f>SUM(E7:E10)</f>
        <v>16065</v>
      </c>
      <c r="F11" s="212">
        <f>SUM(F7:F10)</f>
        <v>16065</v>
      </c>
    </row>
    <row r="12" spans="1:6" x14ac:dyDescent="0.2">
      <c r="A12" s="209" t="s">
        <v>10</v>
      </c>
      <c r="B12" s="208" t="s">
        <v>5</v>
      </c>
      <c r="C12" s="201">
        <f>'расчет к ОПиУ'!F16-'расчет к ОПиУ'!E26-'расчет к ОПиУ'!E34</f>
        <v>-347</v>
      </c>
      <c r="D12" s="201">
        <v>-347</v>
      </c>
      <c r="E12" s="201">
        <f>'расчет к ОПиУ'!Q22-'расчет к ОПиУ'!P34-'расчет к ОПиУ'!P41</f>
        <v>132</v>
      </c>
      <c r="F12" s="201">
        <f>E12</f>
        <v>132</v>
      </c>
    </row>
    <row r="13" spans="1:6" x14ac:dyDescent="0.2">
      <c r="A13" s="211" t="s">
        <v>11</v>
      </c>
      <c r="B13" s="208" t="s">
        <v>5</v>
      </c>
      <c r="C13" s="203">
        <f>SUM(C11:C12)</f>
        <v>-88119</v>
      </c>
      <c r="D13" s="203">
        <f>SUM(D11:D12)</f>
        <v>-88119</v>
      </c>
      <c r="E13" s="203">
        <f>SUM(E11:E12)</f>
        <v>16197</v>
      </c>
      <c r="F13" s="203">
        <f>SUM(F11:F12)</f>
        <v>16197</v>
      </c>
    </row>
    <row r="14" spans="1:6" ht="13.5" thickBot="1" x14ac:dyDescent="0.25">
      <c r="A14" s="209" t="s">
        <v>19</v>
      </c>
      <c r="B14" s="208"/>
      <c r="C14" s="213">
        <v>0</v>
      </c>
      <c r="D14" s="213">
        <v>0</v>
      </c>
      <c r="E14" s="213">
        <v>0</v>
      </c>
      <c r="F14" s="213">
        <v>0</v>
      </c>
    </row>
    <row r="15" spans="1:6" x14ac:dyDescent="0.2">
      <c r="A15" s="211" t="s">
        <v>13</v>
      </c>
      <c r="B15" s="208" t="s">
        <v>5</v>
      </c>
      <c r="C15" s="203">
        <f>SUM(C13:C14)</f>
        <v>-88119</v>
      </c>
      <c r="D15" s="203">
        <f>SUM(D13:D14)</f>
        <v>-88119</v>
      </c>
      <c r="E15" s="212">
        <f>SUM(E13:E14)</f>
        <v>16197</v>
      </c>
      <c r="F15" s="212">
        <f>SUM(F13:F14)</f>
        <v>16197</v>
      </c>
    </row>
    <row r="16" spans="1:6" ht="13.5" thickBot="1" x14ac:dyDescent="0.25">
      <c r="A16" s="209" t="s">
        <v>14</v>
      </c>
      <c r="B16" s="208" t="s">
        <v>5</v>
      </c>
      <c r="C16" s="213">
        <v>0</v>
      </c>
      <c r="D16" s="213">
        <v>0</v>
      </c>
      <c r="E16" s="213">
        <v>0</v>
      </c>
      <c r="F16" s="213">
        <v>0</v>
      </c>
    </row>
    <row r="17" spans="1:6" ht="13.5" thickBot="1" x14ac:dyDescent="0.25">
      <c r="A17" s="211" t="s">
        <v>15</v>
      </c>
      <c r="B17" s="208" t="s">
        <v>5</v>
      </c>
      <c r="C17" s="204">
        <f>SUM(C15:C16)</f>
        <v>-88119</v>
      </c>
      <c r="D17" s="204">
        <f>SUM(D15:D16)</f>
        <v>-88119</v>
      </c>
      <c r="E17" s="214">
        <f>SUM(E15:E16)</f>
        <v>16197</v>
      </c>
      <c r="F17" s="214">
        <f>SUM(F15:F16)</f>
        <v>16197</v>
      </c>
    </row>
    <row r="18" spans="1:6" ht="13.5" thickTop="1" x14ac:dyDescent="0.2">
      <c r="A18" s="209"/>
      <c r="B18" s="208" t="s">
        <v>5</v>
      </c>
      <c r="C18" s="215"/>
      <c r="D18" s="215"/>
      <c r="E18" s="215"/>
      <c r="F18" s="215"/>
    </row>
    <row r="19" spans="1:6" ht="13.5" thickBot="1" x14ac:dyDescent="0.25">
      <c r="A19" s="209" t="s">
        <v>16</v>
      </c>
      <c r="B19" s="208" t="s">
        <v>17</v>
      </c>
      <c r="C19" s="205">
        <f>'расчет к ОПиУ'!I59</f>
        <v>-50.924915211974692</v>
      </c>
      <c r="D19" s="205">
        <f>'расчет к ОПиУ'!I59</f>
        <v>-50.924915211974692</v>
      </c>
      <c r="E19" s="216">
        <f>'расчет к ОПиУ'!J59</f>
        <v>9.7729067775594221</v>
      </c>
      <c r="F19" s="216">
        <f>'расчет к ОПиУ'!J59</f>
        <v>9.7729067775594221</v>
      </c>
    </row>
    <row r="20" spans="1:6" x14ac:dyDescent="0.2">
      <c r="A20" s="217"/>
    </row>
    <row r="21" spans="1:6" x14ac:dyDescent="0.2">
      <c r="C21" s="219"/>
      <c r="E21" s="219"/>
    </row>
    <row r="24" spans="1:6" x14ac:dyDescent="0.2">
      <c r="C24" s="278"/>
      <c r="E24" s="278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1E03-EF03-4C9F-86D1-9158F5ACE5AD}">
  <dimension ref="A1:F85"/>
  <sheetViews>
    <sheetView view="pageBreakPreview" zoomScale="96" zoomScaleNormal="100" zoomScaleSheetLayoutView="96" workbookViewId="0">
      <selection activeCell="F80" sqref="F80"/>
    </sheetView>
  </sheetViews>
  <sheetFormatPr defaultRowHeight="12.75" x14ac:dyDescent="0.2"/>
  <cols>
    <col min="1" max="1" width="66.28515625" style="70" customWidth="1"/>
    <col min="2" max="2" width="15.42578125" style="258" customWidth="1"/>
    <col min="3" max="3" width="1.140625" style="268" customWidth="1"/>
    <col min="4" max="4" width="15.7109375" style="258" customWidth="1"/>
    <col min="5" max="5" width="13.7109375" style="70" customWidth="1"/>
    <col min="6" max="6" width="13.28515625" style="70" customWidth="1"/>
    <col min="7" max="16384" width="9.140625" style="70"/>
  </cols>
  <sheetData>
    <row r="1" spans="1:6" x14ac:dyDescent="0.2">
      <c r="A1" s="253" t="s">
        <v>132</v>
      </c>
      <c r="B1" s="257"/>
      <c r="C1" s="190"/>
    </row>
    <row r="2" spans="1:6" ht="13.5" thickBot="1" x14ac:dyDescent="0.25">
      <c r="A2" s="209" t="s">
        <v>47</v>
      </c>
      <c r="B2" s="259" t="s">
        <v>18</v>
      </c>
      <c r="C2" s="208"/>
      <c r="D2" s="259">
        <v>2020</v>
      </c>
    </row>
    <row r="3" spans="1:6" ht="13.5" thickBot="1" x14ac:dyDescent="0.25">
      <c r="A3" s="209" t="s">
        <v>75</v>
      </c>
      <c r="B3" s="222">
        <f>'ОСВ 2021'!I8+194</f>
        <v>2959</v>
      </c>
      <c r="C3" s="208"/>
      <c r="D3" s="222">
        <f>11767+194</f>
        <v>11961</v>
      </c>
      <c r="E3" s="264">
        <f>B4-Баланс!C7</f>
        <v>0</v>
      </c>
      <c r="F3" s="264">
        <f>D4-Баланс!E7</f>
        <v>0</v>
      </c>
    </row>
    <row r="4" spans="1:6" ht="13.5" thickBot="1" x14ac:dyDescent="0.25">
      <c r="A4" s="211"/>
      <c r="B4" s="223">
        <f>SUM(B3)</f>
        <v>2959</v>
      </c>
      <c r="C4" s="254"/>
      <c r="D4" s="223">
        <f>SUM(D3)</f>
        <v>11961</v>
      </c>
    </row>
    <row r="5" spans="1:6" ht="13.5" thickTop="1" x14ac:dyDescent="0.2">
      <c r="A5" s="253" t="s">
        <v>448</v>
      </c>
      <c r="B5" s="257"/>
      <c r="C5" s="190"/>
    </row>
    <row r="6" spans="1:6" ht="46.5" customHeight="1" x14ac:dyDescent="0.2">
      <c r="A6" s="753" t="s">
        <v>449</v>
      </c>
      <c r="B6" s="753"/>
      <c r="C6" s="753"/>
      <c r="D6" s="753"/>
    </row>
    <row r="7" spans="1:6" x14ac:dyDescent="0.2">
      <c r="A7" s="253" t="s">
        <v>450</v>
      </c>
      <c r="B7" s="257"/>
      <c r="C7" s="190"/>
    </row>
    <row r="8" spans="1:6" x14ac:dyDescent="0.2">
      <c r="A8" s="253" t="s">
        <v>76</v>
      </c>
      <c r="B8" s="257"/>
      <c r="C8" s="190"/>
      <c r="D8" s="257"/>
    </row>
    <row r="9" spans="1:6" ht="51" x14ac:dyDescent="0.2">
      <c r="A9" s="217" t="s">
        <v>320</v>
      </c>
      <c r="B9" s="260"/>
      <c r="C9" s="261"/>
    </row>
    <row r="10" spans="1:6" x14ac:dyDescent="0.2">
      <c r="A10" s="253" t="s">
        <v>77</v>
      </c>
      <c r="B10" s="257"/>
      <c r="C10" s="190"/>
      <c r="D10" s="257"/>
    </row>
    <row r="11" spans="1:6" ht="38.25" x14ac:dyDescent="0.2">
      <c r="A11" s="217" t="s">
        <v>321</v>
      </c>
      <c r="B11" s="260"/>
      <c r="C11" s="261"/>
    </row>
    <row r="13" spans="1:6" x14ac:dyDescent="0.2">
      <c r="A13" s="253"/>
      <c r="B13" s="257"/>
      <c r="C13" s="190"/>
    </row>
    <row r="14" spans="1:6" x14ac:dyDescent="0.2">
      <c r="A14" s="253" t="s">
        <v>451</v>
      </c>
      <c r="B14" s="257"/>
      <c r="C14" s="190"/>
    </row>
    <row r="15" spans="1:6" ht="15" customHeight="1" thickBot="1" x14ac:dyDescent="0.25">
      <c r="A15" s="209" t="s">
        <v>47</v>
      </c>
      <c r="B15" s="259" t="s">
        <v>18</v>
      </c>
      <c r="C15" s="208"/>
      <c r="D15" s="259">
        <v>2020</v>
      </c>
    </row>
    <row r="16" spans="1:6" x14ac:dyDescent="0.2">
      <c r="A16" s="209" t="s">
        <v>78</v>
      </c>
      <c r="B16" s="210">
        <f>'ОСВ 2021'!I25+'ОСВ 2021'!I18+5476-628</f>
        <v>16039</v>
      </c>
      <c r="C16" s="208"/>
      <c r="D16" s="222">
        <v>18326</v>
      </c>
    </row>
    <row r="17" spans="1:6" ht="13.5" thickBot="1" x14ac:dyDescent="0.25">
      <c r="A17" s="209" t="s">
        <v>79</v>
      </c>
      <c r="B17" s="215">
        <v>628</v>
      </c>
      <c r="C17" s="208"/>
      <c r="D17" s="222">
        <v>537</v>
      </c>
    </row>
    <row r="18" spans="1:6" x14ac:dyDescent="0.2">
      <c r="A18" s="209"/>
      <c r="B18" s="262">
        <f>SUM(B16:B17)</f>
        <v>16667</v>
      </c>
      <c r="C18" s="208"/>
      <c r="D18" s="262">
        <f>SUM(D16:D17)</f>
        <v>18863</v>
      </c>
    </row>
    <row r="19" spans="1:6" ht="13.5" thickBot="1" x14ac:dyDescent="0.25">
      <c r="A19" s="209" t="s">
        <v>80</v>
      </c>
      <c r="B19" s="202">
        <f>-B25</f>
        <v>-5476</v>
      </c>
      <c r="C19" s="208"/>
      <c r="D19" s="202">
        <v>-5095</v>
      </c>
    </row>
    <row r="20" spans="1:6" ht="13.5" thickBot="1" x14ac:dyDescent="0.25">
      <c r="A20" s="211"/>
      <c r="B20" s="223">
        <f>SUM(B18:B19)</f>
        <v>11191</v>
      </c>
      <c r="C20" s="254"/>
      <c r="D20" s="223">
        <f>SUM(D18:D19)</f>
        <v>13768</v>
      </c>
      <c r="E20" s="264">
        <f>B20-Баланс!C12</f>
        <v>0</v>
      </c>
      <c r="F20" s="264">
        <f>D20-Баланс!E12</f>
        <v>0</v>
      </c>
    </row>
    <row r="21" spans="1:6" ht="26.25" thickTop="1" x14ac:dyDescent="0.2">
      <c r="A21" s="217" t="s">
        <v>81</v>
      </c>
      <c r="C21" s="261"/>
      <c r="D21" s="263"/>
      <c r="E21" s="264"/>
    </row>
    <row r="22" spans="1:6" ht="13.5" thickBot="1" x14ac:dyDescent="0.25">
      <c r="A22" s="209" t="s">
        <v>47</v>
      </c>
      <c r="B22" s="259" t="s">
        <v>18</v>
      </c>
      <c r="C22" s="208"/>
      <c r="D22" s="265">
        <v>2020</v>
      </c>
    </row>
    <row r="23" spans="1:6" x14ac:dyDescent="0.2">
      <c r="A23" s="209" t="s">
        <v>82</v>
      </c>
      <c r="B23" s="266">
        <f>D25</f>
        <v>5095</v>
      </c>
      <c r="C23" s="208"/>
      <c r="D23" s="222">
        <v>4855</v>
      </c>
    </row>
    <row r="24" spans="1:6" ht="13.5" thickBot="1" x14ac:dyDescent="0.25">
      <c r="A24" s="209" t="s">
        <v>83</v>
      </c>
      <c r="B24" s="266">
        <v>381</v>
      </c>
      <c r="C24" s="208"/>
      <c r="D24" s="222">
        <v>240</v>
      </c>
    </row>
    <row r="25" spans="1:6" ht="13.5" thickBot="1" x14ac:dyDescent="0.25">
      <c r="A25" s="211" t="s">
        <v>461</v>
      </c>
      <c r="B25" s="252">
        <f>SUM(B23:B24)</f>
        <v>5476</v>
      </c>
      <c r="C25" s="254"/>
      <c r="D25" s="223">
        <f>SUM(D23:D24)</f>
        <v>5095</v>
      </c>
    </row>
    <row r="26" spans="1:6" ht="13.5" thickTop="1" x14ac:dyDescent="0.2">
      <c r="A26" s="211"/>
      <c r="B26" s="249"/>
      <c r="C26" s="254"/>
      <c r="D26" s="282"/>
    </row>
    <row r="27" spans="1:6" x14ac:dyDescent="0.2">
      <c r="A27" s="253" t="s">
        <v>452</v>
      </c>
      <c r="C27" s="190"/>
    </row>
    <row r="28" spans="1:6" ht="13.5" thickBot="1" x14ac:dyDescent="0.25">
      <c r="A28" s="209" t="s">
        <v>47</v>
      </c>
      <c r="B28" s="259" t="s">
        <v>18</v>
      </c>
      <c r="C28" s="208"/>
      <c r="D28" s="259">
        <v>2020</v>
      </c>
    </row>
    <row r="29" spans="1:6" x14ac:dyDescent="0.2">
      <c r="A29" s="209" t="s">
        <v>85</v>
      </c>
      <c r="B29" s="222">
        <f>'ОСВ 2021'!I35-'ОСВ 2021'!I37</f>
        <v>10461</v>
      </c>
      <c r="C29" s="208"/>
      <c r="D29" s="222">
        <v>10688</v>
      </c>
    </row>
    <row r="30" spans="1:6" x14ac:dyDescent="0.2">
      <c r="A30" s="209" t="s">
        <v>86</v>
      </c>
      <c r="B30" s="222">
        <f>'ОСВ 2021'!I19</f>
        <v>5467</v>
      </c>
      <c r="C30" s="208"/>
      <c r="D30" s="222">
        <v>8543</v>
      </c>
    </row>
    <row r="31" spans="1:6" x14ac:dyDescent="0.2">
      <c r="A31" s="209" t="s">
        <v>87</v>
      </c>
      <c r="B31" s="222">
        <f>'ОСВ 2021'!H49</f>
        <v>17578</v>
      </c>
      <c r="C31" s="208"/>
      <c r="D31" s="222">
        <v>8162</v>
      </c>
    </row>
    <row r="32" spans="1:6" x14ac:dyDescent="0.2">
      <c r="A32" s="209" t="s">
        <v>88</v>
      </c>
      <c r="B32" s="222">
        <f>'ОСВ 2021'!I28</f>
        <v>5000</v>
      </c>
      <c r="C32" s="208"/>
      <c r="D32" s="222">
        <v>5000</v>
      </c>
    </row>
    <row r="33" spans="1:4" x14ac:dyDescent="0.2">
      <c r="A33" s="209" t="s">
        <v>89</v>
      </c>
      <c r="B33" s="222">
        <f>'ОСВ 2021'!H46+'ОСВ 2021'!J27</f>
        <v>7685</v>
      </c>
      <c r="C33" s="208"/>
      <c r="D33" s="222">
        <v>4041</v>
      </c>
    </row>
    <row r="34" spans="1:4" ht="13.5" thickBot="1" x14ac:dyDescent="0.25">
      <c r="A34" s="209" t="s">
        <v>65</v>
      </c>
      <c r="B34" s="222">
        <f>'ОСВ 2021'!I33</f>
        <v>302</v>
      </c>
      <c r="C34" s="208"/>
      <c r="D34" s="222">
        <v>272</v>
      </c>
    </row>
    <row r="35" spans="1:4" ht="13.5" thickBot="1" x14ac:dyDescent="0.25">
      <c r="A35" s="211"/>
      <c r="B35" s="223">
        <f>SUM(B29:B34)</f>
        <v>46493</v>
      </c>
      <c r="C35" s="254"/>
      <c r="D35" s="223">
        <f>SUM(D29:D34)</f>
        <v>36706</v>
      </c>
    </row>
    <row r="36" spans="1:4" ht="13.5" thickTop="1" x14ac:dyDescent="0.2">
      <c r="A36" s="253" t="s">
        <v>453</v>
      </c>
      <c r="B36" s="267">
        <f>B35-Баланс!C13</f>
        <v>0</v>
      </c>
      <c r="C36" s="190"/>
      <c r="D36" s="267">
        <f>D35-Баланс!E13</f>
        <v>0</v>
      </c>
    </row>
    <row r="37" spans="1:4" ht="13.5" thickBot="1" x14ac:dyDescent="0.25">
      <c r="A37" s="209" t="s">
        <v>47</v>
      </c>
      <c r="B37" s="259" t="s">
        <v>18</v>
      </c>
      <c r="C37" s="208"/>
      <c r="D37" s="259">
        <v>2020</v>
      </c>
    </row>
    <row r="38" spans="1:4" x14ac:dyDescent="0.2">
      <c r="A38" s="211" t="s">
        <v>90</v>
      </c>
      <c r="B38" s="215"/>
      <c r="C38" s="254"/>
      <c r="D38" s="215"/>
    </row>
    <row r="39" spans="1:4" x14ac:dyDescent="0.2">
      <c r="A39" s="209" t="s">
        <v>82</v>
      </c>
      <c r="B39" s="222">
        <f>'ОСВ 2021'!H55+'ОСВ 2021'!H64</f>
        <v>106461</v>
      </c>
      <c r="C39" s="208"/>
      <c r="D39" s="222">
        <v>96588</v>
      </c>
    </row>
    <row r="40" spans="1:4" x14ac:dyDescent="0.2">
      <c r="A40" s="209" t="s">
        <v>91</v>
      </c>
      <c r="B40" s="222">
        <f>'ОСВ 2021'!I55</f>
        <v>259</v>
      </c>
      <c r="C40" s="208"/>
      <c r="D40" s="222">
        <v>9873</v>
      </c>
    </row>
    <row r="41" spans="1:4" ht="13.5" thickBot="1" x14ac:dyDescent="0.25">
      <c r="A41" s="209" t="s">
        <v>92</v>
      </c>
      <c r="B41" s="222">
        <v>0</v>
      </c>
      <c r="C41" s="208"/>
      <c r="D41" s="222">
        <v>0</v>
      </c>
    </row>
    <row r="42" spans="1:4" ht="13.5" thickBot="1" x14ac:dyDescent="0.25">
      <c r="A42" s="209" t="s">
        <v>63</v>
      </c>
      <c r="B42" s="224">
        <f>SUM(B39:B41)</f>
        <v>106720</v>
      </c>
      <c r="C42" s="208"/>
      <c r="D42" s="224">
        <f>SUM(D39:D41)</f>
        <v>106461</v>
      </c>
    </row>
    <row r="43" spans="1:4" x14ac:dyDescent="0.2">
      <c r="A43" s="211" t="s">
        <v>48</v>
      </c>
      <c r="B43" s="215"/>
      <c r="C43" s="254"/>
      <c r="D43" s="215"/>
    </row>
    <row r="44" spans="1:4" x14ac:dyDescent="0.2">
      <c r="A44" s="209" t="s">
        <v>82</v>
      </c>
      <c r="B44" s="210">
        <f>'ОСВ 2021'!H59+'ОСВ 2021'!H67</f>
        <v>87675</v>
      </c>
      <c r="C44" s="208"/>
      <c r="D44" s="222">
        <v>80593</v>
      </c>
    </row>
    <row r="45" spans="1:4" x14ac:dyDescent="0.2">
      <c r="A45" s="209" t="s">
        <v>93</v>
      </c>
      <c r="B45" s="210">
        <f>'ОСВ 2021'!I59+'ОСВ 2021'!I67</f>
        <v>1784</v>
      </c>
      <c r="C45" s="208"/>
      <c r="D45" s="222">
        <v>7082</v>
      </c>
    </row>
    <row r="46" spans="1:4" ht="13.5" thickBot="1" x14ac:dyDescent="0.25">
      <c r="A46" s="209" t="s">
        <v>92</v>
      </c>
      <c r="B46" s="222">
        <v>0</v>
      </c>
      <c r="C46" s="208"/>
      <c r="D46" s="222">
        <v>0</v>
      </c>
    </row>
    <row r="47" spans="1:4" ht="13.5" thickBot="1" x14ac:dyDescent="0.25">
      <c r="A47" s="209" t="s">
        <v>84</v>
      </c>
      <c r="B47" s="224">
        <f>SUM(B44:B46)</f>
        <v>89459</v>
      </c>
      <c r="C47" s="208"/>
      <c r="D47" s="224">
        <f>SUM(D44:D46)</f>
        <v>87675</v>
      </c>
    </row>
    <row r="48" spans="1:4" x14ac:dyDescent="0.2">
      <c r="A48" s="211" t="s">
        <v>94</v>
      </c>
      <c r="B48" s="215"/>
      <c r="C48" s="254"/>
      <c r="D48" s="215"/>
    </row>
    <row r="49" spans="1:4" ht="13.5" thickBot="1" x14ac:dyDescent="0.25">
      <c r="A49" s="209" t="s">
        <v>63</v>
      </c>
      <c r="B49" s="225">
        <f>B42-B47</f>
        <v>17261</v>
      </c>
      <c r="C49" s="208"/>
      <c r="D49" s="225">
        <f>D42-D47</f>
        <v>18786</v>
      </c>
    </row>
    <row r="50" spans="1:4" ht="39" thickTop="1" x14ac:dyDescent="0.2">
      <c r="A50" s="217" t="s">
        <v>95</v>
      </c>
      <c r="B50" s="267">
        <f>B49-Баланс!C14</f>
        <v>0</v>
      </c>
      <c r="C50" s="261"/>
      <c r="D50" s="267">
        <f>D49-Баланс!E14</f>
        <v>0</v>
      </c>
    </row>
    <row r="51" spans="1:4" x14ac:dyDescent="0.2">
      <c r="A51" s="217"/>
      <c r="C51" s="261"/>
    </row>
    <row r="52" spans="1:4" x14ac:dyDescent="0.2">
      <c r="A52" s="253" t="s">
        <v>454</v>
      </c>
      <c r="C52" s="190"/>
    </row>
    <row r="53" spans="1:4" ht="13.5" thickBot="1" x14ac:dyDescent="0.25">
      <c r="A53" s="209" t="s">
        <v>47</v>
      </c>
      <c r="B53" s="259" t="s">
        <v>18</v>
      </c>
      <c r="C53" s="208"/>
      <c r="D53" s="259">
        <v>2020</v>
      </c>
    </row>
    <row r="54" spans="1:4" x14ac:dyDescent="0.2">
      <c r="A54" s="209" t="s">
        <v>96</v>
      </c>
      <c r="B54" s="210">
        <f>'ОСВ 2021'!J84+3</f>
        <v>15107</v>
      </c>
      <c r="C54" s="208"/>
      <c r="D54" s="222">
        <v>23123</v>
      </c>
    </row>
    <row r="55" spans="1:4" x14ac:dyDescent="0.2">
      <c r="A55" s="209" t="s">
        <v>97</v>
      </c>
      <c r="B55" s="210">
        <f>'ОСВ 2021'!J96</f>
        <v>10614</v>
      </c>
      <c r="C55" s="208"/>
      <c r="D55" s="222">
        <v>11650</v>
      </c>
    </row>
    <row r="56" spans="1:4" x14ac:dyDescent="0.2">
      <c r="A56" s="209" t="s">
        <v>98</v>
      </c>
      <c r="B56" s="210">
        <f>'ОСВ 2021'!J88</f>
        <v>3722</v>
      </c>
      <c r="C56" s="208"/>
      <c r="D56" s="222">
        <v>7974</v>
      </c>
    </row>
    <row r="57" spans="1:4" ht="13.5" thickBot="1" x14ac:dyDescent="0.25">
      <c r="A57" s="209" t="s">
        <v>99</v>
      </c>
      <c r="B57" s="210">
        <f>'ОСВ 2021'!J86+'ОСВ 2021'!J97+1</f>
        <v>135</v>
      </c>
      <c r="C57" s="208"/>
      <c r="D57" s="222">
        <v>101</v>
      </c>
    </row>
    <row r="58" spans="1:4" ht="13.5" thickBot="1" x14ac:dyDescent="0.25">
      <c r="A58" s="211"/>
      <c r="B58" s="214">
        <f>SUM(B54:B57)</f>
        <v>29578</v>
      </c>
      <c r="C58" s="254"/>
      <c r="D58" s="223">
        <f>SUM(D54:D57)</f>
        <v>42848</v>
      </c>
    </row>
    <row r="59" spans="1:4" ht="13.5" thickTop="1" x14ac:dyDescent="0.2">
      <c r="A59" s="217"/>
      <c r="B59" s="267">
        <f>B58-Баланс!C19</f>
        <v>0</v>
      </c>
      <c r="C59" s="261"/>
      <c r="D59" s="267">
        <f>D58-Баланс!E19</f>
        <v>0</v>
      </c>
    </row>
    <row r="60" spans="1:4" x14ac:dyDescent="0.2">
      <c r="A60" s="253"/>
      <c r="C60" s="190"/>
    </row>
    <row r="61" spans="1:4" x14ac:dyDescent="0.2">
      <c r="A61" s="253" t="s">
        <v>455</v>
      </c>
      <c r="C61" s="190"/>
    </row>
    <row r="62" spans="1:4" ht="13.5" thickBot="1" x14ac:dyDescent="0.25">
      <c r="A62" s="209" t="s">
        <v>47</v>
      </c>
      <c r="B62" s="259" t="s">
        <v>18</v>
      </c>
      <c r="C62" s="208"/>
      <c r="D62" s="259">
        <v>2020</v>
      </c>
    </row>
    <row r="63" spans="1:4" x14ac:dyDescent="0.2">
      <c r="A63" s="209" t="s">
        <v>100</v>
      </c>
      <c r="B63" s="222">
        <f>'ОСВ 2021'!H73</f>
        <v>2473</v>
      </c>
      <c r="C63" s="208"/>
      <c r="D63" s="222">
        <v>2287</v>
      </c>
    </row>
    <row r="64" spans="1:4" x14ac:dyDescent="0.2">
      <c r="A64" s="209" t="s">
        <v>101</v>
      </c>
      <c r="B64" s="222">
        <f>'ОСВ 2021'!H82</f>
        <v>2221</v>
      </c>
      <c r="C64" s="208"/>
      <c r="D64" s="222">
        <v>2164</v>
      </c>
    </row>
    <row r="65" spans="1:4" x14ac:dyDescent="0.2">
      <c r="A65" s="209" t="s">
        <v>102</v>
      </c>
      <c r="B65" s="222">
        <f>'ОСВ 2021'!H75</f>
        <v>2156</v>
      </c>
      <c r="C65" s="208"/>
      <c r="D65" s="222">
        <v>1989</v>
      </c>
    </row>
    <row r="66" spans="1:4" x14ac:dyDescent="0.2">
      <c r="A66" s="209" t="s">
        <v>103</v>
      </c>
      <c r="B66" s="222">
        <f>'ОСВ 2021'!H71</f>
        <v>2</v>
      </c>
      <c r="C66" s="208"/>
      <c r="D66" s="222">
        <v>1009</v>
      </c>
    </row>
    <row r="67" spans="1:4" x14ac:dyDescent="0.2">
      <c r="A67" s="209" t="s">
        <v>104</v>
      </c>
      <c r="B67" s="222">
        <v>0</v>
      </c>
      <c r="C67" s="208"/>
      <c r="D67" s="222">
        <v>476</v>
      </c>
    </row>
    <row r="68" spans="1:4" ht="13.5" thickBot="1" x14ac:dyDescent="0.25">
      <c r="A68" s="209" t="s">
        <v>105</v>
      </c>
      <c r="B68" s="222">
        <f>'ОСВ 2021'!H78</f>
        <v>851</v>
      </c>
      <c r="C68" s="208"/>
      <c r="D68" s="222">
        <v>705</v>
      </c>
    </row>
    <row r="69" spans="1:4" ht="13.5" thickBot="1" x14ac:dyDescent="0.25">
      <c r="A69" s="211"/>
      <c r="B69" s="223">
        <f>SUM(B63:B68)</f>
        <v>7703</v>
      </c>
      <c r="C69" s="254"/>
      <c r="D69" s="223">
        <f>SUM(D63:D68)</f>
        <v>8630</v>
      </c>
    </row>
    <row r="70" spans="1:4" ht="13.5" thickTop="1" x14ac:dyDescent="0.2">
      <c r="B70" s="267">
        <f>B69-Баланс!C20</f>
        <v>0</v>
      </c>
      <c r="D70" s="267">
        <f>D69-Баланс!E20</f>
        <v>0</v>
      </c>
    </row>
    <row r="72" spans="1:4" x14ac:dyDescent="0.2">
      <c r="A72" s="269" t="s">
        <v>109</v>
      </c>
      <c r="B72" s="270"/>
      <c r="C72" s="270"/>
    </row>
    <row r="73" spans="1:4" ht="30" customHeight="1" x14ac:dyDescent="0.2">
      <c r="A73" s="754" t="s">
        <v>110</v>
      </c>
      <c r="B73" s="754"/>
      <c r="C73" s="754"/>
      <c r="D73" s="754"/>
    </row>
    <row r="74" spans="1:4" ht="13.5" thickBot="1" x14ac:dyDescent="0.25">
      <c r="A74" s="271" t="s">
        <v>0</v>
      </c>
      <c r="B74" s="293" t="str">
        <f>B62</f>
        <v>на 01.04.2021</v>
      </c>
      <c r="C74" s="294"/>
      <c r="D74" s="293">
        <v>2020</v>
      </c>
    </row>
    <row r="75" spans="1:4" x14ac:dyDescent="0.2">
      <c r="A75" s="271" t="s">
        <v>111</v>
      </c>
      <c r="B75" s="295">
        <f>Баланс!C16</f>
        <v>655685</v>
      </c>
      <c r="C75" s="294"/>
      <c r="D75" s="295">
        <f>Баланс!E16</f>
        <v>658001</v>
      </c>
    </row>
    <row r="76" spans="1:4" x14ac:dyDescent="0.2">
      <c r="A76" s="271" t="s">
        <v>36</v>
      </c>
      <c r="B76" s="296">
        <f>-Баланс!C21</f>
        <v>-37281</v>
      </c>
      <c r="C76" s="294"/>
      <c r="D76" s="296">
        <f>-Баланс!E21</f>
        <v>-51478</v>
      </c>
    </row>
    <row r="77" spans="1:4" ht="13.5" thickBot="1" x14ac:dyDescent="0.25">
      <c r="A77" s="271" t="s">
        <v>112</v>
      </c>
      <c r="B77" s="297">
        <f>-'ОСВ 2021'!I63</f>
        <v>-3835</v>
      </c>
      <c r="C77" s="294"/>
      <c r="D77" s="297">
        <f>-4004</f>
        <v>-4004</v>
      </c>
    </row>
    <row r="78" spans="1:4" x14ac:dyDescent="0.2">
      <c r="A78" s="271" t="s">
        <v>113</v>
      </c>
      <c r="B78" s="298">
        <f>B75+B76+B77</f>
        <v>614569</v>
      </c>
      <c r="C78" s="298">
        <f>C75+C76+C77</f>
        <v>0</v>
      </c>
      <c r="D78" s="298">
        <f>D75+D76+D77</f>
        <v>602519</v>
      </c>
    </row>
    <row r="79" spans="1:4" ht="13.5" thickBot="1" x14ac:dyDescent="0.25">
      <c r="A79" s="271" t="s">
        <v>108</v>
      </c>
      <c r="B79" s="299">
        <f>'расчет к ОПиУ'!I76</f>
        <v>1807123</v>
      </c>
      <c r="C79" s="294"/>
      <c r="D79" s="295">
        <v>1657337</v>
      </c>
    </row>
    <row r="80" spans="1:4" ht="13.5" thickBot="1" x14ac:dyDescent="0.25">
      <c r="A80" s="274" t="s">
        <v>44</v>
      </c>
      <c r="B80" s="300">
        <f>B78/B79*1000</f>
        <v>340.08144437318322</v>
      </c>
      <c r="C80" s="301" t="e">
        <f>C78/C79*1000</f>
        <v>#DIV/0!</v>
      </c>
      <c r="D80" s="300">
        <f>D78/D79*1000</f>
        <v>363.54646037589214</v>
      </c>
    </row>
    <row r="81" spans="2:4" ht="13.5" thickTop="1" x14ac:dyDescent="0.2">
      <c r="B81" s="273"/>
      <c r="C81" s="272"/>
      <c r="D81" s="272"/>
    </row>
    <row r="82" spans="2:4" x14ac:dyDescent="0.2">
      <c r="D82" s="268"/>
    </row>
    <row r="83" spans="2:4" x14ac:dyDescent="0.2">
      <c r="D83" s="268"/>
    </row>
    <row r="84" spans="2:4" x14ac:dyDescent="0.2">
      <c r="D84" s="268"/>
    </row>
    <row r="85" spans="2:4" x14ac:dyDescent="0.2">
      <c r="D85" s="268"/>
    </row>
  </sheetData>
  <mergeCells count="2">
    <mergeCell ref="A6:D6"/>
    <mergeCell ref="A73:D73"/>
  </mergeCells>
  <pageMargins left="0.7" right="0.7" top="0.75" bottom="0.75" header="0.3" footer="0.3"/>
  <pageSetup paperSize="9" scale="5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0299-3D80-4B6F-AB99-947F551E4C90}">
  <dimension ref="A1:M36"/>
  <sheetViews>
    <sheetView view="pageBreakPreview" zoomScaleNormal="100" zoomScaleSheetLayoutView="100" workbookViewId="0">
      <selection activeCell="A10" sqref="A10:F25"/>
    </sheetView>
  </sheetViews>
  <sheetFormatPr defaultRowHeight="15" x14ac:dyDescent="0.25"/>
  <cols>
    <col min="1" max="1" width="31.85546875" customWidth="1"/>
    <col min="2" max="6" width="14.7109375" customWidth="1"/>
    <col min="8" max="8" width="48.42578125" customWidth="1"/>
    <col min="9" max="9" width="10.5703125" bestFit="1" customWidth="1"/>
    <col min="10" max="10" width="10.5703125" customWidth="1"/>
    <col min="11" max="11" width="13.85546875" style="61" bestFit="1" customWidth="1"/>
  </cols>
  <sheetData>
    <row r="1" spans="1:13" x14ac:dyDescent="0.25">
      <c r="A1" s="8" t="s">
        <v>120</v>
      </c>
      <c r="H1" s="135" t="s">
        <v>322</v>
      </c>
      <c r="I1" s="136">
        <v>259952.34</v>
      </c>
      <c r="J1" s="31">
        <f>ROUND(I1/1000,0)</f>
        <v>260</v>
      </c>
      <c r="K1" s="61">
        <v>127082</v>
      </c>
      <c r="L1" s="31">
        <v>1355</v>
      </c>
      <c r="M1" s="61">
        <v>611081</v>
      </c>
    </row>
    <row r="2" spans="1:13" ht="24" x14ac:dyDescent="0.25">
      <c r="A2" s="5" t="s">
        <v>114</v>
      </c>
      <c r="H2" s="135" t="s">
        <v>323</v>
      </c>
      <c r="I2" s="136">
        <v>75000</v>
      </c>
      <c r="J2" s="31">
        <f>ROUND(I2/1000,0)</f>
        <v>75</v>
      </c>
      <c r="K2" s="61">
        <v>127082</v>
      </c>
      <c r="L2" s="31">
        <v>155</v>
      </c>
      <c r="M2" s="61">
        <v>611081</v>
      </c>
    </row>
    <row r="3" spans="1:13" x14ac:dyDescent="0.25">
      <c r="A3" s="12" t="s">
        <v>115</v>
      </c>
      <c r="H3" s="135" t="s">
        <v>324</v>
      </c>
      <c r="I3" s="136">
        <v>8263.99</v>
      </c>
      <c r="J3" s="31">
        <f>ROUND(I3/1000,0)</f>
        <v>8</v>
      </c>
      <c r="K3" s="61">
        <v>1210</v>
      </c>
    </row>
    <row r="4" spans="1:13" x14ac:dyDescent="0.25">
      <c r="A4" s="12" t="s">
        <v>116</v>
      </c>
      <c r="H4" s="135" t="s">
        <v>323</v>
      </c>
      <c r="I4" s="136">
        <v>97078.52</v>
      </c>
      <c r="J4" s="31">
        <f>ROUND(I4/1000,0)</f>
        <v>97</v>
      </c>
      <c r="K4" s="61">
        <v>1210</v>
      </c>
    </row>
    <row r="5" spans="1:13" x14ac:dyDescent="0.25">
      <c r="A5" s="12" t="s">
        <v>117</v>
      </c>
      <c r="H5" s="135" t="s">
        <v>322</v>
      </c>
      <c r="I5" s="136">
        <v>187520.17</v>
      </c>
      <c r="J5" s="31">
        <f>ROUND(I5/1000,0)</f>
        <v>188</v>
      </c>
      <c r="K5" s="61">
        <v>1210</v>
      </c>
    </row>
    <row r="6" spans="1:13" x14ac:dyDescent="0.25">
      <c r="A6" s="12" t="s">
        <v>118</v>
      </c>
      <c r="I6" s="43">
        <f>SUM(I1:I5)</f>
        <v>627815.02</v>
      </c>
      <c r="J6" s="34">
        <f>SUM(J1:J5)</f>
        <v>628</v>
      </c>
      <c r="K6" s="33"/>
    </row>
    <row r="7" spans="1:13" x14ac:dyDescent="0.25">
      <c r="A7" s="11" t="s">
        <v>76</v>
      </c>
      <c r="B7" s="11" t="s">
        <v>119</v>
      </c>
    </row>
    <row r="8" spans="1:13" ht="32.25" customHeight="1" x14ac:dyDescent="0.25">
      <c r="A8" s="755" t="s">
        <v>332</v>
      </c>
      <c r="B8" s="755"/>
      <c r="C8" s="755"/>
      <c r="D8" s="755"/>
      <c r="E8" s="755"/>
      <c r="F8" s="755"/>
      <c r="H8" s="135" t="s">
        <v>323</v>
      </c>
      <c r="L8" s="31">
        <v>6402</v>
      </c>
      <c r="M8" s="61">
        <v>7450</v>
      </c>
    </row>
    <row r="9" spans="1:13" x14ac:dyDescent="0.25">
      <c r="A9" s="11" t="s">
        <v>77</v>
      </c>
      <c r="B9" s="11" t="s">
        <v>120</v>
      </c>
    </row>
    <row r="10" spans="1:13" x14ac:dyDescent="0.25">
      <c r="A10" s="756" t="s">
        <v>47</v>
      </c>
      <c r="B10" s="757" t="s">
        <v>121</v>
      </c>
      <c r="C10" s="757" t="s">
        <v>122</v>
      </c>
      <c r="D10" s="757" t="s">
        <v>123</v>
      </c>
      <c r="E10" s="2" t="s">
        <v>124</v>
      </c>
      <c r="F10" s="757" t="s">
        <v>57</v>
      </c>
      <c r="I10" s="142">
        <v>44286</v>
      </c>
      <c r="J10" s="142">
        <v>43921</v>
      </c>
    </row>
    <row r="11" spans="1:13" ht="23.25" thickBot="1" x14ac:dyDescent="0.3">
      <c r="A11" s="756"/>
      <c r="B11" s="758"/>
      <c r="C11" s="758"/>
      <c r="D11" s="758"/>
      <c r="E11" s="7" t="s">
        <v>125</v>
      </c>
      <c r="F11" s="758"/>
      <c r="H11" s="4" t="s">
        <v>325</v>
      </c>
      <c r="I11" s="31">
        <v>2905</v>
      </c>
      <c r="J11" s="31">
        <v>2905</v>
      </c>
    </row>
    <row r="12" spans="1:13" x14ac:dyDescent="0.25">
      <c r="A12" s="277">
        <v>44286</v>
      </c>
      <c r="B12" s="2"/>
      <c r="C12" s="2"/>
      <c r="D12" s="2"/>
      <c r="E12" s="2"/>
      <c r="F12" s="2"/>
      <c r="H12" s="4"/>
      <c r="I12" s="31"/>
      <c r="J12" s="31"/>
    </row>
    <row r="13" spans="1:13" x14ac:dyDescent="0.25">
      <c r="A13" s="3" t="s">
        <v>126</v>
      </c>
      <c r="B13" s="6" t="s">
        <v>50</v>
      </c>
      <c r="C13" s="6" t="s">
        <v>50</v>
      </c>
      <c r="D13" s="2">
        <v>500</v>
      </c>
      <c r="E13" s="6" t="s">
        <v>50</v>
      </c>
      <c r="F13" s="2">
        <f>SUM(B13:E13)</f>
        <v>500</v>
      </c>
      <c r="H13" s="4" t="s">
        <v>326</v>
      </c>
      <c r="I13" s="31">
        <v>14696</v>
      </c>
      <c r="J13" s="31">
        <v>9992</v>
      </c>
    </row>
    <row r="14" spans="1:13" x14ac:dyDescent="0.25">
      <c r="A14" s="3" t="s">
        <v>79</v>
      </c>
      <c r="B14" s="275" t="s">
        <v>50</v>
      </c>
      <c r="C14" s="276">
        <f>J2+J4</f>
        <v>172</v>
      </c>
      <c r="D14" s="275" t="s">
        <v>50</v>
      </c>
      <c r="E14" s="275">
        <f>J1+J3+J5</f>
        <v>456</v>
      </c>
      <c r="F14" s="275">
        <f>SUM(B14:E14)</f>
        <v>628</v>
      </c>
      <c r="H14" s="141" t="s">
        <v>327</v>
      </c>
      <c r="I14" s="31">
        <v>2976</v>
      </c>
      <c r="J14" s="31">
        <v>2963</v>
      </c>
    </row>
    <row r="15" spans="1:13" ht="24.75" thickBot="1" x14ac:dyDescent="0.3">
      <c r="A15" s="3" t="s">
        <v>128</v>
      </c>
      <c r="B15" s="138" t="s">
        <v>50</v>
      </c>
      <c r="C15" s="138" t="s">
        <v>50</v>
      </c>
      <c r="D15" s="138" t="s">
        <v>50</v>
      </c>
      <c r="E15" s="138" t="s">
        <v>50</v>
      </c>
      <c r="F15" s="138" t="s">
        <v>50</v>
      </c>
      <c r="H15" s="141" t="s">
        <v>331</v>
      </c>
      <c r="I15" s="31">
        <v>2905</v>
      </c>
      <c r="J15" s="31">
        <v>2905</v>
      </c>
    </row>
    <row r="16" spans="1:13" x14ac:dyDescent="0.25">
      <c r="A16" s="3" t="s">
        <v>129</v>
      </c>
      <c r="B16" s="6" t="s">
        <v>50</v>
      </c>
      <c r="C16" s="137">
        <f>L2</f>
        <v>155</v>
      </c>
      <c r="D16" s="6" t="s">
        <v>50</v>
      </c>
      <c r="E16" s="137">
        <f>L1</f>
        <v>1355</v>
      </c>
      <c r="F16" s="140">
        <f>SUM(B16:E16)</f>
        <v>1510</v>
      </c>
      <c r="H16" s="141" t="s">
        <v>328</v>
      </c>
      <c r="I16" s="31">
        <v>2605.1999999999998</v>
      </c>
      <c r="J16" s="31">
        <v>2659</v>
      </c>
    </row>
    <row r="17" spans="1:12" x14ac:dyDescent="0.25">
      <c r="A17" s="3" t="s">
        <v>130</v>
      </c>
      <c r="B17" s="6" t="s">
        <v>50</v>
      </c>
      <c r="C17" s="137">
        <f>L8</f>
        <v>6402</v>
      </c>
      <c r="D17" s="6" t="s">
        <v>50</v>
      </c>
      <c r="E17" s="6" t="s">
        <v>50</v>
      </c>
      <c r="F17" s="140">
        <f>SUM(B17:E17)</f>
        <v>6402</v>
      </c>
      <c r="H17" s="141" t="s">
        <v>329</v>
      </c>
      <c r="I17" s="31">
        <v>3716</v>
      </c>
      <c r="J17" s="31">
        <v>6493</v>
      </c>
    </row>
    <row r="18" spans="1:12" x14ac:dyDescent="0.25">
      <c r="A18" s="1"/>
      <c r="B18" s="2"/>
      <c r="C18" s="2"/>
      <c r="D18" s="2"/>
      <c r="E18" s="2"/>
      <c r="F18" s="2"/>
      <c r="H18" s="141" t="s">
        <v>330</v>
      </c>
      <c r="I18" s="31">
        <v>3724</v>
      </c>
      <c r="J18" s="31">
        <v>4071</v>
      </c>
    </row>
    <row r="19" spans="1:12" x14ac:dyDescent="0.25">
      <c r="A19" s="279" t="s">
        <v>459</v>
      </c>
      <c r="B19" s="6"/>
      <c r="C19" s="6"/>
      <c r="D19" s="6"/>
      <c r="E19" s="6"/>
      <c r="F19" s="6"/>
      <c r="I19" s="34">
        <f>SUM(I11:I18)</f>
        <v>33527.199999999997</v>
      </c>
      <c r="J19" s="34">
        <f>SUM(J11:J18)</f>
        <v>31988</v>
      </c>
    </row>
    <row r="20" spans="1:12" x14ac:dyDescent="0.25">
      <c r="A20" s="3" t="s">
        <v>126</v>
      </c>
      <c r="B20" s="6" t="s">
        <v>50</v>
      </c>
      <c r="C20" s="6" t="s">
        <v>50</v>
      </c>
      <c r="D20" s="6">
        <v>500</v>
      </c>
      <c r="E20" s="6" t="s">
        <v>50</v>
      </c>
      <c r="F20" s="6">
        <f>SUM(B20:E20)</f>
        <v>500</v>
      </c>
    </row>
    <row r="21" spans="1:12" x14ac:dyDescent="0.25">
      <c r="A21" s="3" t="s">
        <v>79</v>
      </c>
      <c r="B21" s="280">
        <v>39</v>
      </c>
      <c r="C21" s="280">
        <v>218</v>
      </c>
      <c r="D21" s="280" t="s">
        <v>127</v>
      </c>
      <c r="E21" s="280">
        <v>280</v>
      </c>
      <c r="F21" s="280">
        <f>SUM(B21:E21)</f>
        <v>537</v>
      </c>
    </row>
    <row r="22" spans="1:12" ht="24.75" thickBot="1" x14ac:dyDescent="0.3">
      <c r="A22" s="3" t="s">
        <v>128</v>
      </c>
      <c r="B22" s="138" t="s">
        <v>12</v>
      </c>
      <c r="C22" s="138" t="s">
        <v>50</v>
      </c>
      <c r="D22" s="138" t="s">
        <v>127</v>
      </c>
      <c r="E22" s="138" t="s">
        <v>50</v>
      </c>
      <c r="F22" s="138" t="s">
        <v>50</v>
      </c>
    </row>
    <row r="23" spans="1:12" x14ac:dyDescent="0.25">
      <c r="A23" s="277">
        <v>43921</v>
      </c>
      <c r="B23" s="275"/>
      <c r="C23" s="275"/>
      <c r="D23" s="275"/>
      <c r="E23" s="275"/>
      <c r="F23" s="275"/>
    </row>
    <row r="24" spans="1:12" x14ac:dyDescent="0.25">
      <c r="A24" s="3" t="s">
        <v>129</v>
      </c>
      <c r="B24" s="6">
        <f>L31+L32</f>
        <v>79</v>
      </c>
      <c r="C24" s="6"/>
      <c r="D24" s="6" t="s">
        <v>127</v>
      </c>
      <c r="E24" s="6">
        <f>L26+L30</f>
        <v>60</v>
      </c>
      <c r="F24" s="6">
        <f>SUM(B24:E24)</f>
        <v>139</v>
      </c>
      <c r="J24" t="s">
        <v>457</v>
      </c>
      <c r="L24" t="s">
        <v>458</v>
      </c>
    </row>
    <row r="25" spans="1:12" ht="15.75" thickBot="1" x14ac:dyDescent="0.3">
      <c r="A25" s="3" t="s">
        <v>130</v>
      </c>
      <c r="B25" s="139" t="s">
        <v>12</v>
      </c>
      <c r="C25" s="139">
        <f>L36</f>
        <v>14696</v>
      </c>
      <c r="D25" s="139" t="s">
        <v>127</v>
      </c>
      <c r="E25" s="139" t="s">
        <v>12</v>
      </c>
      <c r="F25" s="139">
        <f>SUM(B25:E25)</f>
        <v>14696</v>
      </c>
      <c r="H25">
        <v>2020</v>
      </c>
    </row>
    <row r="26" spans="1:12" ht="34.5" customHeight="1" x14ac:dyDescent="0.25">
      <c r="A26" s="755" t="s">
        <v>131</v>
      </c>
      <c r="B26" s="755"/>
      <c r="C26" s="755"/>
      <c r="D26" s="755"/>
      <c r="E26" s="755"/>
      <c r="F26" s="755"/>
      <c r="H26" s="135" t="s">
        <v>322</v>
      </c>
      <c r="L26">
        <v>45</v>
      </c>
    </row>
    <row r="27" spans="1:12" x14ac:dyDescent="0.25">
      <c r="H27" s="135" t="s">
        <v>323</v>
      </c>
    </row>
    <row r="28" spans="1:12" x14ac:dyDescent="0.25">
      <c r="H28" s="135" t="s">
        <v>324</v>
      </c>
    </row>
    <row r="29" spans="1:12" x14ac:dyDescent="0.25">
      <c r="H29" s="135" t="s">
        <v>323</v>
      </c>
    </row>
    <row r="30" spans="1:12" x14ac:dyDescent="0.25">
      <c r="H30" s="135" t="s">
        <v>322</v>
      </c>
      <c r="L30">
        <v>15</v>
      </c>
    </row>
    <row r="31" spans="1:12" x14ac:dyDescent="0.25">
      <c r="H31" s="135" t="s">
        <v>326</v>
      </c>
      <c r="J31">
        <v>10</v>
      </c>
      <c r="L31">
        <v>10</v>
      </c>
    </row>
    <row r="32" spans="1:12" x14ac:dyDescent="0.25">
      <c r="H32" s="135" t="s">
        <v>329</v>
      </c>
      <c r="J32">
        <v>69</v>
      </c>
      <c r="L32">
        <v>69</v>
      </c>
    </row>
    <row r="34" spans="8:12" x14ac:dyDescent="0.25">
      <c r="L34" t="s">
        <v>456</v>
      </c>
    </row>
    <row r="36" spans="8:12" x14ac:dyDescent="0.25">
      <c r="H36" s="135" t="s">
        <v>324</v>
      </c>
      <c r="L36">
        <v>14696</v>
      </c>
    </row>
  </sheetData>
  <mergeCells count="7">
    <mergeCell ref="A26:F26"/>
    <mergeCell ref="A8:F8"/>
    <mergeCell ref="A10:A11"/>
    <mergeCell ref="B10:B11"/>
    <mergeCell ref="C10:C11"/>
    <mergeCell ref="D10:D11"/>
    <mergeCell ref="F10:F11"/>
  </mergeCells>
  <pageMargins left="0.7" right="0.7" top="0.75" bottom="0.75" header="0.3" footer="0.3"/>
  <pageSetup paperSize="9"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BF57-CF1E-4C8A-92E0-D59C666871A4}">
  <dimension ref="A1:O68"/>
  <sheetViews>
    <sheetView view="pageBreakPreview" topLeftCell="B1" zoomScale="93" zoomScaleNormal="100" zoomScaleSheetLayoutView="93" workbookViewId="0">
      <selection activeCell="F80" sqref="F80"/>
    </sheetView>
  </sheetViews>
  <sheetFormatPr defaultRowHeight="15" x14ac:dyDescent="0.25"/>
  <cols>
    <col min="1" max="1" width="32.42578125" customWidth="1"/>
    <col min="2" max="2" width="13.5703125" bestFit="1" customWidth="1"/>
    <col min="6" max="6" width="59.28515625" customWidth="1"/>
    <col min="7" max="7" width="10" customWidth="1"/>
    <col min="8" max="8" width="1" customWidth="1"/>
    <col min="9" max="9" width="42.140625" style="61" customWidth="1"/>
    <col min="10" max="10" width="12.5703125" style="61" customWidth="1"/>
    <col min="11" max="11" width="9.140625" style="61"/>
    <col min="14" max="14" width="40" customWidth="1"/>
    <col min="15" max="15" width="13.85546875" customWidth="1"/>
  </cols>
  <sheetData>
    <row r="1" spans="1:15" ht="22.5" x14ac:dyDescent="0.25">
      <c r="A1" s="72" t="s">
        <v>204</v>
      </c>
      <c r="B1" s="73">
        <v>356250</v>
      </c>
      <c r="C1" s="31">
        <f t="shared" ref="C1:C32" si="0">ROUND(B1/1000,0)</f>
        <v>356</v>
      </c>
      <c r="I1" s="97" t="s">
        <v>204</v>
      </c>
      <c r="J1" s="98">
        <v>356250</v>
      </c>
      <c r="K1" s="31">
        <f t="shared" ref="K1:K53" si="1">ROUND(J1/1000,0)</f>
        <v>356</v>
      </c>
    </row>
    <row r="2" spans="1:15" ht="22.5" x14ac:dyDescent="0.25">
      <c r="A2" s="93" t="s">
        <v>203</v>
      </c>
      <c r="B2" s="94">
        <v>33270.959999999999</v>
      </c>
      <c r="C2" s="95">
        <f t="shared" si="0"/>
        <v>33</v>
      </c>
      <c r="I2" s="106" t="s">
        <v>203</v>
      </c>
      <c r="J2" s="107">
        <v>33270.959999999999</v>
      </c>
      <c r="K2" s="38">
        <f t="shared" si="1"/>
        <v>33</v>
      </c>
    </row>
    <row r="3" spans="1:15" x14ac:dyDescent="0.25">
      <c r="A3" s="92" t="s">
        <v>202</v>
      </c>
      <c r="B3" s="91">
        <v>1720183.09</v>
      </c>
      <c r="C3" s="48">
        <f t="shared" si="0"/>
        <v>1720</v>
      </c>
      <c r="I3" s="100" t="s">
        <v>202</v>
      </c>
      <c r="J3" s="101">
        <v>1783769.93</v>
      </c>
      <c r="K3" s="59">
        <f t="shared" si="1"/>
        <v>1784</v>
      </c>
    </row>
    <row r="4" spans="1:15" x14ac:dyDescent="0.25">
      <c r="A4" s="80" t="s">
        <v>201</v>
      </c>
      <c r="B4" s="79">
        <v>14857500</v>
      </c>
      <c r="C4" s="78">
        <f t="shared" si="0"/>
        <v>14858</v>
      </c>
      <c r="I4" s="106" t="s">
        <v>201</v>
      </c>
      <c r="J4" s="107">
        <v>162000</v>
      </c>
      <c r="K4" s="38">
        <f t="shared" si="1"/>
        <v>162</v>
      </c>
    </row>
    <row r="5" spans="1:15" x14ac:dyDescent="0.25">
      <c r="A5" s="72" t="s">
        <v>200</v>
      </c>
      <c r="B5" s="73">
        <v>20625</v>
      </c>
      <c r="C5" s="31">
        <f t="shared" si="0"/>
        <v>21</v>
      </c>
      <c r="I5" s="97" t="s">
        <v>200</v>
      </c>
      <c r="J5" s="98">
        <v>20625</v>
      </c>
      <c r="K5" s="31">
        <f t="shared" si="1"/>
        <v>21</v>
      </c>
    </row>
    <row r="6" spans="1:15" x14ac:dyDescent="0.25">
      <c r="A6" s="72" t="s">
        <v>199</v>
      </c>
      <c r="B6" s="73">
        <v>133660.71</v>
      </c>
      <c r="C6" s="31">
        <f t="shared" si="0"/>
        <v>134</v>
      </c>
      <c r="I6" s="97" t="s">
        <v>199</v>
      </c>
      <c r="J6" s="98">
        <v>143464.28</v>
      </c>
      <c r="K6" s="31">
        <f t="shared" si="1"/>
        <v>143</v>
      </c>
    </row>
    <row r="7" spans="1:15" x14ac:dyDescent="0.25">
      <c r="A7" s="72" t="s">
        <v>198</v>
      </c>
      <c r="B7" s="73">
        <v>12631.5</v>
      </c>
      <c r="C7" s="31">
        <f t="shared" si="0"/>
        <v>13</v>
      </c>
      <c r="I7" s="97" t="s">
        <v>198</v>
      </c>
      <c r="J7" s="98">
        <v>12631.5</v>
      </c>
      <c r="K7" s="31">
        <f t="shared" si="1"/>
        <v>13</v>
      </c>
    </row>
    <row r="8" spans="1:15" x14ac:dyDescent="0.25">
      <c r="A8" s="72" t="s">
        <v>197</v>
      </c>
      <c r="B8" s="73">
        <v>190178.58</v>
      </c>
      <c r="C8" s="31">
        <f t="shared" si="0"/>
        <v>190</v>
      </c>
      <c r="I8" s="97" t="s">
        <v>197</v>
      </c>
      <c r="J8" s="98">
        <v>190178.58</v>
      </c>
      <c r="K8" s="31">
        <f t="shared" si="1"/>
        <v>190</v>
      </c>
      <c r="N8" s="10" t="str">
        <f>I36</f>
        <v>Расходы на юридические услуги</v>
      </c>
      <c r="O8" s="82">
        <f>K36</f>
        <v>12000</v>
      </c>
    </row>
    <row r="9" spans="1:15" ht="33.75" x14ac:dyDescent="0.25">
      <c r="A9" s="72" t="s">
        <v>196</v>
      </c>
      <c r="B9" s="73">
        <v>24107.13</v>
      </c>
      <c r="C9" s="31">
        <f t="shared" si="0"/>
        <v>24</v>
      </c>
      <c r="F9" s="61" t="str">
        <f>A15</f>
        <v>Комиссия банка</v>
      </c>
      <c r="G9" s="86">
        <f>C15</f>
        <v>2281</v>
      </c>
      <c r="I9" s="97" t="s">
        <v>196</v>
      </c>
      <c r="J9" s="98">
        <v>24107.13</v>
      </c>
      <c r="K9" s="31">
        <f t="shared" si="1"/>
        <v>24</v>
      </c>
      <c r="N9" s="10" t="str">
        <f>I25</f>
        <v>Переводческие услуги</v>
      </c>
      <c r="O9" s="82">
        <f>K25</f>
        <v>232</v>
      </c>
    </row>
    <row r="10" spans="1:15" x14ac:dyDescent="0.25">
      <c r="A10" s="88" t="s">
        <v>195</v>
      </c>
      <c r="B10" s="87">
        <v>167090</v>
      </c>
      <c r="C10" s="86">
        <f t="shared" si="0"/>
        <v>167</v>
      </c>
      <c r="F10" s="61" t="str">
        <f>A22</f>
        <v>Оплата услуг банка</v>
      </c>
      <c r="G10" s="86">
        <f>C22</f>
        <v>152</v>
      </c>
      <c r="I10" s="100" t="s">
        <v>66</v>
      </c>
      <c r="J10" s="101">
        <v>76453670.5</v>
      </c>
      <c r="K10" s="59">
        <f t="shared" si="1"/>
        <v>76454</v>
      </c>
      <c r="N10" s="10" t="str">
        <f>I27</f>
        <v>Подбор кадров</v>
      </c>
      <c r="O10" s="82">
        <f>K27</f>
        <v>13</v>
      </c>
    </row>
    <row r="11" spans="1:15" x14ac:dyDescent="0.25">
      <c r="A11" s="77" t="s">
        <v>66</v>
      </c>
      <c r="B11" s="90">
        <v>77403324.230000004</v>
      </c>
      <c r="C11" s="59">
        <f t="shared" si="0"/>
        <v>77403</v>
      </c>
      <c r="F11" s="61" t="str">
        <f>A23</f>
        <v>Переводческие услуги</v>
      </c>
      <c r="G11" s="86">
        <f>C23</f>
        <v>13</v>
      </c>
      <c r="I11" s="106" t="s">
        <v>194</v>
      </c>
      <c r="J11" s="107">
        <v>552503.57999999996</v>
      </c>
      <c r="K11" s="38">
        <f t="shared" si="1"/>
        <v>553</v>
      </c>
      <c r="N11" s="10" t="str">
        <f>I14</f>
        <v>Комиссия банка</v>
      </c>
      <c r="O11" s="82">
        <f>K14</f>
        <v>13</v>
      </c>
    </row>
    <row r="12" spans="1:15" x14ac:dyDescent="0.25">
      <c r="A12" s="93" t="s">
        <v>194</v>
      </c>
      <c r="B12" s="94">
        <v>552503.55000000005</v>
      </c>
      <c r="C12" s="95">
        <f t="shared" si="0"/>
        <v>553</v>
      </c>
      <c r="F12" s="61" t="str">
        <f>A21</f>
        <v>Нотариальные действия</v>
      </c>
      <c r="G12" s="86">
        <f>C21</f>
        <v>72</v>
      </c>
      <c r="I12" s="108" t="s">
        <v>193</v>
      </c>
      <c r="J12" s="109">
        <v>3000000</v>
      </c>
      <c r="K12" s="110">
        <f t="shared" si="1"/>
        <v>3000</v>
      </c>
      <c r="N12" s="10" t="str">
        <f>I15</f>
        <v xml:space="preserve">Комиссия за регистрацию/перерегистрацию </v>
      </c>
      <c r="O12" s="82">
        <f>K15</f>
        <v>19</v>
      </c>
    </row>
    <row r="13" spans="1:15" x14ac:dyDescent="0.25">
      <c r="A13" s="88" t="s">
        <v>193</v>
      </c>
      <c r="B13" s="87">
        <v>250406.23</v>
      </c>
      <c r="C13" s="86">
        <f t="shared" si="0"/>
        <v>250</v>
      </c>
      <c r="F13" s="61" t="str">
        <f>A10</f>
        <v>Доп.работы (программиста)</v>
      </c>
      <c r="G13" s="86">
        <f>C10</f>
        <v>167</v>
      </c>
      <c r="I13" s="97" t="s">
        <v>192</v>
      </c>
      <c r="J13" s="98">
        <v>181033.89</v>
      </c>
      <c r="K13" s="31">
        <f t="shared" si="1"/>
        <v>181</v>
      </c>
      <c r="N13" s="10" t="str">
        <f>I16</f>
        <v>Курьерские расходы</v>
      </c>
      <c r="O13" s="82">
        <f>K16</f>
        <v>250</v>
      </c>
    </row>
    <row r="14" spans="1:15" x14ac:dyDescent="0.25">
      <c r="A14" s="72" t="s">
        <v>192</v>
      </c>
      <c r="B14" s="73">
        <v>484845.38</v>
      </c>
      <c r="C14" s="31">
        <f t="shared" si="0"/>
        <v>485</v>
      </c>
      <c r="F14" s="61" t="str">
        <f>A25</f>
        <v>Подбор кадров</v>
      </c>
      <c r="G14" s="89">
        <f>C25</f>
        <v>28</v>
      </c>
      <c r="I14" s="100" t="s">
        <v>191</v>
      </c>
      <c r="J14" s="101">
        <v>13265.45</v>
      </c>
      <c r="K14" s="59">
        <f t="shared" si="1"/>
        <v>13</v>
      </c>
      <c r="N14" s="10" t="str">
        <f>I21</f>
        <v>Оплата услуг банка</v>
      </c>
      <c r="O14" s="82">
        <f>K21</f>
        <v>196</v>
      </c>
    </row>
    <row r="15" spans="1:15" x14ac:dyDescent="0.25">
      <c r="A15" s="88" t="s">
        <v>191</v>
      </c>
      <c r="B15" s="87">
        <v>2281060</v>
      </c>
      <c r="C15" s="86">
        <f t="shared" si="0"/>
        <v>2281</v>
      </c>
      <c r="F15" s="61" t="str">
        <f>A17</f>
        <v>Курьерские расходы</v>
      </c>
      <c r="G15" s="86">
        <f>C17</f>
        <v>382</v>
      </c>
      <c r="I15" s="100" t="s">
        <v>190</v>
      </c>
      <c r="J15" s="101">
        <v>18599.11</v>
      </c>
      <c r="K15" s="59">
        <f t="shared" si="1"/>
        <v>19</v>
      </c>
      <c r="N15" s="10" t="str">
        <f>I20</f>
        <v>Нотариальные действия</v>
      </c>
      <c r="O15" s="82">
        <f>K20</f>
        <v>282</v>
      </c>
    </row>
    <row r="16" spans="1:15" ht="33.75" x14ac:dyDescent="0.25">
      <c r="A16" s="72" t="s">
        <v>190</v>
      </c>
      <c r="B16" s="73">
        <v>102358.93</v>
      </c>
      <c r="C16" s="31">
        <f t="shared" si="0"/>
        <v>102</v>
      </c>
      <c r="F16" s="61" t="str">
        <f>A28</f>
        <v>Почтовые расходы</v>
      </c>
      <c r="G16" s="86">
        <f>C28</f>
        <v>21</v>
      </c>
      <c r="I16" s="100" t="s">
        <v>189</v>
      </c>
      <c r="J16" s="101">
        <v>249933.57</v>
      </c>
      <c r="K16" s="59">
        <f t="shared" si="1"/>
        <v>250</v>
      </c>
      <c r="N16" s="10" t="str">
        <f>I32</f>
        <v>Расходы на дизайнерские услуги</v>
      </c>
      <c r="O16" s="82">
        <f>K32</f>
        <v>5</v>
      </c>
    </row>
    <row r="17" spans="1:15" x14ac:dyDescent="0.25">
      <c r="A17" s="88" t="s">
        <v>189</v>
      </c>
      <c r="B17" s="87">
        <v>381850.12</v>
      </c>
      <c r="C17" s="86">
        <f t="shared" si="0"/>
        <v>382</v>
      </c>
      <c r="F17" s="61" t="str">
        <f>A32</f>
        <v>Расходы на дизайнерские услуги</v>
      </c>
      <c r="G17" s="86">
        <f>C32</f>
        <v>159</v>
      </c>
      <c r="I17" s="106" t="s">
        <v>187</v>
      </c>
      <c r="J17" s="107">
        <v>143643.29999999999</v>
      </c>
      <c r="K17" s="38">
        <f t="shared" si="1"/>
        <v>144</v>
      </c>
      <c r="N17" s="10" t="str">
        <f>I44</f>
        <v>Услуги регистратора</v>
      </c>
      <c r="O17" s="82">
        <f>K44</f>
        <v>38</v>
      </c>
    </row>
    <row r="18" spans="1:15" x14ac:dyDescent="0.25">
      <c r="A18" s="72" t="s">
        <v>188</v>
      </c>
      <c r="B18" s="73">
        <v>40416.07</v>
      </c>
      <c r="C18" s="31">
        <f t="shared" si="0"/>
        <v>40</v>
      </c>
      <c r="F18" s="61" t="str">
        <f>A45</f>
        <v xml:space="preserve">Тех поддержка </v>
      </c>
      <c r="G18" s="86">
        <f>C45</f>
        <v>127</v>
      </c>
      <c r="I18" s="97" t="s">
        <v>205</v>
      </c>
      <c r="J18" s="98">
        <v>836980.81</v>
      </c>
      <c r="K18" s="31">
        <f t="shared" si="1"/>
        <v>837</v>
      </c>
      <c r="N18" s="10"/>
      <c r="O18" s="82"/>
    </row>
    <row r="19" spans="1:15" ht="22.5" x14ac:dyDescent="0.25">
      <c r="A19" s="93" t="s">
        <v>187</v>
      </c>
      <c r="B19" s="94">
        <v>105299.31</v>
      </c>
      <c r="C19" s="95">
        <f t="shared" si="0"/>
        <v>105</v>
      </c>
      <c r="F19" s="61" t="str">
        <f>A47</f>
        <v>Услуги по оценке</v>
      </c>
      <c r="G19" s="86">
        <f>C47</f>
        <v>400</v>
      </c>
      <c r="H19" s="61"/>
      <c r="I19" s="97" t="s">
        <v>186</v>
      </c>
      <c r="J19" s="98">
        <v>1849570.7</v>
      </c>
      <c r="K19" s="31">
        <f t="shared" si="1"/>
        <v>1850</v>
      </c>
      <c r="O19" s="81">
        <f>SUM(O8:O18)</f>
        <v>13048</v>
      </c>
    </row>
    <row r="20" spans="1:15" ht="22.5" x14ac:dyDescent="0.25">
      <c r="A20" s="72" t="s">
        <v>186</v>
      </c>
      <c r="B20" s="73">
        <v>4874802.93</v>
      </c>
      <c r="C20" s="31">
        <f t="shared" si="0"/>
        <v>4875</v>
      </c>
      <c r="F20" s="61" t="str">
        <f>A48</f>
        <v>Услуги регистратора</v>
      </c>
      <c r="G20" s="86">
        <f>C48</f>
        <v>100</v>
      </c>
      <c r="H20" s="61"/>
      <c r="I20" s="100" t="s">
        <v>185</v>
      </c>
      <c r="J20" s="101">
        <v>282417</v>
      </c>
      <c r="K20" s="59">
        <f t="shared" si="1"/>
        <v>282</v>
      </c>
    </row>
    <row r="21" spans="1:15" x14ac:dyDescent="0.25">
      <c r="A21" s="88" t="s">
        <v>185</v>
      </c>
      <c r="B21" s="87">
        <v>72221</v>
      </c>
      <c r="C21" s="86">
        <f t="shared" si="0"/>
        <v>72</v>
      </c>
      <c r="G21" s="33"/>
      <c r="I21" s="100" t="s">
        <v>184</v>
      </c>
      <c r="J21" s="101">
        <v>196233.78</v>
      </c>
      <c r="K21" s="59">
        <f t="shared" si="1"/>
        <v>196</v>
      </c>
    </row>
    <row r="22" spans="1:15" x14ac:dyDescent="0.25">
      <c r="A22" s="88" t="s">
        <v>184</v>
      </c>
      <c r="B22" s="87">
        <v>151607.5</v>
      </c>
      <c r="C22" s="86">
        <f t="shared" si="0"/>
        <v>152</v>
      </c>
      <c r="G22" s="33">
        <f>SUM(G9:G21)</f>
        <v>3902</v>
      </c>
      <c r="I22" s="97" t="s">
        <v>206</v>
      </c>
      <c r="J22" s="99">
        <v>60.25</v>
      </c>
      <c r="K22" s="31">
        <f t="shared" si="1"/>
        <v>0</v>
      </c>
      <c r="N22" s="10" t="s">
        <v>66</v>
      </c>
      <c r="O22" s="82">
        <f>K10+K39</f>
        <v>75418</v>
      </c>
    </row>
    <row r="23" spans="1:15" ht="22.5" x14ac:dyDescent="0.25">
      <c r="A23" s="88" t="s">
        <v>183</v>
      </c>
      <c r="B23" s="87">
        <v>13392.4</v>
      </c>
      <c r="C23" s="86">
        <f t="shared" si="0"/>
        <v>13</v>
      </c>
      <c r="I23" s="97" t="s">
        <v>207</v>
      </c>
      <c r="J23" s="99">
        <v>57</v>
      </c>
      <c r="K23" s="31">
        <f t="shared" si="1"/>
        <v>0</v>
      </c>
      <c r="N23" s="10" t="s">
        <v>67</v>
      </c>
      <c r="O23" s="82">
        <f>K35</f>
        <v>10506</v>
      </c>
    </row>
    <row r="24" spans="1:15" x14ac:dyDescent="0.25">
      <c r="A24" s="72" t="s">
        <v>182</v>
      </c>
      <c r="B24" s="73">
        <v>119295</v>
      </c>
      <c r="C24" s="31">
        <f t="shared" si="0"/>
        <v>119</v>
      </c>
      <c r="I24" s="97" t="s">
        <v>208</v>
      </c>
      <c r="J24" s="99">
        <v>63</v>
      </c>
      <c r="K24" s="31">
        <f t="shared" si="1"/>
        <v>0</v>
      </c>
      <c r="N24" s="10" t="s">
        <v>68</v>
      </c>
      <c r="O24" s="82">
        <f>'расчет к ОПиУ'!E22</f>
        <v>7422</v>
      </c>
    </row>
    <row r="25" spans="1:15" ht="22.5" x14ac:dyDescent="0.25">
      <c r="A25" s="88" t="s">
        <v>181</v>
      </c>
      <c r="B25" s="87">
        <v>27946.43</v>
      </c>
      <c r="C25" s="31">
        <f t="shared" si="0"/>
        <v>28</v>
      </c>
      <c r="I25" s="100" t="s">
        <v>183</v>
      </c>
      <c r="J25" s="101">
        <v>232100</v>
      </c>
      <c r="K25" s="59">
        <f t="shared" si="1"/>
        <v>232</v>
      </c>
      <c r="N25" s="10" t="s">
        <v>69</v>
      </c>
      <c r="O25" s="82">
        <f>'расчет к ОПиУ'!E32+K4</f>
        <v>7287</v>
      </c>
    </row>
    <row r="26" spans="1:15" ht="22.5" x14ac:dyDescent="0.25">
      <c r="A26" s="85" t="s">
        <v>180</v>
      </c>
      <c r="B26" s="84">
        <v>1728780.86</v>
      </c>
      <c r="C26" s="83">
        <f t="shared" si="0"/>
        <v>1729</v>
      </c>
      <c r="F26" s="10" t="s">
        <v>66</v>
      </c>
      <c r="G26" s="82">
        <f>C40+C11</f>
        <v>76961</v>
      </c>
      <c r="I26" s="97" t="s">
        <v>182</v>
      </c>
      <c r="J26" s="98">
        <v>590046</v>
      </c>
      <c r="K26" s="31">
        <f t="shared" si="1"/>
        <v>590</v>
      </c>
      <c r="N26" s="10" t="s">
        <v>70</v>
      </c>
      <c r="O26" s="82">
        <f>K28+M30+K12</f>
        <v>15351</v>
      </c>
    </row>
    <row r="27" spans="1:15" ht="22.5" x14ac:dyDescent="0.25">
      <c r="A27" s="72" t="s">
        <v>179</v>
      </c>
      <c r="B27" s="73">
        <v>30037.77</v>
      </c>
      <c r="C27" s="31">
        <f t="shared" si="0"/>
        <v>30</v>
      </c>
      <c r="F27" s="10" t="s">
        <v>67</v>
      </c>
      <c r="G27" s="82">
        <f>C35</f>
        <v>3699</v>
      </c>
      <c r="I27" s="100" t="s">
        <v>181</v>
      </c>
      <c r="J27" s="101">
        <v>13035.71</v>
      </c>
      <c r="K27" s="59">
        <f t="shared" si="1"/>
        <v>13</v>
      </c>
      <c r="N27" s="10" t="s">
        <v>71</v>
      </c>
      <c r="O27" s="82">
        <f>O19</f>
        <v>13048</v>
      </c>
    </row>
    <row r="28" spans="1:15" x14ac:dyDescent="0.25">
      <c r="A28" s="88" t="s">
        <v>178</v>
      </c>
      <c r="B28" s="87">
        <v>20535.71</v>
      </c>
      <c r="C28" s="86">
        <f t="shared" si="0"/>
        <v>21</v>
      </c>
      <c r="F28" s="10" t="s">
        <v>68</v>
      </c>
      <c r="G28" s="82">
        <f>'расчет к ОПиУ'!P28</f>
        <v>8725</v>
      </c>
      <c r="I28" s="100" t="s">
        <v>180</v>
      </c>
      <c r="J28" s="101">
        <v>2687472.32</v>
      </c>
      <c r="K28" s="59">
        <f t="shared" si="1"/>
        <v>2687</v>
      </c>
      <c r="N28" s="10" t="s">
        <v>48</v>
      </c>
      <c r="O28" s="82">
        <f>K3</f>
        <v>1784</v>
      </c>
    </row>
    <row r="29" spans="1:15" ht="22.5" x14ac:dyDescent="0.25">
      <c r="A29" s="75" t="s">
        <v>177</v>
      </c>
      <c r="B29" s="74">
        <v>333041.07</v>
      </c>
      <c r="C29" s="38">
        <f t="shared" si="0"/>
        <v>333</v>
      </c>
      <c r="F29" s="10" t="s">
        <v>69</v>
      </c>
      <c r="G29" s="82">
        <f>C38+C4</f>
        <v>14867</v>
      </c>
      <c r="I29" s="97" t="s">
        <v>179</v>
      </c>
      <c r="J29" s="98">
        <v>26389.89</v>
      </c>
      <c r="K29" s="31">
        <f t="shared" si="1"/>
        <v>26</v>
      </c>
      <c r="N29" s="10" t="s">
        <v>72</v>
      </c>
      <c r="O29" s="82">
        <f>K50+K45+K17+K2+K11</f>
        <v>797</v>
      </c>
    </row>
    <row r="30" spans="1:15" ht="22.5" x14ac:dyDescent="0.25">
      <c r="A30" s="72" t="s">
        <v>176</v>
      </c>
      <c r="B30" s="73">
        <v>542500</v>
      </c>
      <c r="C30" s="31">
        <f t="shared" si="0"/>
        <v>543</v>
      </c>
      <c r="F30" s="10" t="s">
        <v>70</v>
      </c>
      <c r="G30" s="82">
        <f>C26+E31+C13</f>
        <v>7444</v>
      </c>
      <c r="I30" s="97" t="s">
        <v>87</v>
      </c>
      <c r="J30" s="98">
        <v>9698613.8800000008</v>
      </c>
      <c r="K30" s="31">
        <f t="shared" si="1"/>
        <v>9699</v>
      </c>
      <c r="L30" s="31">
        <v>35</v>
      </c>
      <c r="M30" s="31">
        <f>K30-L30</f>
        <v>9664</v>
      </c>
      <c r="N30" s="10" t="s">
        <v>73</v>
      </c>
      <c r="O30" s="82">
        <f>K31+K33+K34+K41</f>
        <v>757</v>
      </c>
    </row>
    <row r="31" spans="1:15" x14ac:dyDescent="0.25">
      <c r="A31" s="72" t="s">
        <v>87</v>
      </c>
      <c r="B31" s="73">
        <v>5488951.6299999999</v>
      </c>
      <c r="C31" s="31">
        <f t="shared" si="0"/>
        <v>5489</v>
      </c>
      <c r="D31" s="31">
        <v>24</v>
      </c>
      <c r="E31" s="31">
        <f>C31-D31</f>
        <v>5465</v>
      </c>
      <c r="F31" s="10" t="s">
        <v>71</v>
      </c>
      <c r="G31" s="82">
        <f>G22</f>
        <v>3902</v>
      </c>
      <c r="I31" s="103" t="s">
        <v>209</v>
      </c>
      <c r="J31" s="104">
        <v>74900</v>
      </c>
      <c r="K31" s="105">
        <f t="shared" si="1"/>
        <v>75</v>
      </c>
      <c r="N31" s="10" t="s">
        <v>65</v>
      </c>
      <c r="O31" s="82">
        <f>K1+K5+K6+K7+K8+K9+K13+K18+K19+K26+L30+K37+K38+K40+K42+K43+K46+K47+K48+K49+K51+K29-2</f>
        <v>6340</v>
      </c>
    </row>
    <row r="32" spans="1:15" ht="22.5" x14ac:dyDescent="0.25">
      <c r="A32" s="88" t="s">
        <v>175</v>
      </c>
      <c r="B32" s="87">
        <v>158928.57</v>
      </c>
      <c r="C32" s="86">
        <f t="shared" si="0"/>
        <v>159</v>
      </c>
      <c r="F32" s="10" t="s">
        <v>48</v>
      </c>
      <c r="G32" s="82">
        <f>C3</f>
        <v>1720</v>
      </c>
      <c r="I32" s="100" t="s">
        <v>175</v>
      </c>
      <c r="J32" s="101">
        <v>5000</v>
      </c>
      <c r="K32" s="59">
        <f t="shared" si="1"/>
        <v>5</v>
      </c>
      <c r="O32" s="81">
        <f>SUM(O22:O31)</f>
        <v>138710</v>
      </c>
    </row>
    <row r="33" spans="1:15" ht="22.5" x14ac:dyDescent="0.25">
      <c r="A33" s="75" t="s">
        <v>174</v>
      </c>
      <c r="B33" s="74">
        <v>797944.58</v>
      </c>
      <c r="C33" s="38">
        <f t="shared" ref="C33:C55" si="2">ROUND(B33/1000,0)</f>
        <v>798</v>
      </c>
      <c r="F33" s="10" t="s">
        <v>72</v>
      </c>
      <c r="G33" s="82">
        <f>C54+C49+C19+C12+C2</f>
        <v>732</v>
      </c>
      <c r="I33" s="103" t="s">
        <v>174</v>
      </c>
      <c r="J33" s="104">
        <v>136071.42000000001</v>
      </c>
      <c r="K33" s="105">
        <f t="shared" si="1"/>
        <v>136</v>
      </c>
      <c r="O33" s="81">
        <f>O32+ОПиУ!C9</f>
        <v>-3</v>
      </c>
    </row>
    <row r="34" spans="1:15" x14ac:dyDescent="0.25">
      <c r="A34" s="75" t="s">
        <v>173</v>
      </c>
      <c r="B34" s="74">
        <v>1666978.99</v>
      </c>
      <c r="C34" s="38">
        <f t="shared" si="2"/>
        <v>1667</v>
      </c>
      <c r="F34" s="10" t="s">
        <v>73</v>
      </c>
      <c r="G34" s="82">
        <f>C33+C34+C41+C42+C29</f>
        <v>3376</v>
      </c>
      <c r="I34" s="103" t="s">
        <v>173</v>
      </c>
      <c r="J34" s="104">
        <v>423185.44</v>
      </c>
      <c r="K34" s="105">
        <f t="shared" si="1"/>
        <v>423</v>
      </c>
    </row>
    <row r="35" spans="1:15" x14ac:dyDescent="0.25">
      <c r="A35" s="85" t="s">
        <v>172</v>
      </c>
      <c r="B35" s="84">
        <v>3698925</v>
      </c>
      <c r="C35" s="83">
        <f t="shared" si="2"/>
        <v>3699</v>
      </c>
      <c r="F35" s="10" t="s">
        <v>65</v>
      </c>
      <c r="G35" s="82">
        <f>C55+C53+C52+C51+C50+C46+C44+C43+C39+C37+C36+D31+C30+C27+C24++C18+C16+C14+C9+C8+C7+C6+C5+C1+C20</f>
        <v>9400</v>
      </c>
      <c r="I35" s="100" t="s">
        <v>172</v>
      </c>
      <c r="J35" s="101">
        <v>10505666.65</v>
      </c>
      <c r="K35" s="59">
        <f t="shared" si="1"/>
        <v>10506</v>
      </c>
    </row>
    <row r="36" spans="1:15" ht="22.5" x14ac:dyDescent="0.25">
      <c r="A36" s="72" t="s">
        <v>171</v>
      </c>
      <c r="B36" s="73">
        <v>128672.63</v>
      </c>
      <c r="C36" s="31">
        <f t="shared" si="2"/>
        <v>129</v>
      </c>
      <c r="G36" s="81">
        <f>SUM(G26:G35)</f>
        <v>130826</v>
      </c>
      <c r="I36" s="100" t="s">
        <v>210</v>
      </c>
      <c r="J36" s="101">
        <v>12000000</v>
      </c>
      <c r="K36" s="59">
        <f t="shared" si="1"/>
        <v>12000</v>
      </c>
    </row>
    <row r="37" spans="1:15" ht="22.5" x14ac:dyDescent="0.25">
      <c r="A37" s="72" t="s">
        <v>170</v>
      </c>
      <c r="B37" s="73">
        <v>6428.57</v>
      </c>
      <c r="C37" s="31">
        <f t="shared" si="2"/>
        <v>6</v>
      </c>
      <c r="G37" s="81">
        <f>G36+ОПиУ!E9</f>
        <v>-183</v>
      </c>
      <c r="I37" s="97" t="s">
        <v>171</v>
      </c>
      <c r="J37" s="98">
        <v>39000</v>
      </c>
      <c r="K37" s="31">
        <f t="shared" si="1"/>
        <v>39</v>
      </c>
    </row>
    <row r="38" spans="1:15" ht="22.5" x14ac:dyDescent="0.25">
      <c r="A38" s="80" t="s">
        <v>169</v>
      </c>
      <c r="B38" s="79">
        <v>9482.14</v>
      </c>
      <c r="C38" s="78">
        <f t="shared" si="2"/>
        <v>9</v>
      </c>
      <c r="I38" s="97" t="s">
        <v>168</v>
      </c>
      <c r="J38" s="98">
        <v>449431.2</v>
      </c>
      <c r="K38" s="31">
        <f t="shared" si="1"/>
        <v>449</v>
      </c>
    </row>
    <row r="39" spans="1:15" x14ac:dyDescent="0.25">
      <c r="A39" s="72" t="s">
        <v>168</v>
      </c>
      <c r="B39" s="73">
        <v>373458</v>
      </c>
      <c r="C39" s="31">
        <f t="shared" si="2"/>
        <v>373</v>
      </c>
      <c r="I39" s="100" t="s">
        <v>167</v>
      </c>
      <c r="J39" s="102">
        <v>-1036344.94</v>
      </c>
      <c r="K39" s="59">
        <f t="shared" si="1"/>
        <v>-1036</v>
      </c>
    </row>
    <row r="40" spans="1:15" x14ac:dyDescent="0.25">
      <c r="A40" s="77" t="s">
        <v>167</v>
      </c>
      <c r="B40" s="76">
        <v>-442173.45</v>
      </c>
      <c r="C40" s="59">
        <f t="shared" si="2"/>
        <v>-442</v>
      </c>
      <c r="I40" s="97" t="s">
        <v>211</v>
      </c>
      <c r="J40" s="98">
        <v>11500</v>
      </c>
      <c r="K40" s="31">
        <f t="shared" si="1"/>
        <v>12</v>
      </c>
    </row>
    <row r="41" spans="1:15" x14ac:dyDescent="0.25">
      <c r="A41" s="75" t="s">
        <v>166</v>
      </c>
      <c r="B41" s="74">
        <v>238590</v>
      </c>
      <c r="C41" s="38">
        <f t="shared" si="2"/>
        <v>239</v>
      </c>
      <c r="I41" s="103" t="s">
        <v>166</v>
      </c>
      <c r="J41" s="104">
        <v>122514</v>
      </c>
      <c r="K41" s="105">
        <f t="shared" si="1"/>
        <v>123</v>
      </c>
    </row>
    <row r="42" spans="1:15" x14ac:dyDescent="0.25">
      <c r="A42" s="75" t="s">
        <v>165</v>
      </c>
      <c r="B42" s="74">
        <v>339328</v>
      </c>
      <c r="C42" s="38">
        <f t="shared" si="2"/>
        <v>339</v>
      </c>
      <c r="I42" s="97" t="s">
        <v>164</v>
      </c>
      <c r="J42" s="98">
        <v>49035.72</v>
      </c>
      <c r="K42" s="31">
        <f t="shared" si="1"/>
        <v>49</v>
      </c>
    </row>
    <row r="43" spans="1:15" x14ac:dyDescent="0.25">
      <c r="A43" s="72" t="s">
        <v>164</v>
      </c>
      <c r="B43" s="73">
        <v>246785.73</v>
      </c>
      <c r="C43" s="31">
        <f t="shared" si="2"/>
        <v>247</v>
      </c>
      <c r="I43" s="97" t="s">
        <v>161</v>
      </c>
      <c r="J43" s="98">
        <v>347760</v>
      </c>
      <c r="K43" s="31">
        <f t="shared" si="1"/>
        <v>348</v>
      </c>
    </row>
    <row r="44" spans="1:15" x14ac:dyDescent="0.25">
      <c r="A44" s="72" t="s">
        <v>163</v>
      </c>
      <c r="B44" s="73">
        <v>22500</v>
      </c>
      <c r="C44" s="31">
        <f t="shared" si="2"/>
        <v>23</v>
      </c>
      <c r="I44" s="108" t="s">
        <v>159</v>
      </c>
      <c r="J44" s="109">
        <v>37583.5</v>
      </c>
      <c r="K44" s="110">
        <f t="shared" si="1"/>
        <v>38</v>
      </c>
    </row>
    <row r="45" spans="1:15" x14ac:dyDescent="0.25">
      <c r="A45" s="88" t="s">
        <v>162</v>
      </c>
      <c r="B45" s="87">
        <v>126583</v>
      </c>
      <c r="C45" s="86">
        <f t="shared" si="2"/>
        <v>127</v>
      </c>
      <c r="I45" s="106" t="s">
        <v>158</v>
      </c>
      <c r="J45" s="107">
        <v>19205.38</v>
      </c>
      <c r="K45" s="38">
        <f t="shared" si="1"/>
        <v>19</v>
      </c>
    </row>
    <row r="46" spans="1:15" ht="22.5" x14ac:dyDescent="0.25">
      <c r="A46" s="72" t="s">
        <v>161</v>
      </c>
      <c r="B46" s="73">
        <v>372672.15</v>
      </c>
      <c r="C46" s="31">
        <f t="shared" si="2"/>
        <v>373</v>
      </c>
      <c r="I46" s="97" t="s">
        <v>157</v>
      </c>
      <c r="J46" s="98">
        <v>17000</v>
      </c>
      <c r="K46" s="31">
        <f t="shared" si="1"/>
        <v>17</v>
      </c>
    </row>
    <row r="47" spans="1:15" x14ac:dyDescent="0.25">
      <c r="A47" s="88" t="s">
        <v>160</v>
      </c>
      <c r="B47" s="87">
        <v>400000</v>
      </c>
      <c r="C47" s="86">
        <f t="shared" si="2"/>
        <v>400</v>
      </c>
      <c r="I47" s="97" t="s">
        <v>156</v>
      </c>
      <c r="J47" s="98">
        <v>64692.800000000003</v>
      </c>
      <c r="K47" s="31">
        <f t="shared" si="1"/>
        <v>65</v>
      </c>
    </row>
    <row r="48" spans="1:15" x14ac:dyDescent="0.25">
      <c r="A48" s="88" t="s">
        <v>159</v>
      </c>
      <c r="B48" s="87">
        <v>100194</v>
      </c>
      <c r="C48" s="86">
        <f t="shared" si="2"/>
        <v>100</v>
      </c>
      <c r="I48" s="97" t="s">
        <v>155</v>
      </c>
      <c r="J48" s="98">
        <v>312929.57</v>
      </c>
      <c r="K48" s="31">
        <f t="shared" si="1"/>
        <v>313</v>
      </c>
    </row>
    <row r="49" spans="1:11" x14ac:dyDescent="0.25">
      <c r="A49" s="93" t="s">
        <v>158</v>
      </c>
      <c r="B49" s="96">
        <v>790.2</v>
      </c>
      <c r="C49" s="95">
        <f t="shared" si="2"/>
        <v>1</v>
      </c>
      <c r="I49" s="97" t="s">
        <v>154</v>
      </c>
      <c r="J49" s="98">
        <v>759660</v>
      </c>
      <c r="K49" s="31">
        <f t="shared" si="1"/>
        <v>760</v>
      </c>
    </row>
    <row r="50" spans="1:11" ht="22.5" x14ac:dyDescent="0.25">
      <c r="A50" s="72" t="s">
        <v>157</v>
      </c>
      <c r="B50" s="73">
        <v>322392.84999999998</v>
      </c>
      <c r="C50" s="31">
        <f t="shared" si="2"/>
        <v>322</v>
      </c>
      <c r="I50" s="106" t="s">
        <v>153</v>
      </c>
      <c r="J50" s="107">
        <v>48491.78</v>
      </c>
      <c r="K50" s="38">
        <f t="shared" si="1"/>
        <v>48</v>
      </c>
    </row>
    <row r="51" spans="1:11" x14ac:dyDescent="0.25">
      <c r="A51" s="72" t="s">
        <v>156</v>
      </c>
      <c r="B51" s="73">
        <v>312037.14</v>
      </c>
      <c r="C51" s="31">
        <f t="shared" si="2"/>
        <v>312</v>
      </c>
      <c r="I51" s="97" t="s">
        <v>152</v>
      </c>
      <c r="J51" s="98">
        <v>23535.18</v>
      </c>
      <c r="K51" s="31">
        <f t="shared" si="1"/>
        <v>24</v>
      </c>
    </row>
    <row r="52" spans="1:11" ht="22.5" x14ac:dyDescent="0.25">
      <c r="A52" s="72" t="s">
        <v>155</v>
      </c>
      <c r="B52" s="73">
        <v>221287.07</v>
      </c>
      <c r="C52" s="31">
        <f t="shared" si="2"/>
        <v>221</v>
      </c>
    </row>
    <row r="53" spans="1:11" x14ac:dyDescent="0.25">
      <c r="A53" s="72" t="s">
        <v>154</v>
      </c>
      <c r="B53" s="73">
        <v>437415</v>
      </c>
      <c r="C53" s="31">
        <f t="shared" si="2"/>
        <v>437</v>
      </c>
      <c r="I53" s="111">
        <v>1649402.2</v>
      </c>
      <c r="J53" s="111">
        <f>I53*3</f>
        <v>4948206.5999999996</v>
      </c>
      <c r="K53" s="31">
        <f t="shared" si="1"/>
        <v>4948</v>
      </c>
    </row>
    <row r="54" spans="1:11" x14ac:dyDescent="0.25">
      <c r="A54" s="93" t="s">
        <v>153</v>
      </c>
      <c r="B54" s="94">
        <v>40125.57</v>
      </c>
      <c r="C54" s="95">
        <f t="shared" si="2"/>
        <v>40</v>
      </c>
    </row>
    <row r="55" spans="1:11" x14ac:dyDescent="0.25">
      <c r="A55" s="72" t="s">
        <v>152</v>
      </c>
      <c r="B55" s="71">
        <v>613.44000000000005</v>
      </c>
      <c r="C55" s="31">
        <f t="shared" si="2"/>
        <v>1</v>
      </c>
    </row>
    <row r="57" spans="1:11" x14ac:dyDescent="0.25">
      <c r="B57" s="43">
        <f>SUM(B1:B56)</f>
        <v>122100632.26999995</v>
      </c>
    </row>
    <row r="58" spans="1:11" x14ac:dyDescent="0.25">
      <c r="F58" s="10" t="s">
        <v>66</v>
      </c>
      <c r="G58" s="81">
        <f>O22</f>
        <v>75418</v>
      </c>
      <c r="I58" s="112">
        <f>G26</f>
        <v>76961</v>
      </c>
    </row>
    <row r="59" spans="1:11" x14ac:dyDescent="0.25">
      <c r="F59" s="10" t="s">
        <v>71</v>
      </c>
      <c r="G59" s="81">
        <f>O27</f>
        <v>13048</v>
      </c>
      <c r="I59" s="112">
        <f>G31</f>
        <v>3902</v>
      </c>
    </row>
    <row r="60" spans="1:11" x14ac:dyDescent="0.25">
      <c r="F60" s="10" t="s">
        <v>67</v>
      </c>
      <c r="G60" s="81">
        <f>O23</f>
        <v>10506</v>
      </c>
      <c r="I60" s="112">
        <f>G27</f>
        <v>3699</v>
      </c>
    </row>
    <row r="61" spans="1:11" x14ac:dyDescent="0.25">
      <c r="F61" s="10" t="s">
        <v>70</v>
      </c>
      <c r="G61" s="81">
        <f>O26</f>
        <v>15351</v>
      </c>
      <c r="I61" s="112">
        <f>G30</f>
        <v>7444</v>
      </c>
    </row>
    <row r="62" spans="1:11" x14ac:dyDescent="0.25">
      <c r="F62" s="10" t="s">
        <v>68</v>
      </c>
      <c r="G62" s="81">
        <f>O24</f>
        <v>7422</v>
      </c>
      <c r="I62" s="112">
        <f>G28</f>
        <v>8725</v>
      </c>
    </row>
    <row r="63" spans="1:11" x14ac:dyDescent="0.25">
      <c r="F63" s="10" t="s">
        <v>69</v>
      </c>
      <c r="G63" s="81">
        <f>O25</f>
        <v>7287</v>
      </c>
      <c r="I63" s="112">
        <f>G29</f>
        <v>14867</v>
      </c>
    </row>
    <row r="64" spans="1:11" x14ac:dyDescent="0.25">
      <c r="F64" s="10" t="s">
        <v>48</v>
      </c>
      <c r="G64" s="81">
        <f>O28</f>
        <v>1784</v>
      </c>
      <c r="I64" s="112">
        <f>G32</f>
        <v>1720</v>
      </c>
    </row>
    <row r="65" spans="6:9" x14ac:dyDescent="0.25">
      <c r="F65" s="10" t="s">
        <v>72</v>
      </c>
      <c r="G65" s="81">
        <f>O29</f>
        <v>797</v>
      </c>
      <c r="I65" s="112">
        <f>G33</f>
        <v>732</v>
      </c>
    </row>
    <row r="66" spans="6:9" x14ac:dyDescent="0.25">
      <c r="F66" s="10" t="s">
        <v>73</v>
      </c>
      <c r="G66" s="81">
        <f>O30</f>
        <v>757</v>
      </c>
      <c r="I66" s="112">
        <f>G34</f>
        <v>3376</v>
      </c>
    </row>
    <row r="67" spans="6:9" x14ac:dyDescent="0.25">
      <c r="F67" s="10" t="s">
        <v>65</v>
      </c>
      <c r="G67" s="81">
        <f>O31</f>
        <v>6340</v>
      </c>
      <c r="I67" s="112">
        <f>G35</f>
        <v>9400</v>
      </c>
    </row>
    <row r="68" spans="6:9" x14ac:dyDescent="0.25">
      <c r="G68" s="81">
        <f>SUM(G58:G67)</f>
        <v>138710</v>
      </c>
      <c r="I68" s="112">
        <f>SUM(I58:I67)</f>
        <v>130826</v>
      </c>
    </row>
  </sheetData>
  <pageMargins left="0.7" right="0.7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A80-A8A8-4C0F-81A7-630CEA1763A0}">
  <dimension ref="A1:F48"/>
  <sheetViews>
    <sheetView view="pageBreakPreview" zoomScale="80" zoomScaleNormal="100" zoomScaleSheetLayoutView="80" workbookViewId="0">
      <selection activeCell="B25" sqref="B25"/>
    </sheetView>
  </sheetViews>
  <sheetFormatPr defaultRowHeight="14.25" x14ac:dyDescent="0.2"/>
  <cols>
    <col min="1" max="1" width="68.5703125" style="663" customWidth="1"/>
    <col min="2" max="2" width="9.140625" style="681"/>
    <col min="3" max="3" width="21.42578125" style="663" customWidth="1"/>
    <col min="4" max="4" width="1.28515625" style="681" customWidth="1"/>
    <col min="5" max="5" width="20.5703125" style="663" customWidth="1"/>
    <col min="6" max="16384" width="9.140625" style="663"/>
  </cols>
  <sheetData>
    <row r="1" spans="1:5" ht="15" x14ac:dyDescent="0.2">
      <c r="A1" s="696" t="s">
        <v>20</v>
      </c>
      <c r="B1" s="696"/>
      <c r="C1" s="696"/>
      <c r="D1" s="696"/>
      <c r="E1" s="696"/>
    </row>
    <row r="2" spans="1:5" ht="15" x14ac:dyDescent="0.2">
      <c r="A2" s="696" t="s">
        <v>776</v>
      </c>
      <c r="B2" s="696"/>
      <c r="C2" s="696"/>
      <c r="D2" s="696"/>
      <c r="E2" s="696"/>
    </row>
    <row r="3" spans="1:5" ht="15" x14ac:dyDescent="0.2">
      <c r="A3" s="696" t="s">
        <v>794</v>
      </c>
      <c r="B3" s="696"/>
      <c r="C3" s="696"/>
      <c r="D3" s="696"/>
      <c r="E3" s="696"/>
    </row>
    <row r="5" spans="1:5" ht="45.75" thickBot="1" x14ac:dyDescent="0.25">
      <c r="A5" s="664" t="s">
        <v>336</v>
      </c>
      <c r="B5" s="665" t="s">
        <v>1</v>
      </c>
      <c r="C5" s="666" t="s">
        <v>795</v>
      </c>
      <c r="D5" s="667"/>
      <c r="E5" s="666" t="s">
        <v>778</v>
      </c>
    </row>
    <row r="6" spans="1:5" ht="15" x14ac:dyDescent="0.2">
      <c r="A6" s="668" t="s">
        <v>21</v>
      </c>
      <c r="B6" s="665" t="s">
        <v>5</v>
      </c>
      <c r="C6" s="669"/>
      <c r="D6" s="665"/>
      <c r="E6" s="669"/>
    </row>
    <row r="7" spans="1:5" ht="15" x14ac:dyDescent="0.2">
      <c r="A7" s="669" t="s">
        <v>22</v>
      </c>
      <c r="B7" s="362">
        <v>8</v>
      </c>
      <c r="C7" s="670">
        <v>8928</v>
      </c>
      <c r="D7" s="670"/>
      <c r="E7" s="670">
        <v>8822</v>
      </c>
    </row>
    <row r="8" spans="1:5" ht="15" x14ac:dyDescent="0.2">
      <c r="A8" s="669" t="s">
        <v>23</v>
      </c>
      <c r="B8" s="362">
        <v>9</v>
      </c>
      <c r="C8" s="670">
        <v>0</v>
      </c>
      <c r="D8" s="670"/>
      <c r="E8" s="670">
        <v>8005</v>
      </c>
    </row>
    <row r="9" spans="1:5" ht="28.5" x14ac:dyDescent="0.2">
      <c r="A9" s="669" t="s">
        <v>24</v>
      </c>
      <c r="B9" s="362" t="s">
        <v>830</v>
      </c>
      <c r="C9" s="670">
        <v>691898</v>
      </c>
      <c r="D9" s="670"/>
      <c r="E9" s="670">
        <v>555203</v>
      </c>
    </row>
    <row r="10" spans="1:5" ht="28.5" x14ac:dyDescent="0.2">
      <c r="A10" s="669" t="s">
        <v>26</v>
      </c>
      <c r="B10" s="362" t="s">
        <v>831</v>
      </c>
      <c r="C10" s="670">
        <v>200</v>
      </c>
      <c r="D10" s="670"/>
      <c r="E10" s="670">
        <v>200</v>
      </c>
    </row>
    <row r="11" spans="1:5" ht="15" x14ac:dyDescent="0.2">
      <c r="A11" s="669" t="s">
        <v>28</v>
      </c>
      <c r="B11" s="362" t="s">
        <v>5</v>
      </c>
      <c r="C11" s="670">
        <v>33</v>
      </c>
      <c r="D11" s="670"/>
      <c r="E11" s="670">
        <v>0</v>
      </c>
    </row>
    <row r="12" spans="1:5" ht="15" x14ac:dyDescent="0.2">
      <c r="A12" s="669" t="s">
        <v>29</v>
      </c>
      <c r="B12" s="362">
        <v>11</v>
      </c>
      <c r="C12" s="670">
        <v>104464</v>
      </c>
      <c r="D12" s="670"/>
      <c r="E12" s="670">
        <v>20541</v>
      </c>
    </row>
    <row r="13" spans="1:5" ht="15" x14ac:dyDescent="0.2">
      <c r="A13" s="669" t="s">
        <v>760</v>
      </c>
      <c r="B13" s="362"/>
      <c r="C13" s="670">
        <v>7120</v>
      </c>
      <c r="D13" s="670"/>
      <c r="E13" s="670">
        <v>0</v>
      </c>
    </row>
    <row r="14" spans="1:5" ht="15" x14ac:dyDescent="0.2">
      <c r="A14" s="669" t="s">
        <v>30</v>
      </c>
      <c r="B14" s="362">
        <v>12</v>
      </c>
      <c r="C14" s="670">
        <v>21381</v>
      </c>
      <c r="D14" s="670"/>
      <c r="E14" s="670">
        <v>15945</v>
      </c>
    </row>
    <row r="15" spans="1:5" ht="15.75" thickBot="1" x14ac:dyDescent="0.25">
      <c r="A15" s="669" t="s">
        <v>472</v>
      </c>
      <c r="B15" s="362">
        <v>13</v>
      </c>
      <c r="C15" s="670">
        <v>13341</v>
      </c>
      <c r="D15" s="670"/>
      <c r="E15" s="670">
        <v>17662</v>
      </c>
    </row>
    <row r="16" spans="1:5" ht="15.75" hidden="1" thickBot="1" x14ac:dyDescent="0.25">
      <c r="A16" s="669" t="s">
        <v>32</v>
      </c>
      <c r="B16" s="362" t="s">
        <v>33</v>
      </c>
      <c r="C16" s="670">
        <v>0</v>
      </c>
      <c r="D16" s="670"/>
      <c r="E16" s="670">
        <v>0</v>
      </c>
    </row>
    <row r="17" spans="1:6" ht="15.75" thickBot="1" x14ac:dyDescent="0.25">
      <c r="A17" s="668" t="s">
        <v>34</v>
      </c>
      <c r="B17" s="362" t="s">
        <v>5</v>
      </c>
      <c r="C17" s="671">
        <v>847365</v>
      </c>
      <c r="D17" s="672"/>
      <c r="E17" s="671">
        <v>626378</v>
      </c>
    </row>
    <row r="18" spans="1:6" ht="15.75" thickTop="1" x14ac:dyDescent="0.2">
      <c r="A18" s="668" t="s">
        <v>35</v>
      </c>
      <c r="B18" s="362" t="s">
        <v>5</v>
      </c>
      <c r="C18" s="669"/>
      <c r="D18" s="665"/>
      <c r="E18" s="669"/>
    </row>
    <row r="19" spans="1:6" ht="15" x14ac:dyDescent="0.2">
      <c r="A19" s="668" t="s">
        <v>36</v>
      </c>
      <c r="B19" s="362" t="s">
        <v>5</v>
      </c>
      <c r="C19" s="669"/>
      <c r="D19" s="665"/>
      <c r="E19" s="669"/>
    </row>
    <row r="20" spans="1:6" ht="15" x14ac:dyDescent="0.2">
      <c r="A20" s="669" t="s">
        <v>37</v>
      </c>
      <c r="B20" s="362">
        <v>14</v>
      </c>
      <c r="C20" s="670">
        <v>37708</v>
      </c>
      <c r="D20" s="670"/>
      <c r="E20" s="670">
        <v>61834</v>
      </c>
    </row>
    <row r="21" spans="1:6" ht="15" hidden="1" x14ac:dyDescent="0.2">
      <c r="A21" s="669" t="s">
        <v>761</v>
      </c>
      <c r="B21" s="362"/>
      <c r="C21" s="670">
        <v>0</v>
      </c>
      <c r="D21" s="670"/>
      <c r="E21" s="670">
        <v>0</v>
      </c>
    </row>
    <row r="22" spans="1:6" ht="15.75" thickBot="1" x14ac:dyDescent="0.25">
      <c r="A22" s="669" t="s">
        <v>38</v>
      </c>
      <c r="B22" s="362">
        <v>15</v>
      </c>
      <c r="C22" s="670">
        <v>8185</v>
      </c>
      <c r="D22" s="670"/>
      <c r="E22" s="670">
        <v>6853</v>
      </c>
    </row>
    <row r="23" spans="1:6" ht="15.75" thickBot="1" x14ac:dyDescent="0.25">
      <c r="A23" s="669"/>
      <c r="B23" s="362" t="s">
        <v>5</v>
      </c>
      <c r="C23" s="673">
        <v>45893</v>
      </c>
      <c r="D23" s="674"/>
      <c r="E23" s="673">
        <v>68687</v>
      </c>
    </row>
    <row r="24" spans="1:6" ht="15" x14ac:dyDescent="0.2">
      <c r="A24" s="668" t="s">
        <v>39</v>
      </c>
      <c r="B24" s="362" t="s">
        <v>5</v>
      </c>
      <c r="C24" s="669"/>
      <c r="D24" s="665"/>
      <c r="E24" s="669"/>
    </row>
    <row r="25" spans="1:6" ht="15" x14ac:dyDescent="0.2">
      <c r="A25" s="669" t="s">
        <v>40</v>
      </c>
      <c r="B25" s="362" t="s">
        <v>460</v>
      </c>
      <c r="C25" s="670">
        <v>2256579</v>
      </c>
      <c r="D25" s="670"/>
      <c r="E25" s="670">
        <v>2082479</v>
      </c>
      <c r="F25" s="675"/>
    </row>
    <row r="26" spans="1:6" ht="15.75" thickBot="1" x14ac:dyDescent="0.25">
      <c r="A26" s="669" t="s">
        <v>42</v>
      </c>
      <c r="B26" s="362" t="s">
        <v>5</v>
      </c>
      <c r="C26" s="676">
        <v>-1455107</v>
      </c>
      <c r="D26" s="677"/>
      <c r="E26" s="676">
        <v>-1524788</v>
      </c>
    </row>
    <row r="27" spans="1:6" ht="15.75" thickBot="1" x14ac:dyDescent="0.25">
      <c r="A27" s="668"/>
      <c r="B27" s="362" t="s">
        <v>5</v>
      </c>
      <c r="C27" s="673">
        <v>801472</v>
      </c>
      <c r="D27" s="674"/>
      <c r="E27" s="673">
        <v>557691</v>
      </c>
    </row>
    <row r="28" spans="1:6" ht="15.75" thickBot="1" x14ac:dyDescent="0.25">
      <c r="A28" s="668" t="s">
        <v>43</v>
      </c>
      <c r="B28" s="362" t="s">
        <v>5</v>
      </c>
      <c r="C28" s="678">
        <v>847365</v>
      </c>
      <c r="D28" s="679"/>
      <c r="E28" s="678">
        <v>626378</v>
      </c>
    </row>
    <row r="29" spans="1:6" ht="15.75" thickTop="1" x14ac:dyDescent="0.2">
      <c r="A29" s="669"/>
      <c r="B29" s="362" t="s">
        <v>5</v>
      </c>
      <c r="C29" s="669"/>
      <c r="D29" s="665"/>
      <c r="E29" s="669"/>
    </row>
    <row r="30" spans="1:6" ht="15" x14ac:dyDescent="0.2">
      <c r="A30" s="669" t="s">
        <v>44</v>
      </c>
      <c r="B30" s="362" t="s">
        <v>832</v>
      </c>
      <c r="C30" s="680">
        <v>358</v>
      </c>
      <c r="D30" s="665"/>
      <c r="E30" s="680">
        <v>270</v>
      </c>
    </row>
    <row r="31" spans="1:6" ht="15" x14ac:dyDescent="0.2">
      <c r="A31" s="669"/>
      <c r="B31" s="362"/>
      <c r="C31" s="680"/>
      <c r="D31" s="665"/>
      <c r="E31" s="680"/>
    </row>
    <row r="32" spans="1:6" ht="15" x14ac:dyDescent="0.2">
      <c r="A32" s="669"/>
      <c r="B32" s="362"/>
      <c r="C32" s="680"/>
      <c r="D32" s="665"/>
      <c r="E32" s="680"/>
    </row>
    <row r="33" spans="1:5" ht="15" x14ac:dyDescent="0.2">
      <c r="A33" s="669"/>
      <c r="B33" s="362"/>
      <c r="C33" s="680"/>
      <c r="D33" s="665"/>
      <c r="E33" s="680"/>
    </row>
    <row r="34" spans="1:5" ht="15" x14ac:dyDescent="0.2">
      <c r="A34" s="669"/>
      <c r="B34" s="362"/>
      <c r="C34" s="680"/>
      <c r="D34" s="665"/>
      <c r="E34" s="680"/>
    </row>
    <row r="35" spans="1:5" ht="15" x14ac:dyDescent="0.2">
      <c r="A35" s="669"/>
      <c r="B35" s="362"/>
      <c r="C35" s="680"/>
      <c r="D35" s="665"/>
      <c r="E35" s="680"/>
    </row>
    <row r="36" spans="1:5" ht="15" x14ac:dyDescent="0.2">
      <c r="A36" s="669"/>
      <c r="B36" s="362"/>
      <c r="C36" s="680"/>
      <c r="D36" s="665"/>
      <c r="E36" s="680"/>
    </row>
    <row r="39" spans="1:5" x14ac:dyDescent="0.2">
      <c r="C39" s="675"/>
      <c r="D39" s="675"/>
      <c r="E39" s="675"/>
    </row>
    <row r="40" spans="1:5" x14ac:dyDescent="0.2">
      <c r="C40" s="682"/>
    </row>
    <row r="42" spans="1:5" ht="15" x14ac:dyDescent="0.25">
      <c r="A42" s="351" t="s">
        <v>530</v>
      </c>
      <c r="B42" s="426"/>
      <c r="C42" s="426"/>
      <c r="D42" s="426"/>
      <c r="E42" s="346"/>
    </row>
    <row r="43" spans="1:5" ht="15" x14ac:dyDescent="0.25">
      <c r="A43" s="363" t="s">
        <v>474</v>
      </c>
      <c r="B43" s="423"/>
      <c r="C43" s="423"/>
      <c r="D43" s="683"/>
      <c r="E43" s="362" t="s">
        <v>473</v>
      </c>
    </row>
    <row r="44" spans="1:5" ht="15" x14ac:dyDescent="0.25">
      <c r="A44" s="424"/>
      <c r="B44" s="423"/>
      <c r="C44" s="423"/>
      <c r="D44" s="683"/>
      <c r="E44" s="362" t="s">
        <v>532</v>
      </c>
    </row>
    <row r="45" spans="1:5" ht="15" x14ac:dyDescent="0.25">
      <c r="A45" s="426"/>
      <c r="B45" s="426"/>
      <c r="C45" s="426"/>
      <c r="D45" s="426"/>
      <c r="E45" s="346"/>
    </row>
    <row r="46" spans="1:5" ht="15" x14ac:dyDescent="0.25">
      <c r="A46" s="351" t="s">
        <v>531</v>
      </c>
      <c r="B46" s="426"/>
      <c r="C46" s="426"/>
      <c r="D46" s="426"/>
      <c r="E46" s="346"/>
    </row>
    <row r="47" spans="1:5" ht="15" x14ac:dyDescent="0.25">
      <c r="A47" s="363" t="s">
        <v>475</v>
      </c>
      <c r="B47" s="423"/>
      <c r="C47" s="423"/>
      <c r="D47" s="683"/>
      <c r="E47" s="362" t="s">
        <v>473</v>
      </c>
    </row>
    <row r="48" spans="1:5" ht="15" x14ac:dyDescent="0.25">
      <c r="A48" s="424"/>
      <c r="B48" s="423"/>
      <c r="C48" s="423"/>
      <c r="D48" s="683"/>
      <c r="E48" s="362" t="s">
        <v>532</v>
      </c>
    </row>
  </sheetData>
  <mergeCells count="3">
    <mergeCell ref="A3:E3"/>
    <mergeCell ref="A2:E2"/>
    <mergeCell ref="A1:E1"/>
  </mergeCells>
  <pageMargins left="0.7" right="0.7" top="0.75" bottom="0.75" header="0.3" footer="0.3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083B-1718-4D64-86CC-A3649C05A07D}">
  <dimension ref="A1:U76"/>
  <sheetViews>
    <sheetView workbookViewId="0">
      <selection activeCell="F80" sqref="F80"/>
    </sheetView>
  </sheetViews>
  <sheetFormatPr defaultRowHeight="15" outlineLevelCol="1" x14ac:dyDescent="0.25"/>
  <cols>
    <col min="1" max="2" width="9.28515625" bestFit="1" customWidth="1"/>
    <col min="3" max="3" width="11.7109375" bestFit="1" customWidth="1"/>
    <col min="4" max="4" width="10.85546875" bestFit="1" customWidth="1"/>
    <col min="5" max="7" width="9.140625" style="61" customWidth="1" outlineLevel="1"/>
    <col min="8" max="8" width="28.28515625" style="61" customWidth="1" outlineLevel="1"/>
    <col min="9" max="10" width="13.7109375" style="61" customWidth="1" outlineLevel="1"/>
    <col min="11" max="11" width="11.28515625" customWidth="1"/>
    <col min="12" max="12" width="12.140625" customWidth="1"/>
    <col min="13" max="13" width="9.28515625" bestFit="1" customWidth="1"/>
    <col min="14" max="15" width="11.7109375" bestFit="1" customWidth="1"/>
    <col min="18" max="18" width="11.42578125" style="61" bestFit="1" customWidth="1"/>
    <col min="19" max="19" width="29" customWidth="1"/>
    <col min="20" max="20" width="10.85546875" style="61" bestFit="1" customWidth="1"/>
  </cols>
  <sheetData>
    <row r="1" spans="1:21" x14ac:dyDescent="0.25">
      <c r="A1" s="13" t="s">
        <v>133</v>
      </c>
      <c r="B1" s="14"/>
      <c r="C1" s="14"/>
      <c r="D1" s="14"/>
      <c r="L1" s="13" t="s">
        <v>133</v>
      </c>
      <c r="M1" s="14"/>
      <c r="N1" s="14"/>
      <c r="O1" s="14"/>
      <c r="U1" s="42">
        <f>SUM(U2:U7)</f>
        <v>27986</v>
      </c>
    </row>
    <row r="2" spans="1:21" ht="22.5" x14ac:dyDescent="0.25">
      <c r="A2" s="13" t="s">
        <v>134</v>
      </c>
      <c r="B2" s="14"/>
      <c r="C2" s="14"/>
      <c r="D2" s="14"/>
      <c r="L2" s="13" t="s">
        <v>147</v>
      </c>
      <c r="M2" s="14"/>
      <c r="N2" s="14"/>
      <c r="O2" s="14"/>
      <c r="S2" s="65" t="s">
        <v>148</v>
      </c>
      <c r="T2" s="65">
        <v>34962.21</v>
      </c>
      <c r="U2" s="31">
        <f t="shared" ref="U2:U7" si="0">ROUND(T2/1000,0)</f>
        <v>35</v>
      </c>
    </row>
    <row r="3" spans="1:21" ht="33.75" x14ac:dyDescent="0.25">
      <c r="A3" s="14" t="s">
        <v>135</v>
      </c>
      <c r="B3" s="14" t="s">
        <v>136</v>
      </c>
      <c r="C3" s="14"/>
      <c r="D3" s="14"/>
      <c r="H3" s="62" t="s">
        <v>144</v>
      </c>
      <c r="I3" s="32">
        <v>50174092.270000003</v>
      </c>
      <c r="J3" s="34">
        <f>J4+J5</f>
        <v>50174</v>
      </c>
      <c r="L3" s="14" t="s">
        <v>135</v>
      </c>
      <c r="M3" s="14" t="s">
        <v>136</v>
      </c>
      <c r="N3" s="14"/>
      <c r="O3" s="14"/>
      <c r="S3" s="65" t="s">
        <v>149</v>
      </c>
      <c r="T3" s="65">
        <v>258064.52</v>
      </c>
      <c r="U3" s="31">
        <f t="shared" si="0"/>
        <v>258</v>
      </c>
    </row>
    <row r="4" spans="1:21" x14ac:dyDescent="0.25">
      <c r="A4" s="15" t="s">
        <v>137</v>
      </c>
      <c r="B4" s="16" t="s">
        <v>138</v>
      </c>
      <c r="C4" s="16" t="s">
        <v>139</v>
      </c>
      <c r="D4" s="16" t="s">
        <v>140</v>
      </c>
      <c r="H4" s="63" t="s">
        <v>145</v>
      </c>
      <c r="I4" s="25">
        <v>35558174.5</v>
      </c>
      <c r="J4" s="31">
        <f>ROUND(I4/1000,0)</f>
        <v>35558</v>
      </c>
      <c r="L4" s="15" t="s">
        <v>137</v>
      </c>
      <c r="M4" s="16" t="s">
        <v>138</v>
      </c>
      <c r="N4" s="16" t="s">
        <v>139</v>
      </c>
      <c r="O4" s="16" t="s">
        <v>140</v>
      </c>
      <c r="S4" s="65" t="s">
        <v>150</v>
      </c>
      <c r="T4" s="65">
        <v>365806.45</v>
      </c>
      <c r="U4" s="31">
        <f t="shared" si="0"/>
        <v>366</v>
      </c>
    </row>
    <row r="5" spans="1:21" ht="22.5" x14ac:dyDescent="0.25">
      <c r="A5" s="17">
        <v>5610</v>
      </c>
      <c r="B5" s="18" t="s">
        <v>141</v>
      </c>
      <c r="C5" s="19"/>
      <c r="D5" s="19"/>
      <c r="H5" s="63" t="s">
        <v>146</v>
      </c>
      <c r="I5" s="25">
        <v>14615917.77</v>
      </c>
      <c r="J5" s="31">
        <f>ROUND(I5/1000,0)</f>
        <v>14616</v>
      </c>
      <c r="L5" s="17">
        <v>5610</v>
      </c>
      <c r="M5" s="18" t="s">
        <v>141</v>
      </c>
      <c r="N5" s="19"/>
      <c r="O5" s="19"/>
      <c r="S5" s="65" t="s">
        <v>145</v>
      </c>
      <c r="T5" s="65">
        <v>18000000</v>
      </c>
      <c r="U5" s="31">
        <f t="shared" si="0"/>
        <v>18000</v>
      </c>
    </row>
    <row r="6" spans="1:21" x14ac:dyDescent="0.25">
      <c r="A6" s="20"/>
      <c r="B6" s="21">
        <v>5500</v>
      </c>
      <c r="C6" s="22">
        <v>-88115434.590000004</v>
      </c>
      <c r="D6" s="23"/>
      <c r="E6" s="31">
        <f>ROUND(C6/1000,0)</f>
        <v>-88115</v>
      </c>
      <c r="F6" s="31"/>
      <c r="L6" s="20"/>
      <c r="M6" s="21">
        <v>5500</v>
      </c>
      <c r="N6" s="25">
        <v>16379785.66</v>
      </c>
      <c r="O6" s="23"/>
      <c r="P6" s="31">
        <f>ROUND(N6/1000,0)</f>
        <v>16380</v>
      </c>
      <c r="S6" s="65" t="s">
        <v>146</v>
      </c>
      <c r="T6" s="65">
        <v>1622617.88</v>
      </c>
      <c r="U6" s="31">
        <f t="shared" si="0"/>
        <v>1623</v>
      </c>
    </row>
    <row r="7" spans="1:21" x14ac:dyDescent="0.25">
      <c r="A7" s="24"/>
      <c r="B7" s="21">
        <v>5510</v>
      </c>
      <c r="C7" s="22">
        <v>-88115434.590000004</v>
      </c>
      <c r="D7" s="23"/>
      <c r="E7" s="31">
        <f>ROUND(C7/1000,0)</f>
        <v>-88115</v>
      </c>
      <c r="F7" s="31"/>
      <c r="L7" s="24"/>
      <c r="M7" s="21">
        <v>5510</v>
      </c>
      <c r="N7" s="25">
        <v>16379785.66</v>
      </c>
      <c r="O7" s="23"/>
      <c r="S7" s="66" t="s">
        <v>151</v>
      </c>
      <c r="T7" s="65">
        <v>7704496.0199999996</v>
      </c>
      <c r="U7" s="31">
        <f t="shared" si="0"/>
        <v>7704</v>
      </c>
    </row>
    <row r="8" spans="1:21" x14ac:dyDescent="0.25">
      <c r="A8" s="20"/>
      <c r="B8" s="21">
        <v>6100</v>
      </c>
      <c r="C8" s="23"/>
      <c r="D8" s="25">
        <v>51224214.659999996</v>
      </c>
      <c r="E8" s="31"/>
      <c r="F8" s="31">
        <f t="shared" ref="F8:F19" si="1">ROUND(D8/1000,0)</f>
        <v>51224</v>
      </c>
      <c r="L8" s="20"/>
      <c r="M8" s="21">
        <v>6000</v>
      </c>
      <c r="N8" s="23"/>
      <c r="O8" s="25">
        <v>18623870.969999999</v>
      </c>
      <c r="Q8" s="31">
        <f t="shared" ref="Q8:Q25" si="2">ROUND(O8/1000,0)</f>
        <v>18624</v>
      </c>
    </row>
    <row r="9" spans="1:21" x14ac:dyDescent="0.25">
      <c r="A9" s="24"/>
      <c r="B9" s="21">
        <v>6110</v>
      </c>
      <c r="C9" s="23"/>
      <c r="D9" s="25">
        <v>51024752.68</v>
      </c>
      <c r="E9" s="31"/>
      <c r="F9" s="31">
        <f t="shared" si="1"/>
        <v>51025</v>
      </c>
      <c r="L9" s="24"/>
      <c r="M9" s="44">
        <v>6010</v>
      </c>
      <c r="N9" s="45"/>
      <c r="O9" s="46">
        <v>18623870.969999999</v>
      </c>
      <c r="P9" s="47"/>
      <c r="Q9" s="48">
        <f t="shared" si="2"/>
        <v>18624</v>
      </c>
    </row>
    <row r="10" spans="1:21" x14ac:dyDescent="0.25">
      <c r="A10" s="26"/>
      <c r="B10" s="21">
        <v>611004</v>
      </c>
      <c r="C10" s="23"/>
      <c r="D10" s="25">
        <v>850660.41</v>
      </c>
      <c r="E10" s="31"/>
      <c r="F10" s="31">
        <f t="shared" si="1"/>
        <v>851</v>
      </c>
      <c r="L10" s="20"/>
      <c r="M10" s="21">
        <v>6100</v>
      </c>
      <c r="N10" s="23"/>
      <c r="O10" s="25">
        <v>136379571.94</v>
      </c>
      <c r="Q10" s="31">
        <f t="shared" si="2"/>
        <v>136380</v>
      </c>
    </row>
    <row r="11" spans="1:21" x14ac:dyDescent="0.25">
      <c r="A11" s="26"/>
      <c r="B11" s="21">
        <v>611081</v>
      </c>
      <c r="C11" s="23"/>
      <c r="D11" s="25">
        <v>50174092.270000003</v>
      </c>
      <c r="E11" s="31"/>
      <c r="F11" s="31">
        <f t="shared" si="1"/>
        <v>50174</v>
      </c>
      <c r="L11" s="24"/>
      <c r="M11" s="21">
        <v>6110</v>
      </c>
      <c r="N11" s="23"/>
      <c r="O11" s="25">
        <v>12539867.619999999</v>
      </c>
      <c r="Q11" s="31">
        <f t="shared" si="2"/>
        <v>12540</v>
      </c>
    </row>
    <row r="12" spans="1:21" x14ac:dyDescent="0.25">
      <c r="A12" s="39"/>
      <c r="B12" s="35">
        <v>6160</v>
      </c>
      <c r="C12" s="36"/>
      <c r="D12" s="37">
        <v>199461.98</v>
      </c>
      <c r="E12" s="38"/>
      <c r="F12" s="38">
        <f t="shared" si="1"/>
        <v>199</v>
      </c>
      <c r="L12" s="26"/>
      <c r="M12" s="21">
        <v>611004</v>
      </c>
      <c r="N12" s="23"/>
      <c r="O12" s="25">
        <v>3177791.51</v>
      </c>
      <c r="Q12" s="31">
        <f t="shared" si="2"/>
        <v>3178</v>
      </c>
    </row>
    <row r="13" spans="1:21" x14ac:dyDescent="0.25">
      <c r="A13" s="20"/>
      <c r="B13" s="21">
        <v>6200</v>
      </c>
      <c r="C13" s="23"/>
      <c r="D13" s="25">
        <v>24578191.02</v>
      </c>
      <c r="E13" s="31"/>
      <c r="F13" s="31">
        <f t="shared" si="1"/>
        <v>24578</v>
      </c>
      <c r="L13" s="26"/>
      <c r="M13" s="44">
        <v>611061</v>
      </c>
      <c r="N13" s="45"/>
      <c r="O13" s="46">
        <v>34962.21</v>
      </c>
      <c r="P13" s="47"/>
      <c r="Q13" s="48">
        <f t="shared" si="2"/>
        <v>35</v>
      </c>
    </row>
    <row r="14" spans="1:21" x14ac:dyDescent="0.25">
      <c r="A14" s="24"/>
      <c r="B14" s="35">
        <v>6240</v>
      </c>
      <c r="C14" s="36"/>
      <c r="D14" s="37">
        <v>372190.53</v>
      </c>
      <c r="E14" s="38"/>
      <c r="F14" s="38">
        <f t="shared" si="1"/>
        <v>372</v>
      </c>
      <c r="L14" s="26"/>
      <c r="M14" s="44">
        <v>611081</v>
      </c>
      <c r="N14" s="45"/>
      <c r="O14" s="46">
        <v>1622617.88</v>
      </c>
      <c r="P14" s="47"/>
      <c r="Q14" s="48">
        <f t="shared" si="2"/>
        <v>1623</v>
      </c>
    </row>
    <row r="15" spans="1:21" x14ac:dyDescent="0.25">
      <c r="A15" s="26"/>
      <c r="B15" s="35">
        <v>624003</v>
      </c>
      <c r="C15" s="36"/>
      <c r="D15" s="37">
        <v>372190.53</v>
      </c>
      <c r="E15" s="38"/>
      <c r="F15" s="38">
        <f t="shared" si="1"/>
        <v>372</v>
      </c>
      <c r="L15" s="26"/>
      <c r="M15" s="44">
        <v>611082</v>
      </c>
      <c r="N15" s="45"/>
      <c r="O15" s="46">
        <v>7704496.0199999996</v>
      </c>
      <c r="P15" s="47"/>
      <c r="Q15" s="48">
        <f t="shared" si="2"/>
        <v>7704</v>
      </c>
    </row>
    <row r="16" spans="1:21" x14ac:dyDescent="0.25">
      <c r="A16" s="24"/>
      <c r="B16" s="21">
        <v>6250</v>
      </c>
      <c r="C16" s="23"/>
      <c r="D16" s="25">
        <v>23908100.129999999</v>
      </c>
      <c r="E16" s="31"/>
      <c r="F16" s="31">
        <f t="shared" si="1"/>
        <v>23908</v>
      </c>
      <c r="G16" s="34">
        <f>F16-E26-E34</f>
        <v>-347</v>
      </c>
      <c r="L16" s="24"/>
      <c r="M16" s="21">
        <v>6150</v>
      </c>
      <c r="N16" s="23"/>
      <c r="O16" s="25">
        <v>123807471</v>
      </c>
      <c r="Q16" s="31">
        <f t="shared" si="2"/>
        <v>123807</v>
      </c>
    </row>
    <row r="17" spans="1:17" x14ac:dyDescent="0.25">
      <c r="A17" s="26"/>
      <c r="B17" s="21">
        <v>625001</v>
      </c>
      <c r="C17" s="23"/>
      <c r="D17" s="25">
        <v>23908100.129999999</v>
      </c>
      <c r="E17" s="31"/>
      <c r="F17" s="31">
        <f t="shared" si="1"/>
        <v>23908</v>
      </c>
      <c r="L17" s="26"/>
      <c r="M17" s="21">
        <v>615004</v>
      </c>
      <c r="N17" s="23"/>
      <c r="O17" s="25">
        <v>123807471</v>
      </c>
      <c r="Q17" s="31">
        <f t="shared" si="2"/>
        <v>123807</v>
      </c>
    </row>
    <row r="18" spans="1:17" x14ac:dyDescent="0.25">
      <c r="A18" s="24"/>
      <c r="B18" s="35">
        <v>6280</v>
      </c>
      <c r="C18" s="36"/>
      <c r="D18" s="37">
        <v>297900.36</v>
      </c>
      <c r="E18" s="38"/>
      <c r="F18" s="38">
        <f t="shared" si="1"/>
        <v>298</v>
      </c>
      <c r="L18" s="51"/>
      <c r="M18" s="52">
        <v>6160</v>
      </c>
      <c r="N18" s="53"/>
      <c r="O18" s="54">
        <v>32233.32</v>
      </c>
      <c r="P18" s="55"/>
      <c r="Q18" s="34">
        <f t="shared" si="2"/>
        <v>32</v>
      </c>
    </row>
    <row r="19" spans="1:17" x14ac:dyDescent="0.25">
      <c r="A19" s="26"/>
      <c r="B19" s="35">
        <v>628007</v>
      </c>
      <c r="C19" s="36"/>
      <c r="D19" s="37">
        <v>297900.36</v>
      </c>
      <c r="E19" s="38"/>
      <c r="F19" s="38">
        <f t="shared" si="1"/>
        <v>298</v>
      </c>
      <c r="L19" s="20"/>
      <c r="M19" s="21">
        <v>6200</v>
      </c>
      <c r="N19" s="23"/>
      <c r="O19" s="25">
        <v>2211573.54</v>
      </c>
      <c r="Q19" s="31">
        <f t="shared" si="2"/>
        <v>2212</v>
      </c>
    </row>
    <row r="20" spans="1:17" x14ac:dyDescent="0.25">
      <c r="A20" s="20"/>
      <c r="B20" s="21">
        <v>7200</v>
      </c>
      <c r="C20" s="25">
        <v>124162804.81999999</v>
      </c>
      <c r="D20" s="23"/>
      <c r="E20" s="34">
        <f>ROUND(C20/1000,0)</f>
        <v>124163</v>
      </c>
      <c r="F20" s="31"/>
      <c r="H20" s="60">
        <f>D12+D14+D18</f>
        <v>869552.87</v>
      </c>
      <c r="L20" s="51"/>
      <c r="M20" s="52">
        <v>6240</v>
      </c>
      <c r="N20" s="53"/>
      <c r="O20" s="54">
        <v>25966.799999999999</v>
      </c>
      <c r="P20" s="55"/>
      <c r="Q20" s="34">
        <f t="shared" si="2"/>
        <v>26</v>
      </c>
    </row>
    <row r="21" spans="1:17" x14ac:dyDescent="0.25">
      <c r="A21" s="24"/>
      <c r="B21" s="21">
        <v>7210</v>
      </c>
      <c r="C21" s="25">
        <v>124162804.81999999</v>
      </c>
      <c r="D21" s="23"/>
      <c r="E21" s="31"/>
      <c r="F21" s="31"/>
      <c r="H21" s="60">
        <f>C29</f>
        <v>905880.21</v>
      </c>
      <c r="L21" s="26"/>
      <c r="M21" s="21">
        <v>624003</v>
      </c>
      <c r="N21" s="23"/>
      <c r="O21" s="25">
        <v>25966.799999999999</v>
      </c>
      <c r="Q21" s="31">
        <f t="shared" si="2"/>
        <v>26</v>
      </c>
    </row>
    <row r="22" spans="1:17" x14ac:dyDescent="0.25">
      <c r="A22" s="20"/>
      <c r="B22" s="21">
        <v>7220</v>
      </c>
      <c r="C22" s="25">
        <v>7421721.9199999999</v>
      </c>
      <c r="D22" s="23"/>
      <c r="E22" s="34">
        <f>ROUND(C22/1000,0)</f>
        <v>7422</v>
      </c>
      <c r="F22" s="31"/>
      <c r="H22" s="60">
        <f>H20-H21</f>
        <v>-36327.339999999967</v>
      </c>
      <c r="L22" s="24"/>
      <c r="M22" s="21">
        <v>6250</v>
      </c>
      <c r="N22" s="23"/>
      <c r="O22" s="25">
        <v>2088251.88</v>
      </c>
      <c r="Q22" s="31">
        <f t="shared" si="2"/>
        <v>2088</v>
      </c>
    </row>
    <row r="23" spans="1:17" x14ac:dyDescent="0.25">
      <c r="A23" s="24"/>
      <c r="B23" s="21">
        <v>722001</v>
      </c>
      <c r="C23" s="25">
        <v>7339645.9900000002</v>
      </c>
      <c r="D23" s="23"/>
      <c r="E23" s="31"/>
      <c r="F23" s="31"/>
      <c r="L23" s="26"/>
      <c r="M23" s="21">
        <v>625001</v>
      </c>
      <c r="N23" s="23"/>
      <c r="O23" s="25">
        <v>2088251.88</v>
      </c>
      <c r="Q23" s="31">
        <f t="shared" si="2"/>
        <v>2088</v>
      </c>
    </row>
    <row r="24" spans="1:17" x14ac:dyDescent="0.25">
      <c r="A24" s="24"/>
      <c r="B24" s="21">
        <v>722005</v>
      </c>
      <c r="C24" s="25">
        <v>82075.929999999993</v>
      </c>
      <c r="D24" s="23"/>
      <c r="E24" s="31"/>
      <c r="F24" s="31"/>
      <c r="L24" s="51"/>
      <c r="M24" s="52">
        <v>6280</v>
      </c>
      <c r="N24" s="53"/>
      <c r="O24" s="54">
        <v>97354.86</v>
      </c>
      <c r="P24" s="55"/>
      <c r="Q24" s="34">
        <f t="shared" si="2"/>
        <v>97</v>
      </c>
    </row>
    <row r="25" spans="1:17" x14ac:dyDescent="0.25">
      <c r="A25" s="20"/>
      <c r="B25" s="21">
        <v>7400</v>
      </c>
      <c r="C25" s="25">
        <v>32333313.530000001</v>
      </c>
      <c r="D25" s="23"/>
      <c r="E25" s="31"/>
      <c r="F25" s="31"/>
      <c r="L25" s="26"/>
      <c r="M25" s="21">
        <v>628007</v>
      </c>
      <c r="N25" s="23"/>
      <c r="O25" s="25">
        <v>97354.86</v>
      </c>
      <c r="Q25" s="31">
        <f t="shared" si="2"/>
        <v>97</v>
      </c>
    </row>
    <row r="26" spans="1:17" x14ac:dyDescent="0.25">
      <c r="A26" s="24"/>
      <c r="B26" s="21">
        <v>7430</v>
      </c>
      <c r="C26" s="25">
        <v>24110810.890000001</v>
      </c>
      <c r="D26" s="23"/>
      <c r="E26" s="34">
        <f>ROUND(C26/1000,0)</f>
        <v>24111</v>
      </c>
      <c r="F26" s="31"/>
      <c r="L26" s="20"/>
      <c r="M26" s="21">
        <v>7200</v>
      </c>
      <c r="N26" s="25">
        <v>122100632.27</v>
      </c>
      <c r="O26" s="23"/>
      <c r="P26" s="34">
        <f t="shared" ref="P26:Q50" si="3">ROUND(N26/1000,0)</f>
        <v>122101</v>
      </c>
    </row>
    <row r="27" spans="1:17" x14ac:dyDescent="0.25">
      <c r="A27" s="26"/>
      <c r="B27" s="21">
        <v>743001</v>
      </c>
      <c r="C27" s="25">
        <v>24109647.899999999</v>
      </c>
      <c r="D27" s="23"/>
      <c r="E27" s="31"/>
      <c r="F27" s="31"/>
      <c r="L27" s="24"/>
      <c r="M27" s="21">
        <v>7210</v>
      </c>
      <c r="N27" s="25">
        <v>122100632.27</v>
      </c>
      <c r="O27" s="23"/>
      <c r="P27" s="34">
        <f t="shared" si="3"/>
        <v>122101</v>
      </c>
    </row>
    <row r="28" spans="1:17" x14ac:dyDescent="0.25">
      <c r="A28" s="26"/>
      <c r="B28" s="21">
        <v>743002</v>
      </c>
      <c r="C28" s="25">
        <v>1162.99</v>
      </c>
      <c r="D28" s="23"/>
      <c r="E28" s="31"/>
      <c r="F28" s="31"/>
      <c r="L28" s="20"/>
      <c r="M28" s="21">
        <v>7220</v>
      </c>
      <c r="N28" s="25">
        <v>8725308.6699999999</v>
      </c>
      <c r="O28" s="23"/>
      <c r="P28" s="34">
        <f t="shared" si="3"/>
        <v>8725</v>
      </c>
    </row>
    <row r="29" spans="1:17" x14ac:dyDescent="0.25">
      <c r="A29" s="39"/>
      <c r="B29" s="35">
        <v>7440</v>
      </c>
      <c r="C29" s="37">
        <v>905880.21</v>
      </c>
      <c r="D29" s="36"/>
      <c r="E29" s="38">
        <f>ROUND(C29/1000,0)</f>
        <v>906</v>
      </c>
      <c r="F29" s="31"/>
      <c r="L29" s="24"/>
      <c r="M29" s="21">
        <v>722001</v>
      </c>
      <c r="N29" s="25">
        <v>7418191.4900000002</v>
      </c>
      <c r="O29" s="23"/>
      <c r="P29" s="34">
        <f t="shared" si="3"/>
        <v>7418</v>
      </c>
    </row>
    <row r="30" spans="1:17" x14ac:dyDescent="0.25">
      <c r="A30" s="40"/>
      <c r="B30" s="35">
        <v>744003</v>
      </c>
      <c r="C30" s="37">
        <v>905164.25</v>
      </c>
      <c r="D30" s="36"/>
      <c r="E30" s="38">
        <f>ROUND(C30/1000,0)</f>
        <v>905</v>
      </c>
      <c r="F30" s="31"/>
      <c r="L30" s="24"/>
      <c r="M30" s="21">
        <v>722005</v>
      </c>
      <c r="N30" s="25">
        <v>1307117.18</v>
      </c>
      <c r="O30" s="23"/>
      <c r="P30" s="34">
        <f t="shared" si="3"/>
        <v>1307</v>
      </c>
    </row>
    <row r="31" spans="1:17" x14ac:dyDescent="0.25">
      <c r="A31" s="40"/>
      <c r="B31" s="35">
        <v>744025</v>
      </c>
      <c r="C31" s="41">
        <v>715.96</v>
      </c>
      <c r="D31" s="36"/>
      <c r="E31" s="38">
        <f>ROUND(C31/1000,0)</f>
        <v>1</v>
      </c>
      <c r="F31" s="31"/>
      <c r="L31" s="50"/>
      <c r="M31" s="35">
        <v>7300</v>
      </c>
      <c r="N31" s="37">
        <v>195223.83</v>
      </c>
      <c r="O31" s="36"/>
      <c r="P31" s="49">
        <f t="shared" si="3"/>
        <v>195</v>
      </c>
    </row>
    <row r="32" spans="1:17" x14ac:dyDescent="0.25">
      <c r="A32" s="24"/>
      <c r="B32" s="21">
        <v>7450</v>
      </c>
      <c r="C32" s="25">
        <v>7125214.29</v>
      </c>
      <c r="D32" s="23"/>
      <c r="E32" s="34">
        <f>ROUND(C32/1000,0)</f>
        <v>7125</v>
      </c>
      <c r="F32" s="31"/>
      <c r="L32" s="24"/>
      <c r="M32" s="21">
        <v>7340</v>
      </c>
      <c r="N32" s="25">
        <v>195223.83</v>
      </c>
      <c r="O32" s="23"/>
      <c r="P32" s="34">
        <f t="shared" si="3"/>
        <v>195</v>
      </c>
    </row>
    <row r="33" spans="1:18" x14ac:dyDescent="0.25">
      <c r="A33" s="24"/>
      <c r="B33" s="21">
        <v>7470</v>
      </c>
      <c r="C33" s="25">
        <v>191408.14</v>
      </c>
      <c r="D33" s="23"/>
      <c r="E33" s="31"/>
      <c r="F33" s="31"/>
      <c r="L33" s="20"/>
      <c r="M33" s="21">
        <v>7400</v>
      </c>
      <c r="N33" s="25">
        <v>9814066.0199999996</v>
      </c>
      <c r="O33" s="23"/>
      <c r="P33" s="34">
        <f t="shared" si="3"/>
        <v>9814</v>
      </c>
    </row>
    <row r="34" spans="1:18" x14ac:dyDescent="0.25">
      <c r="A34" s="26"/>
      <c r="B34" s="21">
        <v>747002</v>
      </c>
      <c r="C34" s="25">
        <v>143530</v>
      </c>
      <c r="D34" s="23"/>
      <c r="E34" s="31">
        <f>ROUND(C34/1000,0)</f>
        <v>144</v>
      </c>
      <c r="F34" s="31"/>
      <c r="L34" s="24"/>
      <c r="M34" s="21">
        <v>7430</v>
      </c>
      <c r="N34" s="25">
        <v>1703663.73</v>
      </c>
      <c r="O34" s="23"/>
      <c r="P34" s="34">
        <f t="shared" si="3"/>
        <v>1704</v>
      </c>
    </row>
    <row r="35" spans="1:18" x14ac:dyDescent="0.25">
      <c r="A35" s="26"/>
      <c r="B35" s="21">
        <v>747081</v>
      </c>
      <c r="C35" s="25">
        <v>8036.93</v>
      </c>
      <c r="D35" s="23"/>
      <c r="E35" s="34">
        <f>ROUND(C35/1000,0)</f>
        <v>8</v>
      </c>
      <c r="F35" s="31"/>
      <c r="L35" s="26"/>
      <c r="M35" s="21">
        <v>743001</v>
      </c>
      <c r="N35" s="25">
        <v>1686983.89</v>
      </c>
      <c r="O35" s="23"/>
      <c r="P35" s="34">
        <f t="shared" si="3"/>
        <v>1687</v>
      </c>
    </row>
    <row r="36" spans="1:18" x14ac:dyDescent="0.25">
      <c r="A36" s="28"/>
      <c r="B36" s="21">
        <v>7470811</v>
      </c>
      <c r="C36" s="25">
        <v>8036.93</v>
      </c>
      <c r="D36" s="23"/>
      <c r="E36" s="31"/>
      <c r="F36" s="31"/>
      <c r="L36" s="26"/>
      <c r="M36" s="21">
        <v>743002</v>
      </c>
      <c r="N36" s="25">
        <v>16679.84</v>
      </c>
      <c r="O36" s="23"/>
      <c r="P36" s="34">
        <f t="shared" si="3"/>
        <v>17</v>
      </c>
    </row>
    <row r="37" spans="1:18" x14ac:dyDescent="0.25">
      <c r="A37" s="26"/>
      <c r="B37" s="21">
        <v>747084</v>
      </c>
      <c r="C37" s="25">
        <v>39841.21</v>
      </c>
      <c r="D37" s="23"/>
      <c r="E37" s="34">
        <f>ROUND(C37/1000,0)</f>
        <v>40</v>
      </c>
      <c r="F37" s="31"/>
      <c r="L37" s="39"/>
      <c r="M37" s="35">
        <v>7440</v>
      </c>
      <c r="N37" s="41">
        <v>689.64</v>
      </c>
      <c r="O37" s="36"/>
      <c r="P37" s="49">
        <f t="shared" si="3"/>
        <v>1</v>
      </c>
    </row>
    <row r="38" spans="1:18" x14ac:dyDescent="0.25">
      <c r="A38" s="28"/>
      <c r="B38" s="21">
        <v>7470841</v>
      </c>
      <c r="C38" s="25">
        <v>39841.21</v>
      </c>
      <c r="D38" s="23"/>
      <c r="E38" s="31"/>
      <c r="F38" s="31"/>
      <c r="L38" s="26"/>
      <c r="M38" s="21">
        <v>744025</v>
      </c>
      <c r="N38" s="27">
        <v>474.96</v>
      </c>
      <c r="O38" s="23"/>
      <c r="P38" s="34">
        <f t="shared" si="3"/>
        <v>0</v>
      </c>
    </row>
    <row r="39" spans="1:18" x14ac:dyDescent="0.25">
      <c r="A39" s="29"/>
      <c r="B39" s="18" t="s">
        <v>142</v>
      </c>
      <c r="C39" s="30">
        <v>75802405.680000007</v>
      </c>
      <c r="D39" s="30">
        <v>75802405.680000007</v>
      </c>
      <c r="E39" s="31">
        <f>ROUND(C39/1000,0)</f>
        <v>75802</v>
      </c>
      <c r="F39" s="31">
        <f>ROUND(D39/1000,0)</f>
        <v>75802</v>
      </c>
      <c r="L39" s="26"/>
      <c r="M39" s="21">
        <v>744061</v>
      </c>
      <c r="N39" s="27">
        <v>214.68</v>
      </c>
      <c r="O39" s="23"/>
      <c r="P39" s="34">
        <f t="shared" si="3"/>
        <v>0</v>
      </c>
    </row>
    <row r="40" spans="1:18" ht="22.5" x14ac:dyDescent="0.25">
      <c r="A40" s="29"/>
      <c r="B40" s="18" t="s">
        <v>143</v>
      </c>
      <c r="C40" s="19"/>
      <c r="D40" s="19"/>
      <c r="E40" s="31"/>
      <c r="F40" s="31"/>
      <c r="L40" s="24"/>
      <c r="M40" s="21">
        <v>7470</v>
      </c>
      <c r="N40" s="25">
        <v>8109712.6500000004</v>
      </c>
      <c r="O40" s="23"/>
      <c r="P40" s="34">
        <f t="shared" si="3"/>
        <v>8110</v>
      </c>
    </row>
    <row r="41" spans="1:18" x14ac:dyDescent="0.25">
      <c r="E41" s="31"/>
      <c r="F41" s="31"/>
      <c r="L41" s="26"/>
      <c r="M41" s="21">
        <v>747002</v>
      </c>
      <c r="N41" s="25">
        <v>252300</v>
      </c>
      <c r="O41" s="23"/>
      <c r="P41" s="34">
        <f t="shared" si="3"/>
        <v>252</v>
      </c>
    </row>
    <row r="42" spans="1:18" x14ac:dyDescent="0.25">
      <c r="E42" s="31">
        <f>F12+F15+F19</f>
        <v>869</v>
      </c>
      <c r="L42" s="26"/>
      <c r="M42" s="56">
        <v>747081</v>
      </c>
      <c r="N42" s="57">
        <v>6857777.0999999996</v>
      </c>
      <c r="O42" s="58"/>
      <c r="P42" s="59">
        <f t="shared" si="3"/>
        <v>6858</v>
      </c>
      <c r="R42" s="64">
        <f>N42+N45+N47</f>
        <v>7857412.6499999994</v>
      </c>
    </row>
    <row r="43" spans="1:18" x14ac:dyDescent="0.25">
      <c r="E43" s="31">
        <f>E29</f>
        <v>906</v>
      </c>
      <c r="L43" s="28"/>
      <c r="M43" s="21">
        <v>7470811</v>
      </c>
      <c r="N43" s="25">
        <v>26490.5</v>
      </c>
      <c r="O43" s="23"/>
      <c r="P43" s="34">
        <f t="shared" si="3"/>
        <v>26</v>
      </c>
    </row>
    <row r="44" spans="1:18" x14ac:dyDescent="0.25">
      <c r="E44" s="31">
        <f>E42-E43</f>
        <v>-37</v>
      </c>
      <c r="L44" s="28"/>
      <c r="M44" s="21">
        <v>7470812</v>
      </c>
      <c r="N44" s="25">
        <v>6831286.5999999996</v>
      </c>
      <c r="O44" s="23"/>
      <c r="P44" s="34">
        <f t="shared" si="3"/>
        <v>6831</v>
      </c>
    </row>
    <row r="45" spans="1:18" x14ac:dyDescent="0.25">
      <c r="L45" s="26"/>
      <c r="M45" s="56">
        <v>747083</v>
      </c>
      <c r="N45" s="57">
        <v>209038.75</v>
      </c>
      <c r="O45" s="58"/>
      <c r="P45" s="59">
        <f t="shared" si="3"/>
        <v>209</v>
      </c>
    </row>
    <row r="46" spans="1:18" x14ac:dyDescent="0.25">
      <c r="L46" s="28"/>
      <c r="M46" s="21">
        <v>7470832</v>
      </c>
      <c r="N46" s="25">
        <v>209038.75</v>
      </c>
      <c r="O46" s="23"/>
      <c r="P46" s="34">
        <f t="shared" si="3"/>
        <v>209</v>
      </c>
    </row>
    <row r="47" spans="1:18" x14ac:dyDescent="0.25">
      <c r="L47" s="26"/>
      <c r="M47" s="56">
        <v>747084</v>
      </c>
      <c r="N47" s="57">
        <v>790596.8</v>
      </c>
      <c r="O47" s="58"/>
      <c r="P47" s="59">
        <f t="shared" si="3"/>
        <v>791</v>
      </c>
    </row>
    <row r="48" spans="1:18" x14ac:dyDescent="0.25">
      <c r="L48" s="28"/>
      <c r="M48" s="21">
        <v>7470841</v>
      </c>
      <c r="N48" s="25">
        <v>34052.639999999999</v>
      </c>
      <c r="O48" s="23"/>
      <c r="P48" s="34">
        <f t="shared" si="3"/>
        <v>34</v>
      </c>
    </row>
    <row r="49" spans="8:17" x14ac:dyDescent="0.25">
      <c r="L49" s="28"/>
      <c r="M49" s="21">
        <v>7470842</v>
      </c>
      <c r="N49" s="25">
        <v>756544.16</v>
      </c>
      <c r="O49" s="23"/>
      <c r="P49" s="34">
        <f t="shared" si="3"/>
        <v>757</v>
      </c>
    </row>
    <row r="50" spans="8:17" x14ac:dyDescent="0.25">
      <c r="L50" s="29"/>
      <c r="M50" s="18" t="s">
        <v>142</v>
      </c>
      <c r="N50" s="30">
        <v>157215016.44999999</v>
      </c>
      <c r="O50" s="30">
        <v>157215016.44999999</v>
      </c>
      <c r="P50" s="34">
        <f t="shared" si="3"/>
        <v>157215</v>
      </c>
      <c r="Q50" s="31">
        <f t="shared" si="3"/>
        <v>157215</v>
      </c>
    </row>
    <row r="51" spans="8:17" ht="22.5" x14ac:dyDescent="0.25">
      <c r="L51" s="29"/>
      <c r="M51" s="18" t="s">
        <v>143</v>
      </c>
      <c r="N51" s="19"/>
      <c r="O51" s="19"/>
    </row>
    <row r="53" spans="8:17" x14ac:dyDescent="0.25">
      <c r="O53" s="43">
        <f>O18+O20+O24</f>
        <v>155554.97999999998</v>
      </c>
      <c r="P53" s="33">
        <f>Q18+Q20+Q24</f>
        <v>155</v>
      </c>
    </row>
    <row r="54" spans="8:17" x14ac:dyDescent="0.25">
      <c r="O54" s="43">
        <f>N31+N37</f>
        <v>195913.47</v>
      </c>
      <c r="P54" s="33">
        <f>P31+P37</f>
        <v>196</v>
      </c>
    </row>
    <row r="55" spans="8:17" x14ac:dyDescent="0.25">
      <c r="H55" s="11" t="s">
        <v>106</v>
      </c>
      <c r="O55" s="43">
        <f>O53-O54</f>
        <v>-40358.49000000002</v>
      </c>
      <c r="P55" s="33">
        <f>P53-P54</f>
        <v>-41</v>
      </c>
    </row>
    <row r="56" spans="8:17" ht="33.75" x14ac:dyDescent="0.25">
      <c r="H56" s="1"/>
      <c r="I56" s="9" t="s">
        <v>46</v>
      </c>
      <c r="J56" s="9" t="s">
        <v>64</v>
      </c>
    </row>
    <row r="57" spans="8:17" ht="22.5" x14ac:dyDescent="0.25">
      <c r="H57" s="1" t="s">
        <v>107</v>
      </c>
      <c r="I57" s="69">
        <f>ОПиУ!C17</f>
        <v>-88119</v>
      </c>
      <c r="J57" s="69">
        <f>ОПиУ!E17</f>
        <v>16197</v>
      </c>
    </row>
    <row r="58" spans="8:17" ht="15.75" thickBot="1" x14ac:dyDescent="0.3">
      <c r="H58" s="1" t="s">
        <v>108</v>
      </c>
      <c r="I58" s="69">
        <f>L76</f>
        <v>1730371.069509004</v>
      </c>
      <c r="J58" s="69">
        <v>1657337</v>
      </c>
    </row>
    <row r="59" spans="8:17" ht="23.25" thickBot="1" x14ac:dyDescent="0.3">
      <c r="H59" s="67" t="s">
        <v>16</v>
      </c>
      <c r="I59" s="68">
        <f>I57/I58*1000</f>
        <v>-50.924915211974692</v>
      </c>
      <c r="J59" s="68">
        <f>J57/J58*1000</f>
        <v>9.7729067775594221</v>
      </c>
    </row>
    <row r="60" spans="8:17" ht="15.75" thickTop="1" x14ac:dyDescent="0.25"/>
    <row r="63" spans="8:17" x14ac:dyDescent="0.25">
      <c r="H63"/>
      <c r="I63"/>
      <c r="J63"/>
    </row>
    <row r="64" spans="8:17" ht="45.75" x14ac:dyDescent="0.25">
      <c r="H64" s="302"/>
      <c r="I64" s="303" t="s">
        <v>462</v>
      </c>
      <c r="J64" s="303" t="s">
        <v>463</v>
      </c>
      <c r="K64" s="303" t="s">
        <v>462</v>
      </c>
      <c r="L64" s="303" t="s">
        <v>464</v>
      </c>
    </row>
    <row r="65" spans="8:12" x14ac:dyDescent="0.25">
      <c r="H65" s="304">
        <v>43831</v>
      </c>
      <c r="I65" s="302">
        <v>1587050</v>
      </c>
      <c r="J65" s="302">
        <v>0</v>
      </c>
      <c r="K65" s="302">
        <v>1587050</v>
      </c>
      <c r="L65" s="302">
        <v>1587050</v>
      </c>
    </row>
    <row r="66" spans="8:12" x14ac:dyDescent="0.25">
      <c r="H66" s="304">
        <v>43885</v>
      </c>
      <c r="I66" s="302">
        <v>1587050</v>
      </c>
      <c r="J66" s="302">
        <v>53729</v>
      </c>
      <c r="K66" s="302">
        <v>1640779</v>
      </c>
      <c r="L66" s="302">
        <v>45780.05205479452</v>
      </c>
    </row>
    <row r="67" spans="8:12" x14ac:dyDescent="0.25">
      <c r="H67" s="304">
        <v>43886</v>
      </c>
      <c r="I67" s="302">
        <v>1640779</v>
      </c>
      <c r="J67" s="302">
        <v>31700</v>
      </c>
      <c r="K67" s="302">
        <v>1672479</v>
      </c>
      <c r="L67" s="302">
        <v>26923.287671232876</v>
      </c>
    </row>
    <row r="68" spans="8:12" x14ac:dyDescent="0.25">
      <c r="H68" s="304">
        <v>43924</v>
      </c>
      <c r="I68" s="302">
        <v>1672479</v>
      </c>
      <c r="J68" s="302">
        <v>-50356</v>
      </c>
      <c r="K68" s="302">
        <v>1622123</v>
      </c>
      <c r="L68" s="302">
        <v>-37525.56712328767</v>
      </c>
    </row>
    <row r="69" spans="8:12" x14ac:dyDescent="0.25">
      <c r="H69" s="304">
        <v>43992</v>
      </c>
      <c r="I69" s="302">
        <v>1622123</v>
      </c>
      <c r="J69" s="302">
        <v>30000</v>
      </c>
      <c r="K69" s="302">
        <v>1652123</v>
      </c>
      <c r="L69" s="302">
        <v>16767.123287671231</v>
      </c>
    </row>
    <row r="70" spans="8:12" x14ac:dyDescent="0.25">
      <c r="H70" s="304">
        <v>44011</v>
      </c>
      <c r="I70" s="302">
        <v>1652123</v>
      </c>
      <c r="J70" s="302">
        <v>25000</v>
      </c>
      <c r="K70" s="302">
        <v>1677123</v>
      </c>
      <c r="L70" s="302">
        <v>12671.232876712329</v>
      </c>
    </row>
    <row r="71" spans="8:12" x14ac:dyDescent="0.25">
      <c r="H71" s="304">
        <v>44127</v>
      </c>
      <c r="I71" s="302">
        <v>1677123</v>
      </c>
      <c r="J71" s="302">
        <v>30000</v>
      </c>
      <c r="K71" s="302">
        <v>1707123</v>
      </c>
      <c r="L71" s="302">
        <v>5671.232876712329</v>
      </c>
    </row>
    <row r="72" spans="8:12" x14ac:dyDescent="0.25">
      <c r="H72" s="304">
        <v>44196</v>
      </c>
      <c r="I72" s="302">
        <v>1707123</v>
      </c>
      <c r="J72" s="302"/>
      <c r="K72" s="302">
        <v>1707123</v>
      </c>
      <c r="L72" s="302">
        <v>1657337.3616438354</v>
      </c>
    </row>
    <row r="73" spans="8:12" x14ac:dyDescent="0.25">
      <c r="H73" s="302"/>
      <c r="I73" s="302"/>
      <c r="J73" s="302"/>
      <c r="K73" s="302"/>
      <c r="L73" s="302"/>
    </row>
    <row r="74" spans="8:12" x14ac:dyDescent="0.25">
      <c r="H74" s="304">
        <v>44197</v>
      </c>
      <c r="I74" s="302">
        <v>1707123</v>
      </c>
      <c r="J74" s="302"/>
      <c r="K74" s="302">
        <v>1707123</v>
      </c>
      <c r="L74" s="302">
        <v>1657337.3616438354</v>
      </c>
    </row>
    <row r="75" spans="8:12" x14ac:dyDescent="0.25">
      <c r="H75" s="304">
        <v>44221</v>
      </c>
      <c r="I75" s="302">
        <v>1707123</v>
      </c>
      <c r="J75" s="302">
        <v>100000</v>
      </c>
      <c r="K75" s="302">
        <v>1807123</v>
      </c>
      <c r="L75" s="302">
        <v>73033.707865168544</v>
      </c>
    </row>
    <row r="76" spans="8:12" x14ac:dyDescent="0.25">
      <c r="H76" s="304">
        <v>44286</v>
      </c>
      <c r="I76" s="302">
        <v>1807123</v>
      </c>
      <c r="J76" s="302"/>
      <c r="K76" s="302"/>
      <c r="L76" s="302">
        <v>1730371.069509004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4F35-3965-46A2-96F6-5C053112BE4B}">
  <dimension ref="A1:M117"/>
  <sheetViews>
    <sheetView view="pageBreakPreview" topLeftCell="A58" zoomScale="98" zoomScaleNormal="100" zoomScaleSheetLayoutView="98" workbookViewId="0">
      <selection activeCell="I27" sqref="I27"/>
    </sheetView>
  </sheetViews>
  <sheetFormatPr defaultRowHeight="15" x14ac:dyDescent="0.25"/>
  <cols>
    <col min="1" max="1" width="40.28515625" customWidth="1"/>
    <col min="2" max="2" width="12.28515625" bestFit="1" customWidth="1"/>
    <col min="3" max="3" width="13.7109375" bestFit="1" customWidth="1"/>
    <col min="4" max="5" width="15.42578125" customWidth="1"/>
    <col min="6" max="6" width="13.140625" bestFit="1" customWidth="1"/>
    <col min="7" max="7" width="15.28515625" bestFit="1" customWidth="1"/>
    <col min="8" max="8" width="15.7109375" style="61" bestFit="1" customWidth="1"/>
    <col min="9" max="9" width="11.42578125" style="61" bestFit="1" customWidth="1"/>
  </cols>
  <sheetData>
    <row r="1" spans="1:9" x14ac:dyDescent="0.25">
      <c r="A1" s="113" t="s">
        <v>133</v>
      </c>
      <c r="B1" s="114"/>
      <c r="C1" s="114"/>
      <c r="D1" s="114"/>
      <c r="E1" s="114"/>
      <c r="F1" s="114"/>
      <c r="G1" s="114"/>
    </row>
    <row r="2" spans="1:9" x14ac:dyDescent="0.25">
      <c r="A2" s="113" t="s">
        <v>212</v>
      </c>
      <c r="B2" s="114"/>
      <c r="C2" s="114"/>
      <c r="D2" s="114"/>
      <c r="E2" s="114"/>
      <c r="F2" s="114"/>
      <c r="G2" s="114"/>
      <c r="H2" s="64">
        <f>-G93</f>
        <v>-1140769165.73</v>
      </c>
    </row>
    <row r="3" spans="1:9" x14ac:dyDescent="0.25">
      <c r="A3" s="114" t="s">
        <v>135</v>
      </c>
      <c r="B3" s="114" t="s">
        <v>136</v>
      </c>
      <c r="C3" s="114"/>
      <c r="D3" s="114"/>
      <c r="E3" s="114"/>
      <c r="F3" s="114"/>
      <c r="G3" s="114"/>
    </row>
    <row r="4" spans="1:9" x14ac:dyDescent="0.25">
      <c r="A4" s="759" t="s">
        <v>213</v>
      </c>
      <c r="B4" s="761" t="s">
        <v>214</v>
      </c>
      <c r="C4" s="761"/>
      <c r="D4" s="761" t="s">
        <v>215</v>
      </c>
      <c r="E4" s="761"/>
      <c r="F4" s="761" t="s">
        <v>216</v>
      </c>
      <c r="G4" s="761"/>
    </row>
    <row r="5" spans="1:9" x14ac:dyDescent="0.25">
      <c r="A5" s="760"/>
      <c r="B5" s="115" t="s">
        <v>139</v>
      </c>
      <c r="C5" s="115" t="s">
        <v>140</v>
      </c>
      <c r="D5" s="115" t="s">
        <v>139</v>
      </c>
      <c r="E5" s="115" t="s">
        <v>140</v>
      </c>
      <c r="F5" s="115" t="s">
        <v>139</v>
      </c>
      <c r="G5" s="115" t="s">
        <v>140</v>
      </c>
    </row>
    <row r="6" spans="1:9" x14ac:dyDescent="0.25">
      <c r="A6" s="116" t="s">
        <v>217</v>
      </c>
      <c r="B6" s="117">
        <v>18621520.420000002</v>
      </c>
      <c r="C6" s="118"/>
      <c r="D6" s="117">
        <v>124329219972.8</v>
      </c>
      <c r="E6" s="117">
        <v>123204307311.75999</v>
      </c>
      <c r="F6" s="117">
        <v>1143534181.46</v>
      </c>
      <c r="G6" s="118"/>
    </row>
    <row r="7" spans="1:9" x14ac:dyDescent="0.25">
      <c r="A7" s="119" t="s">
        <v>218</v>
      </c>
      <c r="B7" s="120"/>
      <c r="C7" s="120"/>
      <c r="D7" s="121">
        <v>29178097.32</v>
      </c>
      <c r="E7" s="121">
        <v>29178097.32</v>
      </c>
      <c r="F7" s="120"/>
      <c r="G7" s="120"/>
    </row>
    <row r="8" spans="1:9" x14ac:dyDescent="0.25">
      <c r="A8" s="119" t="s">
        <v>219</v>
      </c>
      <c r="B8" s="121">
        <v>18621520.420000002</v>
      </c>
      <c r="C8" s="120"/>
      <c r="D8" s="121">
        <v>124300041875.48</v>
      </c>
      <c r="E8" s="121">
        <v>123175129214.44</v>
      </c>
      <c r="F8" s="121">
        <v>1143534181.46</v>
      </c>
      <c r="G8" s="120"/>
      <c r="H8" s="64">
        <f>F8+H2</f>
        <v>2765015.7300000191</v>
      </c>
      <c r="I8" s="31">
        <f>ROUND(H8/1000,0)</f>
        <v>2765</v>
      </c>
    </row>
    <row r="9" spans="1:9" x14ac:dyDescent="0.25">
      <c r="A9" s="116" t="s">
        <v>220</v>
      </c>
      <c r="B9" s="117">
        <v>572341377.66999996</v>
      </c>
      <c r="C9" s="118"/>
      <c r="D9" s="117">
        <v>2318016294.02</v>
      </c>
      <c r="E9" s="117">
        <v>2317022155.8400002</v>
      </c>
      <c r="F9" s="117">
        <v>573335515.85000002</v>
      </c>
      <c r="G9" s="118"/>
    </row>
    <row r="10" spans="1:9" ht="33.75" x14ac:dyDescent="0.25">
      <c r="A10" s="122" t="s">
        <v>221</v>
      </c>
      <c r="B10" s="123">
        <v>543133620</v>
      </c>
      <c r="C10" s="124"/>
      <c r="D10" s="124"/>
      <c r="E10" s="124"/>
      <c r="F10" s="123">
        <v>543133620</v>
      </c>
      <c r="G10" s="124"/>
      <c r="I10" s="31">
        <f>ROUND(F10/1000,0)</f>
        <v>543134</v>
      </c>
    </row>
    <row r="11" spans="1:9" ht="45" x14ac:dyDescent="0.25">
      <c r="A11" s="125" t="s">
        <v>222</v>
      </c>
      <c r="B11" s="121">
        <v>422437260</v>
      </c>
      <c r="C11" s="120"/>
      <c r="D11" s="120"/>
      <c r="E11" s="120"/>
      <c r="F11" s="121">
        <v>422437260</v>
      </c>
      <c r="G11" s="120"/>
    </row>
    <row r="12" spans="1:9" ht="56.25" x14ac:dyDescent="0.25">
      <c r="A12" s="125" t="s">
        <v>223</v>
      </c>
      <c r="B12" s="121">
        <v>120696360</v>
      </c>
      <c r="C12" s="120"/>
      <c r="D12" s="120"/>
      <c r="E12" s="120"/>
      <c r="F12" s="121">
        <v>120696360</v>
      </c>
      <c r="G12" s="120"/>
    </row>
    <row r="13" spans="1:9" ht="22.5" x14ac:dyDescent="0.25">
      <c r="A13" s="122" t="s">
        <v>224</v>
      </c>
      <c r="B13" s="123">
        <v>200000</v>
      </c>
      <c r="C13" s="124"/>
      <c r="D13" s="124"/>
      <c r="E13" s="124"/>
      <c r="F13" s="123">
        <v>200000</v>
      </c>
      <c r="G13" s="124"/>
      <c r="I13" s="31">
        <f>ROUND(F13/1000,0)</f>
        <v>200</v>
      </c>
    </row>
    <row r="14" spans="1:9" ht="33.75" x14ac:dyDescent="0.25">
      <c r="A14" s="125" t="s">
        <v>225</v>
      </c>
      <c r="B14" s="121">
        <v>200000</v>
      </c>
      <c r="C14" s="120"/>
      <c r="D14" s="120"/>
      <c r="E14" s="120"/>
      <c r="F14" s="121">
        <v>200000</v>
      </c>
      <c r="G14" s="120"/>
    </row>
    <row r="15" spans="1:9" ht="22.5" x14ac:dyDescent="0.25">
      <c r="A15" s="122" t="s">
        <v>226</v>
      </c>
      <c r="B15" s="123">
        <v>29007757.670000002</v>
      </c>
      <c r="C15" s="124"/>
      <c r="D15" s="123">
        <v>2318016294.02</v>
      </c>
      <c r="E15" s="123">
        <v>2317022155.8400002</v>
      </c>
      <c r="F15" s="123">
        <v>30001895.850000001</v>
      </c>
      <c r="G15" s="124"/>
      <c r="I15" s="31">
        <f>ROUND(F15/1000,0)</f>
        <v>30002</v>
      </c>
    </row>
    <row r="16" spans="1:9" ht="22.5" x14ac:dyDescent="0.25">
      <c r="A16" s="125" t="s">
        <v>227</v>
      </c>
      <c r="B16" s="121">
        <v>29007757.670000002</v>
      </c>
      <c r="C16" s="120"/>
      <c r="D16" s="121">
        <v>2318016294.02</v>
      </c>
      <c r="E16" s="121">
        <v>2317022155.8400002</v>
      </c>
      <c r="F16" s="121">
        <v>30001895.850000001</v>
      </c>
      <c r="G16" s="120"/>
    </row>
    <row r="17" spans="1:13" ht="22.5" x14ac:dyDescent="0.25">
      <c r="A17" s="116" t="s">
        <v>228</v>
      </c>
      <c r="B17" s="117">
        <v>27311049.739999998</v>
      </c>
      <c r="C17" s="118"/>
      <c r="D17" s="117">
        <v>163616771.72</v>
      </c>
      <c r="E17" s="117">
        <v>169437204.31</v>
      </c>
      <c r="F17" s="117">
        <v>21490617.149999999</v>
      </c>
      <c r="G17" s="118"/>
    </row>
    <row r="18" spans="1:13" ht="22.5" x14ac:dyDescent="0.25">
      <c r="A18" s="119" t="s">
        <v>229</v>
      </c>
      <c r="B18" s="121">
        <v>11265631</v>
      </c>
      <c r="C18" s="120"/>
      <c r="D18" s="121">
        <v>42285611.469999999</v>
      </c>
      <c r="E18" s="121">
        <v>48342543.149999999</v>
      </c>
      <c r="F18" s="121">
        <v>5208699.32</v>
      </c>
      <c r="G18" s="120"/>
      <c r="I18" s="34">
        <f>ROUND(F18/1000,0)</f>
        <v>5209</v>
      </c>
    </row>
    <row r="19" spans="1:13" ht="22.5" x14ac:dyDescent="0.25">
      <c r="A19" s="122" t="s">
        <v>230</v>
      </c>
      <c r="B19" s="123">
        <v>8543061.9499999993</v>
      </c>
      <c r="C19" s="124"/>
      <c r="D19" s="123">
        <v>68885054.579999998</v>
      </c>
      <c r="E19" s="123">
        <v>71960855.090000004</v>
      </c>
      <c r="F19" s="123">
        <v>5467261.4400000004</v>
      </c>
      <c r="G19" s="124"/>
      <c r="I19" s="31">
        <f>ROUND(F19/1000,0)</f>
        <v>5467</v>
      </c>
    </row>
    <row r="20" spans="1:13" ht="22.5" x14ac:dyDescent="0.25">
      <c r="A20" s="125" t="s">
        <v>231</v>
      </c>
      <c r="B20" s="121">
        <v>302793.06</v>
      </c>
      <c r="C20" s="120"/>
      <c r="D20" s="121">
        <v>8821301.1400000006</v>
      </c>
      <c r="E20" s="121">
        <v>8975422.75</v>
      </c>
      <c r="F20" s="121">
        <v>148671.45000000001</v>
      </c>
      <c r="G20" s="120"/>
      <c r="I20" s="31"/>
    </row>
    <row r="21" spans="1:13" ht="22.5" x14ac:dyDescent="0.25">
      <c r="A21" s="125" t="s">
        <v>232</v>
      </c>
      <c r="B21" s="121">
        <v>2720571.94</v>
      </c>
      <c r="C21" s="120"/>
      <c r="D21" s="121">
        <v>59858120.240000002</v>
      </c>
      <c r="E21" s="121">
        <v>61394992.450000003</v>
      </c>
      <c r="F21" s="121">
        <v>1183699.73</v>
      </c>
      <c r="G21" s="120"/>
      <c r="I21" s="31"/>
    </row>
    <row r="22" spans="1:13" ht="22.5" x14ac:dyDescent="0.25">
      <c r="A22" s="125" t="s">
        <v>233</v>
      </c>
      <c r="B22" s="121">
        <v>5519696.9500000002</v>
      </c>
      <c r="C22" s="120"/>
      <c r="D22" s="121">
        <v>205633.2</v>
      </c>
      <c r="E22" s="121">
        <v>1590439.89</v>
      </c>
      <c r="F22" s="121">
        <v>4134890.26</v>
      </c>
      <c r="G22" s="120"/>
      <c r="I22" s="31"/>
      <c r="M22" s="33">
        <f>I19</f>
        <v>5467</v>
      </c>
    </row>
    <row r="23" spans="1:13" ht="22.5" x14ac:dyDescent="0.25">
      <c r="A23" s="122" t="s">
        <v>234</v>
      </c>
      <c r="B23" s="123">
        <v>7597852.2199999997</v>
      </c>
      <c r="C23" s="124"/>
      <c r="D23" s="123">
        <v>51925506.109999999</v>
      </c>
      <c r="E23" s="123">
        <v>48057781.329999998</v>
      </c>
      <c r="F23" s="123">
        <v>11465577</v>
      </c>
      <c r="G23" s="124"/>
      <c r="I23" s="31"/>
      <c r="M23" s="33">
        <f>I35-I37</f>
        <v>10461</v>
      </c>
    </row>
    <row r="24" spans="1:13" ht="33.75" x14ac:dyDescent="0.25">
      <c r="A24" s="125" t="s">
        <v>235</v>
      </c>
      <c r="B24" s="120"/>
      <c r="C24" s="120"/>
      <c r="D24" s="121">
        <v>850660.41</v>
      </c>
      <c r="E24" s="121">
        <v>843591.47</v>
      </c>
      <c r="F24" s="121">
        <v>7068.94</v>
      </c>
      <c r="G24" s="120"/>
      <c r="I24" s="31">
        <f>ROUND(F24/1000,0)</f>
        <v>7</v>
      </c>
      <c r="M24" s="33">
        <f>I45</f>
        <v>25438</v>
      </c>
    </row>
    <row r="25" spans="1:13" ht="33.75" x14ac:dyDescent="0.25">
      <c r="A25" s="125" t="s">
        <v>236</v>
      </c>
      <c r="B25" s="121">
        <v>2072446.35</v>
      </c>
      <c r="C25" s="120"/>
      <c r="D25" s="121">
        <v>50174092.270000003</v>
      </c>
      <c r="E25" s="121">
        <v>46264349.420000002</v>
      </c>
      <c r="F25" s="121">
        <v>5982189.2000000002</v>
      </c>
      <c r="G25" s="120"/>
      <c r="I25" s="34">
        <f>ROUND(F25/1000,0)</f>
        <v>5982</v>
      </c>
      <c r="M25" s="33">
        <f>I33</f>
        <v>302</v>
      </c>
    </row>
    <row r="26" spans="1:13" ht="33.75" x14ac:dyDescent="0.25">
      <c r="A26" s="125" t="s">
        <v>237</v>
      </c>
      <c r="B26" s="121">
        <v>430794.71</v>
      </c>
      <c r="C26" s="120"/>
      <c r="D26" s="120"/>
      <c r="E26" s="121">
        <v>430794.71</v>
      </c>
      <c r="F26" s="120"/>
      <c r="G26" s="120"/>
      <c r="M26" s="33">
        <f>I28</f>
        <v>5000</v>
      </c>
    </row>
    <row r="27" spans="1:13" ht="45" x14ac:dyDescent="0.25">
      <c r="A27" s="125" t="s">
        <v>238</v>
      </c>
      <c r="B27" s="121">
        <v>5094611.16</v>
      </c>
      <c r="C27" s="120"/>
      <c r="D27" s="121">
        <v>900753.43</v>
      </c>
      <c r="E27" s="121">
        <v>519045.73</v>
      </c>
      <c r="F27" s="121">
        <v>5476318.8600000003</v>
      </c>
      <c r="G27" s="120"/>
      <c r="I27" s="31">
        <f>ROUND(F27/1000,0)</f>
        <v>5476</v>
      </c>
      <c r="J27" s="33">
        <f>I27-J30</f>
        <v>-175</v>
      </c>
      <c r="M27" s="33">
        <f>SUM(M22:M26)</f>
        <v>46668</v>
      </c>
    </row>
    <row r="28" spans="1:13" ht="22.5" x14ac:dyDescent="0.25">
      <c r="A28" s="122" t="s">
        <v>239</v>
      </c>
      <c r="B28" s="123">
        <v>5000000</v>
      </c>
      <c r="C28" s="124"/>
      <c r="D28" s="124"/>
      <c r="E28" s="124"/>
      <c r="F28" s="123">
        <v>5000000</v>
      </c>
      <c r="G28" s="124"/>
      <c r="I28" s="34">
        <f>ROUND(F28/1000,0)</f>
        <v>5000</v>
      </c>
    </row>
    <row r="29" spans="1:13" x14ac:dyDescent="0.25">
      <c r="A29" s="125" t="s">
        <v>240</v>
      </c>
      <c r="B29" s="121">
        <v>5000000</v>
      </c>
      <c r="C29" s="120"/>
      <c r="D29" s="120"/>
      <c r="E29" s="120"/>
      <c r="F29" s="121">
        <v>5000000</v>
      </c>
      <c r="G29" s="120"/>
    </row>
    <row r="30" spans="1:13" x14ac:dyDescent="0.25">
      <c r="A30" s="122" t="s">
        <v>241</v>
      </c>
      <c r="B30" s="124"/>
      <c r="C30" s="123">
        <v>5095495.43</v>
      </c>
      <c r="D30" s="123">
        <v>520599.56</v>
      </c>
      <c r="E30" s="123">
        <v>1076024.74</v>
      </c>
      <c r="F30" s="124"/>
      <c r="G30" s="123">
        <v>5650920.6100000003</v>
      </c>
      <c r="J30" s="31">
        <f>ROUND(G30/1000,0)</f>
        <v>5651</v>
      </c>
    </row>
    <row r="31" spans="1:13" ht="22.5" x14ac:dyDescent="0.25">
      <c r="A31" s="125" t="s">
        <v>242</v>
      </c>
      <c r="B31" s="120"/>
      <c r="C31" s="121">
        <v>5094611.16</v>
      </c>
      <c r="D31" s="121">
        <v>519235.54</v>
      </c>
      <c r="E31" s="121">
        <v>1075300.57</v>
      </c>
      <c r="F31" s="120"/>
      <c r="G31" s="121">
        <v>5650676.1900000004</v>
      </c>
    </row>
    <row r="32" spans="1:13" ht="45" x14ac:dyDescent="0.25">
      <c r="A32" s="125" t="s">
        <v>243</v>
      </c>
      <c r="B32" s="120"/>
      <c r="C32" s="126">
        <v>884.27</v>
      </c>
      <c r="D32" s="121">
        <v>1364.02</v>
      </c>
      <c r="E32" s="126">
        <v>724.17</v>
      </c>
      <c r="F32" s="120"/>
      <c r="G32" s="126">
        <v>244.42</v>
      </c>
    </row>
    <row r="33" spans="1:9" x14ac:dyDescent="0.25">
      <c r="A33" s="116" t="s">
        <v>244</v>
      </c>
      <c r="B33" s="117">
        <v>271822.21000000002</v>
      </c>
      <c r="C33" s="118"/>
      <c r="D33" s="117">
        <v>588610.26</v>
      </c>
      <c r="E33" s="117">
        <v>558656.26</v>
      </c>
      <c r="F33" s="117">
        <v>301776.21000000002</v>
      </c>
      <c r="G33" s="118"/>
      <c r="I33" s="31">
        <f>ROUND(F33/1000,0)</f>
        <v>302</v>
      </c>
    </row>
    <row r="34" spans="1:9" x14ac:dyDescent="0.25">
      <c r="A34" s="119" t="s">
        <v>245</v>
      </c>
      <c r="B34" s="121">
        <v>271822.21000000002</v>
      </c>
      <c r="C34" s="120"/>
      <c r="D34" s="121">
        <v>588610.26</v>
      </c>
      <c r="E34" s="121">
        <v>558656.26</v>
      </c>
      <c r="F34" s="121">
        <v>301776.21000000002</v>
      </c>
      <c r="G34" s="120"/>
    </row>
    <row r="35" spans="1:9" x14ac:dyDescent="0.25">
      <c r="A35" s="116" t="s">
        <v>246</v>
      </c>
      <c r="B35" s="117">
        <v>15127370.619999999</v>
      </c>
      <c r="C35" s="118"/>
      <c r="D35" s="117">
        <v>2501584.84</v>
      </c>
      <c r="E35" s="117">
        <v>2729824.51</v>
      </c>
      <c r="F35" s="117">
        <v>14899130.949999999</v>
      </c>
      <c r="G35" s="118"/>
      <c r="I35" s="31">
        <f t="shared" ref="I35:I41" si="0">ROUND(F35/1000,0)</f>
        <v>14899</v>
      </c>
    </row>
    <row r="36" spans="1:9" x14ac:dyDescent="0.25">
      <c r="A36" s="119" t="s">
        <v>247</v>
      </c>
      <c r="B36" s="121">
        <v>1576353.47</v>
      </c>
      <c r="C36" s="120"/>
      <c r="D36" s="120"/>
      <c r="E36" s="120"/>
      <c r="F36" s="121">
        <v>1576353.47</v>
      </c>
      <c r="G36" s="120"/>
      <c r="I36" s="31">
        <f t="shared" si="0"/>
        <v>1576</v>
      </c>
    </row>
    <row r="37" spans="1:9" ht="22.5" x14ac:dyDescent="0.25">
      <c r="A37" s="119" t="s">
        <v>248</v>
      </c>
      <c r="B37" s="121">
        <v>4438497.9800000004</v>
      </c>
      <c r="C37" s="120"/>
      <c r="D37" s="120"/>
      <c r="E37" s="120"/>
      <c r="F37" s="121">
        <v>4438497.9800000004</v>
      </c>
      <c r="G37" s="120"/>
      <c r="I37" s="31">
        <f t="shared" si="0"/>
        <v>4438</v>
      </c>
    </row>
    <row r="38" spans="1:9" ht="22.5" x14ac:dyDescent="0.25">
      <c r="A38" s="119" t="s">
        <v>249</v>
      </c>
      <c r="B38" s="121">
        <v>4299715.3600000003</v>
      </c>
      <c r="C38" s="120"/>
      <c r="D38" s="121">
        <v>2501584.84</v>
      </c>
      <c r="E38" s="121">
        <v>2729824.51</v>
      </c>
      <c r="F38" s="121">
        <v>4071475.69</v>
      </c>
      <c r="G38" s="120"/>
      <c r="I38" s="31">
        <f t="shared" si="0"/>
        <v>4071</v>
      </c>
    </row>
    <row r="39" spans="1:9" ht="22.5" x14ac:dyDescent="0.25">
      <c r="A39" s="125" t="s">
        <v>250</v>
      </c>
      <c r="B39" s="121">
        <v>1899715.36</v>
      </c>
      <c r="C39" s="120"/>
      <c r="D39" s="121">
        <v>2501584.84</v>
      </c>
      <c r="E39" s="121">
        <v>2729824.51</v>
      </c>
      <c r="F39" s="121">
        <v>1671475.69</v>
      </c>
      <c r="G39" s="120"/>
      <c r="I39" s="31">
        <f t="shared" si="0"/>
        <v>1671</v>
      </c>
    </row>
    <row r="40" spans="1:9" ht="22.5" x14ac:dyDescent="0.25">
      <c r="A40" s="125" t="s">
        <v>251</v>
      </c>
      <c r="B40" s="121">
        <v>2400000</v>
      </c>
      <c r="C40" s="120"/>
      <c r="D40" s="120"/>
      <c r="E40" s="120"/>
      <c r="F40" s="121">
        <v>2400000</v>
      </c>
      <c r="G40" s="120"/>
      <c r="I40" s="31">
        <f t="shared" si="0"/>
        <v>2400</v>
      </c>
    </row>
    <row r="41" spans="1:9" ht="22.5" x14ac:dyDescent="0.25">
      <c r="A41" s="122" t="s">
        <v>252</v>
      </c>
      <c r="B41" s="123">
        <v>4812803.8099999996</v>
      </c>
      <c r="C41" s="124"/>
      <c r="D41" s="124"/>
      <c r="E41" s="124"/>
      <c r="F41" s="123">
        <v>4812803.8099999996</v>
      </c>
      <c r="G41" s="124"/>
      <c r="I41" s="31">
        <f t="shared" si="0"/>
        <v>4813</v>
      </c>
    </row>
    <row r="42" spans="1:9" x14ac:dyDescent="0.25">
      <c r="A42" s="125" t="s">
        <v>253</v>
      </c>
      <c r="B42" s="121">
        <v>331242.99</v>
      </c>
      <c r="C42" s="120"/>
      <c r="D42" s="120"/>
      <c r="E42" s="120"/>
      <c r="F42" s="121">
        <v>331242.99</v>
      </c>
      <c r="G42" s="120"/>
    </row>
    <row r="43" spans="1:9" x14ac:dyDescent="0.25">
      <c r="A43" s="125" t="s">
        <v>254</v>
      </c>
      <c r="B43" s="126">
        <v>49.99</v>
      </c>
      <c r="C43" s="120"/>
      <c r="D43" s="120"/>
      <c r="E43" s="120"/>
      <c r="F43" s="126">
        <v>49.99</v>
      </c>
      <c r="G43" s="120"/>
    </row>
    <row r="44" spans="1:9" ht="22.5" x14ac:dyDescent="0.25">
      <c r="A44" s="125" t="s">
        <v>255</v>
      </c>
      <c r="B44" s="121">
        <v>4481510.83</v>
      </c>
      <c r="C44" s="120"/>
      <c r="D44" s="120"/>
      <c r="E44" s="120"/>
      <c r="F44" s="121">
        <v>4481510.83</v>
      </c>
      <c r="G44" s="120"/>
    </row>
    <row r="45" spans="1:9" x14ac:dyDescent="0.25">
      <c r="A45" s="116" t="s">
        <v>256</v>
      </c>
      <c r="B45" s="117">
        <v>12203359.52</v>
      </c>
      <c r="C45" s="118"/>
      <c r="D45" s="117">
        <v>2531799473</v>
      </c>
      <c r="E45" s="117">
        <v>2518564816.3900003</v>
      </c>
      <c r="F45" s="117">
        <v>25438016.129999999</v>
      </c>
      <c r="G45" s="118"/>
      <c r="I45" s="31">
        <f>ROUND(F45/1000,0)</f>
        <v>25438</v>
      </c>
    </row>
    <row r="46" spans="1:9" x14ac:dyDescent="0.25">
      <c r="A46" s="122" t="s">
        <v>257</v>
      </c>
      <c r="B46" s="123">
        <v>4041237.52</v>
      </c>
      <c r="C46" s="124"/>
      <c r="D46" s="123">
        <v>2512685128.8199997</v>
      </c>
      <c r="E46" s="123">
        <v>2508866202.5100002</v>
      </c>
      <c r="F46" s="123">
        <v>7860163.8300000001</v>
      </c>
      <c r="G46" s="124"/>
      <c r="H46" s="31">
        <f>ROUND(F46/1000,0)</f>
        <v>7860</v>
      </c>
      <c r="I46" s="31"/>
    </row>
    <row r="47" spans="1:9" x14ac:dyDescent="0.25">
      <c r="A47" s="125" t="s">
        <v>258</v>
      </c>
      <c r="B47" s="121">
        <v>4041237.52</v>
      </c>
      <c r="C47" s="120"/>
      <c r="D47" s="121">
        <v>16693248.9</v>
      </c>
      <c r="E47" s="121">
        <v>12874322.59</v>
      </c>
      <c r="F47" s="121">
        <v>7860163.8300000001</v>
      </c>
      <c r="G47" s="120"/>
    </row>
    <row r="48" spans="1:9" x14ac:dyDescent="0.25">
      <c r="A48" s="125" t="s">
        <v>259</v>
      </c>
      <c r="B48" s="120"/>
      <c r="C48" s="120"/>
      <c r="D48" s="121">
        <v>2495991879.9200001</v>
      </c>
      <c r="E48" s="121">
        <v>2495991879.9200001</v>
      </c>
      <c r="F48" s="120"/>
      <c r="G48" s="120"/>
    </row>
    <row r="49" spans="1:12" x14ac:dyDescent="0.25">
      <c r="A49" s="122" t="s">
        <v>260</v>
      </c>
      <c r="B49" s="123">
        <v>8162122</v>
      </c>
      <c r="C49" s="124"/>
      <c r="D49" s="123">
        <v>19114344.18</v>
      </c>
      <c r="E49" s="123">
        <v>9698613.8800000008</v>
      </c>
      <c r="F49" s="123">
        <v>17577852.300000001</v>
      </c>
      <c r="G49" s="124"/>
      <c r="H49" s="31">
        <f>ROUND(F49/1000,0)</f>
        <v>17578</v>
      </c>
      <c r="I49" s="31"/>
    </row>
    <row r="50" spans="1:12" ht="22.5" x14ac:dyDescent="0.25">
      <c r="A50" s="125" t="s">
        <v>261</v>
      </c>
      <c r="B50" s="121">
        <v>40607.01</v>
      </c>
      <c r="C50" s="120"/>
      <c r="D50" s="120"/>
      <c r="E50" s="121">
        <v>34555.47</v>
      </c>
      <c r="F50" s="121">
        <v>6051.54</v>
      </c>
      <c r="G50" s="120"/>
    </row>
    <row r="51" spans="1:12" x14ac:dyDescent="0.25">
      <c r="A51" s="125" t="s">
        <v>262</v>
      </c>
      <c r="B51" s="121">
        <v>8121514.9900000002</v>
      </c>
      <c r="C51" s="120"/>
      <c r="D51" s="121">
        <v>19114344.18</v>
      </c>
      <c r="E51" s="121">
        <v>9664058.4100000001</v>
      </c>
      <c r="F51" s="121">
        <v>17571800.760000002</v>
      </c>
      <c r="G51" s="120"/>
    </row>
    <row r="52" spans="1:12" ht="22.5" x14ac:dyDescent="0.25">
      <c r="A52" s="116" t="s">
        <v>263</v>
      </c>
      <c r="B52" s="117">
        <v>500000</v>
      </c>
      <c r="C52" s="118"/>
      <c r="D52" s="118"/>
      <c r="E52" s="118"/>
      <c r="F52" s="117">
        <v>500000</v>
      </c>
      <c r="G52" s="118"/>
      <c r="I52" s="31">
        <f>ROUND(F52/1000,0)</f>
        <v>500</v>
      </c>
    </row>
    <row r="53" spans="1:12" ht="22.5" x14ac:dyDescent="0.25">
      <c r="A53" s="119" t="s">
        <v>264</v>
      </c>
      <c r="B53" s="121">
        <v>500000</v>
      </c>
      <c r="C53" s="120"/>
      <c r="D53" s="120"/>
      <c r="E53" s="120"/>
      <c r="F53" s="121">
        <v>500000</v>
      </c>
      <c r="G53" s="120"/>
    </row>
    <row r="54" spans="1:12" x14ac:dyDescent="0.25">
      <c r="A54" s="116" t="s">
        <v>265</v>
      </c>
      <c r="B54" s="117">
        <v>14781866.960000001</v>
      </c>
      <c r="C54" s="118"/>
      <c r="D54" s="117">
        <v>259290.18</v>
      </c>
      <c r="E54" s="117">
        <v>1614983.72</v>
      </c>
      <c r="F54" s="117">
        <v>13426173.42</v>
      </c>
      <c r="G54" s="118"/>
      <c r="I54" s="31">
        <f>ROUND(F54/1000,0)</f>
        <v>13426</v>
      </c>
    </row>
    <row r="55" spans="1:12" x14ac:dyDescent="0.25">
      <c r="A55" s="119" t="s">
        <v>266</v>
      </c>
      <c r="B55" s="121">
        <v>83982286.980000004</v>
      </c>
      <c r="C55" s="120"/>
      <c r="D55" s="121">
        <v>259290.18</v>
      </c>
      <c r="E55" s="120"/>
      <c r="F55" s="121">
        <v>84241577.159999996</v>
      </c>
      <c r="G55" s="120"/>
      <c r="H55" s="31">
        <f>ROUND(B55/1000,0)</f>
        <v>83982</v>
      </c>
      <c r="I55" s="31">
        <f>ROUND(D55/1000,0)</f>
        <v>259</v>
      </c>
    </row>
    <row r="56" spans="1:12" x14ac:dyDescent="0.25">
      <c r="A56" s="127" t="s">
        <v>267</v>
      </c>
      <c r="B56" s="123">
        <v>83982286.980000004</v>
      </c>
      <c r="C56" s="124"/>
      <c r="D56" s="123">
        <v>259290.18</v>
      </c>
      <c r="E56" s="124"/>
      <c r="F56" s="123">
        <v>84241577.159999996</v>
      </c>
      <c r="G56" s="124"/>
    </row>
    <row r="57" spans="1:12" x14ac:dyDescent="0.25">
      <c r="A57" s="128" t="s">
        <v>268</v>
      </c>
      <c r="B57" s="121">
        <v>33884507.780000001</v>
      </c>
      <c r="C57" s="120"/>
      <c r="D57" s="121">
        <v>167565.18</v>
      </c>
      <c r="E57" s="120"/>
      <c r="F57" s="121">
        <v>34052072.960000001</v>
      </c>
      <c r="G57" s="120"/>
    </row>
    <row r="58" spans="1:12" x14ac:dyDescent="0.25">
      <c r="A58" s="128" t="s">
        <v>269</v>
      </c>
      <c r="B58" s="121">
        <v>50097779.200000003</v>
      </c>
      <c r="C58" s="120"/>
      <c r="D58" s="121">
        <v>91725</v>
      </c>
      <c r="E58" s="120"/>
      <c r="F58" s="121">
        <v>50189504.200000003</v>
      </c>
      <c r="G58" s="120"/>
    </row>
    <row r="59" spans="1:12" x14ac:dyDescent="0.25">
      <c r="A59" s="122" t="s">
        <v>270</v>
      </c>
      <c r="B59" s="124"/>
      <c r="C59" s="123">
        <v>69200420.019999996</v>
      </c>
      <c r="D59" s="124"/>
      <c r="E59" s="123">
        <v>1614983.72</v>
      </c>
      <c r="F59" s="124"/>
      <c r="G59" s="123">
        <v>70815403.739999995</v>
      </c>
      <c r="H59" s="31">
        <f>ROUND(C59/1000,0)</f>
        <v>69200</v>
      </c>
      <c r="I59" s="31">
        <f>ROUND(E59/1000,0)</f>
        <v>1615</v>
      </c>
    </row>
    <row r="60" spans="1:12" ht="22.5" x14ac:dyDescent="0.25">
      <c r="A60" s="127" t="s">
        <v>271</v>
      </c>
      <c r="B60" s="124"/>
      <c r="C60" s="123">
        <v>69200420.019999996</v>
      </c>
      <c r="D60" s="124"/>
      <c r="E60" s="123">
        <v>1614983.72</v>
      </c>
      <c r="F60" s="124"/>
      <c r="G60" s="123">
        <v>70815403.739999995</v>
      </c>
    </row>
    <row r="61" spans="1:12" ht="22.5" x14ac:dyDescent="0.25">
      <c r="A61" s="128" t="s">
        <v>272</v>
      </c>
      <c r="B61" s="120"/>
      <c r="C61" s="121">
        <v>25658529.420000002</v>
      </c>
      <c r="D61" s="120"/>
      <c r="E61" s="121">
        <v>1149325.5</v>
      </c>
      <c r="F61" s="120"/>
      <c r="G61" s="121">
        <v>26807854.920000002</v>
      </c>
    </row>
    <row r="62" spans="1:12" x14ac:dyDescent="0.25">
      <c r="A62" s="128" t="s">
        <v>273</v>
      </c>
      <c r="B62" s="120"/>
      <c r="C62" s="121">
        <v>43541890.600000001</v>
      </c>
      <c r="D62" s="120"/>
      <c r="E62" s="121">
        <v>465658.22</v>
      </c>
      <c r="F62" s="120"/>
      <c r="G62" s="121">
        <v>44007548.82</v>
      </c>
    </row>
    <row r="63" spans="1:12" x14ac:dyDescent="0.25">
      <c r="A63" s="116" t="s">
        <v>274</v>
      </c>
      <c r="B63" s="117">
        <v>4003836.97</v>
      </c>
      <c r="C63" s="118"/>
      <c r="D63" s="118"/>
      <c r="E63" s="117">
        <v>168786.21</v>
      </c>
      <c r="F63" s="117">
        <v>3835050.76</v>
      </c>
      <c r="G63" s="118"/>
      <c r="I63" s="31">
        <f>ROUND(F63/1000,0)</f>
        <v>3835</v>
      </c>
    </row>
    <row r="64" spans="1:12" x14ac:dyDescent="0.25">
      <c r="A64" s="122" t="s">
        <v>275</v>
      </c>
      <c r="B64" s="123">
        <v>22478890.149999999</v>
      </c>
      <c r="C64" s="124"/>
      <c r="D64" s="124"/>
      <c r="E64" s="124"/>
      <c r="F64" s="123">
        <v>22478890.149999999</v>
      </c>
      <c r="G64" s="124"/>
      <c r="H64" s="31">
        <f>ROUND(B64/1000,0)</f>
        <v>22479</v>
      </c>
      <c r="L64" s="33"/>
    </row>
    <row r="65" spans="1:10" x14ac:dyDescent="0.25">
      <c r="A65" s="125" t="s">
        <v>276</v>
      </c>
      <c r="B65" s="121">
        <v>7367315.2599999998</v>
      </c>
      <c r="C65" s="120"/>
      <c r="D65" s="120"/>
      <c r="E65" s="120"/>
      <c r="F65" s="121">
        <v>7367315.2599999998</v>
      </c>
      <c r="G65" s="120"/>
    </row>
    <row r="66" spans="1:10" x14ac:dyDescent="0.25">
      <c r="A66" s="125" t="s">
        <v>277</v>
      </c>
      <c r="B66" s="121">
        <v>15111574.890000001</v>
      </c>
      <c r="C66" s="120"/>
      <c r="D66" s="120"/>
      <c r="E66" s="120"/>
      <c r="F66" s="121">
        <v>15111574.890000001</v>
      </c>
      <c r="G66" s="120"/>
    </row>
    <row r="67" spans="1:10" ht="22.5" x14ac:dyDescent="0.25">
      <c r="A67" s="122" t="s">
        <v>278</v>
      </c>
      <c r="B67" s="124"/>
      <c r="C67" s="123">
        <v>18475053.18</v>
      </c>
      <c r="D67" s="124"/>
      <c r="E67" s="123">
        <v>168786.21</v>
      </c>
      <c r="F67" s="124"/>
      <c r="G67" s="123">
        <v>18643839.390000001</v>
      </c>
      <c r="H67" s="31">
        <f>ROUND(C67/1000,0)</f>
        <v>18475</v>
      </c>
      <c r="I67" s="31">
        <f>ROUND(E67/1000,0)</f>
        <v>169</v>
      </c>
      <c r="J67" s="31">
        <f>ROUND(G67/1000,0)</f>
        <v>18644</v>
      </c>
    </row>
    <row r="68" spans="1:10" ht="33.75" x14ac:dyDescent="0.25">
      <c r="A68" s="125" t="s">
        <v>279</v>
      </c>
      <c r="B68" s="120"/>
      <c r="C68" s="121">
        <v>7367315.2599999998</v>
      </c>
      <c r="D68" s="120"/>
      <c r="E68" s="120"/>
      <c r="F68" s="120"/>
      <c r="G68" s="121">
        <v>7367315.2599999998</v>
      </c>
    </row>
    <row r="69" spans="1:10" ht="33.75" x14ac:dyDescent="0.25">
      <c r="A69" s="125" t="s">
        <v>280</v>
      </c>
      <c r="B69" s="120"/>
      <c r="C69" s="121">
        <v>11107737.92</v>
      </c>
      <c r="D69" s="120"/>
      <c r="E69" s="121">
        <v>168786.21</v>
      </c>
      <c r="F69" s="120"/>
      <c r="G69" s="121">
        <v>11276524.130000001</v>
      </c>
    </row>
    <row r="70" spans="1:10" x14ac:dyDescent="0.25">
      <c r="A70" s="116" t="s">
        <v>281</v>
      </c>
      <c r="B70" s="118"/>
      <c r="C70" s="117">
        <v>5761331.0800000001</v>
      </c>
      <c r="D70" s="117">
        <v>14870599.43</v>
      </c>
      <c r="E70" s="117">
        <v>13739853.48</v>
      </c>
      <c r="F70" s="118"/>
      <c r="G70" s="117">
        <v>4630585.13</v>
      </c>
      <c r="J70" s="31">
        <f>ROUND(G70/1000,0)</f>
        <v>4631</v>
      </c>
    </row>
    <row r="71" spans="1:10" ht="22.5" x14ac:dyDescent="0.25">
      <c r="A71" s="122" t="s">
        <v>282</v>
      </c>
      <c r="B71" s="124"/>
      <c r="C71" s="123">
        <v>1009480</v>
      </c>
      <c r="D71" s="123">
        <v>2035848.57</v>
      </c>
      <c r="E71" s="123">
        <v>1028125.18</v>
      </c>
      <c r="F71" s="124"/>
      <c r="G71" s="123">
        <v>1756.61</v>
      </c>
      <c r="H71" s="31">
        <f>ROUND(G71/1000,0)</f>
        <v>2</v>
      </c>
    </row>
    <row r="72" spans="1:10" ht="22.5" x14ac:dyDescent="0.25">
      <c r="A72" s="125" t="s">
        <v>283</v>
      </c>
      <c r="B72" s="120"/>
      <c r="C72" s="121">
        <v>1009480</v>
      </c>
      <c r="D72" s="121">
        <v>2035848.57</v>
      </c>
      <c r="E72" s="121">
        <v>1028125.18</v>
      </c>
      <c r="F72" s="120"/>
      <c r="G72" s="121">
        <v>1756.61</v>
      </c>
    </row>
    <row r="73" spans="1:10" x14ac:dyDescent="0.25">
      <c r="A73" s="119" t="s">
        <v>284</v>
      </c>
      <c r="B73" s="120"/>
      <c r="C73" s="121">
        <v>2286824.21</v>
      </c>
      <c r="D73" s="121">
        <v>6289202.9800000004</v>
      </c>
      <c r="E73" s="121">
        <v>6474943.7000000002</v>
      </c>
      <c r="F73" s="120"/>
      <c r="G73" s="121">
        <v>2472564.9300000002</v>
      </c>
      <c r="H73" s="31">
        <f>ROUND(G73/1000,0)</f>
        <v>2473</v>
      </c>
    </row>
    <row r="74" spans="1:10" x14ac:dyDescent="0.25">
      <c r="A74" s="119" t="s">
        <v>285</v>
      </c>
      <c r="B74" s="120"/>
      <c r="C74" s="121">
        <v>475757.48</v>
      </c>
      <c r="D74" s="121">
        <v>1092084.8400000001</v>
      </c>
      <c r="E74" s="121">
        <v>616327.36</v>
      </c>
      <c r="F74" s="120"/>
      <c r="G74" s="120"/>
    </row>
    <row r="75" spans="1:10" x14ac:dyDescent="0.25">
      <c r="A75" s="119" t="s">
        <v>286</v>
      </c>
      <c r="B75" s="120"/>
      <c r="C75" s="121">
        <v>1989269.39</v>
      </c>
      <c r="D75" s="121">
        <v>5397863.04</v>
      </c>
      <c r="E75" s="121">
        <v>5564857.2400000002</v>
      </c>
      <c r="F75" s="120"/>
      <c r="G75" s="121">
        <v>2156263.59</v>
      </c>
      <c r="H75" s="31">
        <f>ROUND(G75/1000,0)</f>
        <v>2156</v>
      </c>
    </row>
    <row r="76" spans="1:10" x14ac:dyDescent="0.25">
      <c r="A76" s="119" t="s">
        <v>287</v>
      </c>
      <c r="B76" s="120"/>
      <c r="C76" s="120"/>
      <c r="D76" s="121">
        <v>55600</v>
      </c>
      <c r="E76" s="121">
        <v>55600</v>
      </c>
      <c r="F76" s="120"/>
      <c r="G76" s="120"/>
    </row>
    <row r="77" spans="1:10" ht="33.75" x14ac:dyDescent="0.25">
      <c r="A77" s="116" t="s">
        <v>288</v>
      </c>
      <c r="B77" s="118"/>
      <c r="C77" s="117">
        <v>2868789.73</v>
      </c>
      <c r="D77" s="117">
        <v>9029979.5999999996</v>
      </c>
      <c r="E77" s="117">
        <v>9233428.0899999999</v>
      </c>
      <c r="F77" s="118"/>
      <c r="G77" s="117">
        <v>3072238.22</v>
      </c>
      <c r="J77" s="31">
        <f>ROUND(G77/1000,0)</f>
        <v>3072</v>
      </c>
    </row>
    <row r="78" spans="1:10" ht="22.5" x14ac:dyDescent="0.25">
      <c r="A78" s="122" t="s">
        <v>289</v>
      </c>
      <c r="B78" s="124"/>
      <c r="C78" s="123">
        <v>704809</v>
      </c>
      <c r="D78" s="123">
        <v>2413897</v>
      </c>
      <c r="E78" s="123">
        <v>2560432</v>
      </c>
      <c r="F78" s="124"/>
      <c r="G78" s="123">
        <v>851344</v>
      </c>
      <c r="H78" s="31">
        <f>ROUND(G78/1000,0)</f>
        <v>851</v>
      </c>
    </row>
    <row r="79" spans="1:10" ht="22.5" x14ac:dyDescent="0.25">
      <c r="A79" s="125" t="s">
        <v>290</v>
      </c>
      <c r="B79" s="120"/>
      <c r="C79" s="121">
        <v>324391</v>
      </c>
      <c r="D79" s="121">
        <v>990334</v>
      </c>
      <c r="E79" s="121">
        <v>998255</v>
      </c>
      <c r="F79" s="120"/>
      <c r="G79" s="121">
        <v>332312</v>
      </c>
      <c r="H79" s="31">
        <f>ROUND(G79/1000,0)</f>
        <v>332</v>
      </c>
    </row>
    <row r="80" spans="1:10" ht="22.5" x14ac:dyDescent="0.25">
      <c r="A80" s="125" t="s">
        <v>291</v>
      </c>
      <c r="B80" s="120"/>
      <c r="C80" s="121">
        <v>127565</v>
      </c>
      <c r="D80" s="121">
        <v>651921</v>
      </c>
      <c r="E80" s="121">
        <v>785583</v>
      </c>
      <c r="F80" s="120"/>
      <c r="G80" s="121">
        <v>261227</v>
      </c>
      <c r="H80" s="31">
        <f>ROUND(G80/1000,0)</f>
        <v>261</v>
      </c>
    </row>
    <row r="81" spans="1:10" ht="22.5" x14ac:dyDescent="0.25">
      <c r="A81" s="125" t="s">
        <v>292</v>
      </c>
      <c r="B81" s="120"/>
      <c r="C81" s="121">
        <v>252853</v>
      </c>
      <c r="D81" s="121">
        <v>771642</v>
      </c>
      <c r="E81" s="121">
        <v>776594</v>
      </c>
      <c r="F81" s="120"/>
      <c r="G81" s="121">
        <v>257805</v>
      </c>
      <c r="H81" s="31">
        <f>ROUND(G81/1000,0)</f>
        <v>258</v>
      </c>
    </row>
    <row r="82" spans="1:10" ht="22.5" x14ac:dyDescent="0.25">
      <c r="A82" s="119" t="s">
        <v>293</v>
      </c>
      <c r="B82" s="120"/>
      <c r="C82" s="121">
        <v>2163980.73</v>
      </c>
      <c r="D82" s="121">
        <v>6616082.5999999996</v>
      </c>
      <c r="E82" s="121">
        <v>6672996.0899999999</v>
      </c>
      <c r="F82" s="120"/>
      <c r="G82" s="121">
        <v>2220894.2200000002</v>
      </c>
      <c r="H82" s="31">
        <f>ROUND(G82/1000,0)</f>
        <v>2221</v>
      </c>
    </row>
    <row r="83" spans="1:10" ht="22.5" x14ac:dyDescent="0.25">
      <c r="A83" s="116" t="s">
        <v>294</v>
      </c>
      <c r="B83" s="118"/>
      <c r="C83" s="117">
        <v>37963479.329999998</v>
      </c>
      <c r="D83" s="117">
        <v>120568053655.42001</v>
      </c>
      <c r="E83" s="117">
        <v>121689730886.34</v>
      </c>
      <c r="F83" s="118"/>
      <c r="G83" s="117">
        <v>1159640710.2499998</v>
      </c>
    </row>
    <row r="84" spans="1:10" ht="22.5" x14ac:dyDescent="0.25">
      <c r="A84" s="119" t="s">
        <v>295</v>
      </c>
      <c r="B84" s="120"/>
      <c r="C84" s="121">
        <v>23122974.52</v>
      </c>
      <c r="D84" s="121">
        <v>65181474.030000001</v>
      </c>
      <c r="E84" s="121">
        <v>57162631.009999998</v>
      </c>
      <c r="F84" s="120"/>
      <c r="G84" s="121">
        <v>15104131.5</v>
      </c>
      <c r="J84" s="31">
        <f>ROUND(G84/1000,0)</f>
        <v>15104</v>
      </c>
    </row>
    <row r="85" spans="1:10" ht="33.75" x14ac:dyDescent="0.25">
      <c r="A85" s="119" t="s">
        <v>296</v>
      </c>
      <c r="B85" s="120"/>
      <c r="C85" s="120"/>
      <c r="D85" s="121">
        <v>100000000</v>
      </c>
      <c r="E85" s="121">
        <v>100000000</v>
      </c>
      <c r="F85" s="120"/>
      <c r="G85" s="120"/>
    </row>
    <row r="86" spans="1:10" ht="22.5" x14ac:dyDescent="0.25">
      <c r="A86" s="119" t="s">
        <v>297</v>
      </c>
      <c r="B86" s="120"/>
      <c r="C86" s="121">
        <v>12392.5</v>
      </c>
      <c r="D86" s="121">
        <v>128195668.64</v>
      </c>
      <c r="E86" s="121">
        <v>128228430.11</v>
      </c>
      <c r="F86" s="120"/>
      <c r="G86" s="121">
        <v>45153.97</v>
      </c>
      <c r="J86" s="31">
        <f>ROUND(G86/1000,0)</f>
        <v>45</v>
      </c>
    </row>
    <row r="87" spans="1:10" x14ac:dyDescent="0.25">
      <c r="A87" s="119" t="s">
        <v>298</v>
      </c>
      <c r="B87" s="120"/>
      <c r="C87" s="120"/>
      <c r="D87" s="121">
        <v>7211999.9900000002</v>
      </c>
      <c r="E87" s="121">
        <v>7212000</v>
      </c>
      <c r="F87" s="120"/>
      <c r="G87" s="126">
        <v>0.01</v>
      </c>
    </row>
    <row r="88" spans="1:10" ht="22.5" x14ac:dyDescent="0.25">
      <c r="A88" s="122" t="s">
        <v>299</v>
      </c>
      <c r="B88" s="124"/>
      <c r="C88" s="123">
        <v>7974030.1500000004</v>
      </c>
      <c r="D88" s="123">
        <v>23576673.82</v>
      </c>
      <c r="E88" s="123">
        <v>19324902.710000001</v>
      </c>
      <c r="F88" s="124"/>
      <c r="G88" s="123">
        <v>3722259.04</v>
      </c>
      <c r="J88" s="31">
        <f>ROUND(G88/1000,0)</f>
        <v>3722</v>
      </c>
    </row>
    <row r="89" spans="1:10" ht="22.5" x14ac:dyDescent="0.25">
      <c r="A89" s="125" t="s">
        <v>300</v>
      </c>
      <c r="B89" s="120"/>
      <c r="C89" s="121">
        <v>7008457.1200000001</v>
      </c>
      <c r="D89" s="121">
        <v>20800441.780000001</v>
      </c>
      <c r="E89" s="121">
        <v>16435368.619999999</v>
      </c>
      <c r="F89" s="120"/>
      <c r="G89" s="121">
        <v>2643383.96</v>
      </c>
    </row>
    <row r="90" spans="1:10" ht="33.75" x14ac:dyDescent="0.25">
      <c r="A90" s="125" t="s">
        <v>301</v>
      </c>
      <c r="B90" s="120"/>
      <c r="C90" s="121">
        <v>56746.239999999998</v>
      </c>
      <c r="D90" s="121">
        <v>305214.09999999998</v>
      </c>
      <c r="E90" s="121">
        <v>465325.1</v>
      </c>
      <c r="F90" s="120"/>
      <c r="G90" s="121">
        <v>216857.24</v>
      </c>
    </row>
    <row r="91" spans="1:10" ht="33.75" x14ac:dyDescent="0.25">
      <c r="A91" s="125" t="s">
        <v>302</v>
      </c>
      <c r="B91" s="120"/>
      <c r="C91" s="121">
        <v>908826.79</v>
      </c>
      <c r="D91" s="121">
        <v>2471017.94</v>
      </c>
      <c r="E91" s="121">
        <v>2424208.9900000002</v>
      </c>
      <c r="F91" s="120"/>
      <c r="G91" s="121">
        <v>862017.84</v>
      </c>
    </row>
    <row r="92" spans="1:10" ht="22.5" x14ac:dyDescent="0.25">
      <c r="A92" s="122" t="s">
        <v>303</v>
      </c>
      <c r="B92" s="124"/>
      <c r="C92" s="123">
        <v>6854082.1600000001</v>
      </c>
      <c r="D92" s="123">
        <v>120243887838.94</v>
      </c>
      <c r="E92" s="123">
        <v>121377802922.51001</v>
      </c>
      <c r="F92" s="124"/>
      <c r="G92" s="123">
        <v>1140769165.73</v>
      </c>
    </row>
    <row r="93" spans="1:10" ht="22.5" x14ac:dyDescent="0.25">
      <c r="A93" s="125" t="s">
        <v>304</v>
      </c>
      <c r="B93" s="120"/>
      <c r="C93" s="121">
        <v>6854052.1600000001</v>
      </c>
      <c r="D93" s="121">
        <v>120243887808.94</v>
      </c>
      <c r="E93" s="121">
        <v>121377802922.51001</v>
      </c>
      <c r="F93" s="120"/>
      <c r="G93" s="121">
        <v>1140769165.73</v>
      </c>
      <c r="J93" s="31"/>
    </row>
    <row r="94" spans="1:10" ht="22.5" x14ac:dyDescent="0.25">
      <c r="A94" s="125" t="s">
        <v>305</v>
      </c>
      <c r="B94" s="120"/>
      <c r="C94" s="126">
        <v>30</v>
      </c>
      <c r="D94" s="126">
        <v>30</v>
      </c>
      <c r="E94" s="120"/>
      <c r="F94" s="120"/>
      <c r="G94" s="120"/>
    </row>
    <row r="95" spans="1:10" x14ac:dyDescent="0.25">
      <c r="A95" s="116" t="s">
        <v>306</v>
      </c>
      <c r="B95" s="118"/>
      <c r="C95" s="117">
        <v>11650346</v>
      </c>
      <c r="D95" s="118"/>
      <c r="E95" s="129">
        <v>-1036344.94</v>
      </c>
      <c r="F95" s="118"/>
      <c r="G95" s="117">
        <v>10614001.060000001</v>
      </c>
    </row>
    <row r="96" spans="1:10" ht="22.5" x14ac:dyDescent="0.25">
      <c r="A96" s="119" t="s">
        <v>307</v>
      </c>
      <c r="B96" s="120"/>
      <c r="C96" s="121">
        <v>11650346</v>
      </c>
      <c r="D96" s="120"/>
      <c r="E96" s="130">
        <v>-1036344.94</v>
      </c>
      <c r="F96" s="120"/>
      <c r="G96" s="121">
        <v>10614001.060000001</v>
      </c>
      <c r="J96" s="31">
        <f>ROUND(G96/1000,0)</f>
        <v>10614</v>
      </c>
    </row>
    <row r="97" spans="1:10" x14ac:dyDescent="0.25">
      <c r="A97" s="116" t="s">
        <v>308</v>
      </c>
      <c r="B97" s="118"/>
      <c r="C97" s="117">
        <v>88797.69</v>
      </c>
      <c r="D97" s="131">
        <v>737.17</v>
      </c>
      <c r="E97" s="131">
        <v>841.06</v>
      </c>
      <c r="F97" s="118"/>
      <c r="G97" s="117">
        <v>88901.58</v>
      </c>
      <c r="J97" s="31">
        <f>ROUND(G97/1000,0)</f>
        <v>89</v>
      </c>
    </row>
    <row r="98" spans="1:10" x14ac:dyDescent="0.25">
      <c r="A98" s="122" t="s">
        <v>309</v>
      </c>
      <c r="B98" s="124"/>
      <c r="C98" s="123">
        <v>88797.69</v>
      </c>
      <c r="D98" s="132">
        <v>737.17</v>
      </c>
      <c r="E98" s="132">
        <v>841.06</v>
      </c>
      <c r="F98" s="124"/>
      <c r="G98" s="123">
        <v>88901.58</v>
      </c>
    </row>
    <row r="99" spans="1:10" x14ac:dyDescent="0.25">
      <c r="A99" s="127" t="s">
        <v>309</v>
      </c>
      <c r="B99" s="124"/>
      <c r="C99" s="123">
        <v>12917.73</v>
      </c>
      <c r="D99" s="132">
        <v>717.85</v>
      </c>
      <c r="E99" s="132">
        <v>823.11</v>
      </c>
      <c r="F99" s="124"/>
      <c r="G99" s="123">
        <v>13022.99</v>
      </c>
    </row>
    <row r="100" spans="1:10" ht="33.75" x14ac:dyDescent="0.25">
      <c r="A100" s="125" t="s">
        <v>310</v>
      </c>
      <c r="B100" s="120"/>
      <c r="C100" s="121">
        <v>75879.960000000006</v>
      </c>
      <c r="D100" s="126">
        <v>19.32</v>
      </c>
      <c r="E100" s="126">
        <v>17.95</v>
      </c>
      <c r="F100" s="120"/>
      <c r="G100" s="121">
        <v>75878.59</v>
      </c>
    </row>
    <row r="101" spans="1:10" x14ac:dyDescent="0.25">
      <c r="A101" s="116" t="s">
        <v>311</v>
      </c>
      <c r="B101" s="118"/>
      <c r="C101" s="117">
        <v>1732479000</v>
      </c>
      <c r="D101" s="117">
        <v>241009000</v>
      </c>
      <c r="E101" s="117">
        <v>341009000</v>
      </c>
      <c r="F101" s="118"/>
      <c r="G101" s="117">
        <v>1832479000</v>
      </c>
      <c r="J101" s="31">
        <f>ROUND(G101/1000,0)</f>
        <v>1832479</v>
      </c>
    </row>
    <row r="102" spans="1:10" x14ac:dyDescent="0.25">
      <c r="A102" s="119" t="s">
        <v>312</v>
      </c>
      <c r="B102" s="120"/>
      <c r="C102" s="121">
        <v>1732479000</v>
      </c>
      <c r="D102" s="121">
        <v>241009000</v>
      </c>
      <c r="E102" s="121">
        <v>341009000</v>
      </c>
      <c r="F102" s="120"/>
      <c r="G102" s="121">
        <v>1832479000</v>
      </c>
    </row>
    <row r="103" spans="1:10" ht="22.5" x14ac:dyDescent="0.25">
      <c r="A103" s="116" t="s">
        <v>313</v>
      </c>
      <c r="B103" s="117">
        <v>10070896.08</v>
      </c>
      <c r="C103" s="118"/>
      <c r="D103" s="118"/>
      <c r="E103" s="118"/>
      <c r="F103" s="117">
        <v>10070896.08</v>
      </c>
      <c r="G103" s="118"/>
      <c r="I103" s="31">
        <f>ROUND(F103/1000,0)</f>
        <v>10071</v>
      </c>
    </row>
    <row r="104" spans="1:10" ht="22.5" x14ac:dyDescent="0.25">
      <c r="A104" s="119" t="s">
        <v>314</v>
      </c>
      <c r="B104" s="121">
        <v>10070896.08</v>
      </c>
      <c r="C104" s="120"/>
      <c r="D104" s="120"/>
      <c r="E104" s="120"/>
      <c r="F104" s="121">
        <v>10070896.08</v>
      </c>
      <c r="G104" s="120"/>
    </row>
    <row r="105" spans="1:10" x14ac:dyDescent="0.25">
      <c r="A105" s="116" t="s">
        <v>315</v>
      </c>
      <c r="B105" s="118"/>
      <c r="C105" s="117">
        <v>15070500</v>
      </c>
      <c r="D105" s="118"/>
      <c r="E105" s="118"/>
      <c r="F105" s="118"/>
      <c r="G105" s="117">
        <v>15070500</v>
      </c>
      <c r="J105" s="31">
        <f>ROUND(G105/1000,0)</f>
        <v>15071</v>
      </c>
    </row>
    <row r="106" spans="1:10" x14ac:dyDescent="0.25">
      <c r="A106" s="119" t="s">
        <v>316</v>
      </c>
      <c r="B106" s="120"/>
      <c r="C106" s="121">
        <v>15070500</v>
      </c>
      <c r="D106" s="120"/>
      <c r="E106" s="120"/>
      <c r="F106" s="120"/>
      <c r="G106" s="121">
        <v>15070500</v>
      </c>
    </row>
    <row r="107" spans="1:10" ht="22.5" x14ac:dyDescent="0.25">
      <c r="A107" s="116" t="s">
        <v>317</v>
      </c>
      <c r="B107" s="118"/>
      <c r="C107" s="129">
        <v>-1130649143.6400001</v>
      </c>
      <c r="D107" s="129">
        <v>-104428522.23</v>
      </c>
      <c r="E107" s="129">
        <v>-192543956.81999999</v>
      </c>
      <c r="F107" s="118"/>
      <c r="G107" s="129">
        <v>-1218764578.23</v>
      </c>
      <c r="J107" s="31">
        <f>ROUND(G107/1000,0)</f>
        <v>-1218765</v>
      </c>
    </row>
    <row r="108" spans="1:10" ht="22.5" x14ac:dyDescent="0.25">
      <c r="A108" s="119" t="s">
        <v>318</v>
      </c>
      <c r="B108" s="120"/>
      <c r="C108" s="130">
        <v>-104428522.23</v>
      </c>
      <c r="D108" s="130">
        <v>-104428522.23</v>
      </c>
      <c r="E108" s="130">
        <v>-88115434.590000004</v>
      </c>
      <c r="F108" s="120"/>
      <c r="G108" s="130">
        <v>-88115434.590000004</v>
      </c>
      <c r="J108" s="31">
        <f>ROUND(G108/1000,0)</f>
        <v>-88115</v>
      </c>
    </row>
    <row r="109" spans="1:10" ht="22.5" x14ac:dyDescent="0.25">
      <c r="A109" s="119" t="s">
        <v>319</v>
      </c>
      <c r="B109" s="120"/>
      <c r="C109" s="130">
        <v>-1026220621.41</v>
      </c>
      <c r="D109" s="120"/>
      <c r="E109" s="130">
        <v>-104428522.23</v>
      </c>
      <c r="F109" s="120"/>
      <c r="G109" s="130">
        <v>-1130649143.6400001</v>
      </c>
      <c r="J109" s="31">
        <f>ROUND(G109/1000,0)</f>
        <v>-1130649</v>
      </c>
    </row>
    <row r="113" spans="7:7" x14ac:dyDescent="0.25">
      <c r="G113" s="133">
        <v>1806831358.01</v>
      </c>
    </row>
    <row r="114" spans="7:7" x14ac:dyDescent="0.25">
      <c r="G114" s="133">
        <f>-G93</f>
        <v>-1140769165.73</v>
      </c>
    </row>
    <row r="115" spans="7:7" x14ac:dyDescent="0.25">
      <c r="G115" s="133">
        <f>-F104</f>
        <v>-10070896.08</v>
      </c>
    </row>
    <row r="116" spans="7:7" x14ac:dyDescent="0.25">
      <c r="G116" s="134">
        <f>SUM(G113:G115)</f>
        <v>655991296.19999993</v>
      </c>
    </row>
    <row r="117" spans="7:7" x14ac:dyDescent="0.25">
      <c r="G117" s="31">
        <f>ROUND(G116/1000,0)</f>
        <v>655991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scale="5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67F1-16CE-4A59-B198-22C73A7B1229}">
  <dimension ref="A1:P468"/>
  <sheetViews>
    <sheetView view="pageBreakPreview" topLeftCell="A133" zoomScale="93" zoomScaleNormal="100" zoomScaleSheetLayoutView="93" workbookViewId="0">
      <selection activeCell="N132" sqref="N132"/>
    </sheetView>
  </sheetViews>
  <sheetFormatPr defaultRowHeight="11.25" x14ac:dyDescent="0.2"/>
  <cols>
    <col min="1" max="1" width="36.7109375" style="61" customWidth="1"/>
    <col min="2" max="2" width="27.140625" style="61" customWidth="1"/>
    <col min="3" max="3" width="15.85546875" style="61" customWidth="1"/>
    <col min="4" max="4" width="15.5703125" style="61" customWidth="1"/>
    <col min="5" max="6" width="9.140625" style="61"/>
    <col min="7" max="7" width="15.5703125" style="61" customWidth="1"/>
    <col min="8" max="9" width="24.42578125" style="61" customWidth="1"/>
    <col min="10" max="11" width="15.5703125" style="61" customWidth="1"/>
    <col min="12" max="12" width="9.140625" style="61"/>
    <col min="13" max="13" width="10.5703125" style="61" bestFit="1" customWidth="1"/>
    <col min="14" max="14" width="9.140625" style="61"/>
    <col min="15" max="16" width="18.85546875" style="61" customWidth="1"/>
    <col min="17" max="16384" width="9.140625" style="61"/>
  </cols>
  <sheetData>
    <row r="1" spans="1:12" x14ac:dyDescent="0.2">
      <c r="A1" s="167" t="s">
        <v>137</v>
      </c>
      <c r="B1" s="762" t="s">
        <v>138</v>
      </c>
      <c r="C1" s="762" t="s">
        <v>139</v>
      </c>
      <c r="D1" s="762" t="s">
        <v>140</v>
      </c>
      <c r="H1" s="143" t="s">
        <v>137</v>
      </c>
      <c r="I1" s="766" t="s">
        <v>138</v>
      </c>
      <c r="J1" s="766" t="s">
        <v>139</v>
      </c>
      <c r="K1" s="766" t="s">
        <v>140</v>
      </c>
    </row>
    <row r="2" spans="1:12" x14ac:dyDescent="0.2">
      <c r="A2" s="167" t="s">
        <v>383</v>
      </c>
      <c r="B2" s="763"/>
      <c r="C2" s="763"/>
      <c r="D2" s="763"/>
      <c r="H2" s="143" t="s">
        <v>383</v>
      </c>
      <c r="I2" s="767"/>
      <c r="J2" s="767"/>
      <c r="K2" s="767"/>
    </row>
    <row r="3" spans="1:12" x14ac:dyDescent="0.2">
      <c r="A3" s="167" t="s">
        <v>22</v>
      </c>
      <c r="B3" s="763"/>
      <c r="C3" s="763"/>
      <c r="D3" s="763"/>
      <c r="H3" s="143" t="s">
        <v>22</v>
      </c>
      <c r="I3" s="767"/>
      <c r="J3" s="767"/>
      <c r="K3" s="767"/>
    </row>
    <row r="4" spans="1:12" ht="22.5" x14ac:dyDescent="0.2">
      <c r="A4" s="167" t="s">
        <v>384</v>
      </c>
      <c r="B4" s="764"/>
      <c r="C4" s="764"/>
      <c r="D4" s="764"/>
      <c r="H4" s="143" t="s">
        <v>384</v>
      </c>
      <c r="I4" s="768"/>
      <c r="J4" s="768"/>
      <c r="K4" s="768"/>
    </row>
    <row r="5" spans="1:12" x14ac:dyDescent="0.2">
      <c r="A5" s="168">
        <v>1030</v>
      </c>
      <c r="B5" s="169" t="s">
        <v>141</v>
      </c>
      <c r="C5" s="170">
        <v>11767468.26</v>
      </c>
      <c r="D5" s="171"/>
      <c r="E5" s="31">
        <f>ROUND(C5/1000,0)</f>
        <v>11767</v>
      </c>
      <c r="H5" s="144">
        <v>1030</v>
      </c>
      <c r="I5" s="145" t="s">
        <v>141</v>
      </c>
      <c r="J5" s="146">
        <v>12062782.6</v>
      </c>
      <c r="K5" s="147"/>
      <c r="L5" s="31">
        <f>ROUND(J5/1000,0)</f>
        <v>12063</v>
      </c>
    </row>
    <row r="6" spans="1:12" x14ac:dyDescent="0.2">
      <c r="A6" s="148" t="s">
        <v>385</v>
      </c>
      <c r="B6" s="148" t="s">
        <v>141</v>
      </c>
      <c r="C6" s="149">
        <v>8206763.2800000003</v>
      </c>
      <c r="D6" s="150"/>
      <c r="E6" s="31">
        <f>ROUND(C6/1000,0)</f>
        <v>8207</v>
      </c>
      <c r="H6" s="148" t="s">
        <v>424</v>
      </c>
      <c r="I6" s="148" t="s">
        <v>141</v>
      </c>
      <c r="J6" s="150"/>
      <c r="K6" s="150"/>
    </row>
    <row r="7" spans="1:12" ht="33.75" x14ac:dyDescent="0.2">
      <c r="A7" s="151" t="s">
        <v>386</v>
      </c>
      <c r="B7" s="151" t="s">
        <v>141</v>
      </c>
      <c r="C7" s="152">
        <v>143036.98000000001</v>
      </c>
      <c r="D7" s="153"/>
      <c r="E7" s="31">
        <f>ROUND(C7/1000,0)</f>
        <v>143</v>
      </c>
      <c r="H7" s="151" t="s">
        <v>425</v>
      </c>
      <c r="I7" s="151" t="s">
        <v>141</v>
      </c>
      <c r="J7" s="153"/>
      <c r="K7" s="153"/>
    </row>
    <row r="8" spans="1:12" x14ac:dyDescent="0.2">
      <c r="A8" s="173" t="s">
        <v>387</v>
      </c>
      <c r="B8" s="173" t="s">
        <v>141</v>
      </c>
      <c r="C8" s="174"/>
      <c r="D8" s="174"/>
      <c r="E8" s="175"/>
      <c r="H8" s="154" t="s">
        <v>422</v>
      </c>
      <c r="I8" s="154" t="s">
        <v>141</v>
      </c>
      <c r="J8" s="155"/>
      <c r="K8" s="155"/>
    </row>
    <row r="9" spans="1:12" x14ac:dyDescent="0.2">
      <c r="A9" s="198"/>
      <c r="B9" s="196">
        <v>3300</v>
      </c>
      <c r="C9" s="174"/>
      <c r="D9" s="197">
        <v>4659600.5999999996</v>
      </c>
      <c r="E9" s="83">
        <f>ROUND(D9/1000,0)</f>
        <v>4660</v>
      </c>
      <c r="H9" s="156"/>
      <c r="I9" s="157">
        <v>6200</v>
      </c>
      <c r="J9" s="158">
        <v>21075</v>
      </c>
      <c r="K9" s="155"/>
      <c r="L9" s="31">
        <f>ROUND(J9/1000,0)</f>
        <v>21</v>
      </c>
    </row>
    <row r="10" spans="1:12" x14ac:dyDescent="0.2">
      <c r="A10" s="161"/>
      <c r="B10" s="157">
        <v>3350</v>
      </c>
      <c r="C10" s="155"/>
      <c r="D10" s="158">
        <v>4659600.5999999996</v>
      </c>
      <c r="H10" s="161"/>
      <c r="I10" s="157">
        <v>6250</v>
      </c>
      <c r="J10" s="158">
        <v>21075</v>
      </c>
      <c r="K10" s="155"/>
    </row>
    <row r="11" spans="1:12" x14ac:dyDescent="0.2">
      <c r="A11" s="159"/>
      <c r="B11" s="154" t="s">
        <v>142</v>
      </c>
      <c r="C11" s="155"/>
      <c r="D11" s="158">
        <v>4659600.5999999996</v>
      </c>
      <c r="H11" s="166"/>
      <c r="I11" s="157">
        <v>625001</v>
      </c>
      <c r="J11" s="158">
        <v>21075</v>
      </c>
      <c r="K11" s="155"/>
    </row>
    <row r="12" spans="1:12" x14ac:dyDescent="0.2">
      <c r="A12" s="159"/>
      <c r="B12" s="154" t="s">
        <v>143</v>
      </c>
      <c r="C12" s="155"/>
      <c r="D12" s="155"/>
      <c r="H12" s="159"/>
      <c r="I12" s="154" t="s">
        <v>142</v>
      </c>
      <c r="J12" s="158">
        <v>21075</v>
      </c>
      <c r="K12" s="155"/>
    </row>
    <row r="13" spans="1:12" x14ac:dyDescent="0.2">
      <c r="A13" s="154" t="s">
        <v>388</v>
      </c>
      <c r="B13" s="154" t="s">
        <v>141</v>
      </c>
      <c r="C13" s="155"/>
      <c r="D13" s="155"/>
      <c r="E13" s="31"/>
      <c r="H13" s="159"/>
      <c r="I13" s="154" t="s">
        <v>143</v>
      </c>
      <c r="J13" s="155"/>
      <c r="K13" s="155"/>
    </row>
    <row r="14" spans="1:12" ht="22.5" x14ac:dyDescent="0.2">
      <c r="A14" s="156"/>
      <c r="B14" s="157">
        <v>1000</v>
      </c>
      <c r="C14" s="181">
        <v>4600000</v>
      </c>
      <c r="D14" s="155"/>
      <c r="E14" s="48">
        <f>ROUND(C14/1000,0)</f>
        <v>4600</v>
      </c>
      <c r="H14" s="188" t="s">
        <v>426</v>
      </c>
      <c r="I14" s="188" t="s">
        <v>141</v>
      </c>
      <c r="J14" s="187"/>
      <c r="K14" s="187"/>
    </row>
    <row r="15" spans="1:12" x14ac:dyDescent="0.2">
      <c r="A15" s="161"/>
      <c r="B15" s="157">
        <v>1030</v>
      </c>
      <c r="C15" s="158">
        <v>4600000</v>
      </c>
      <c r="D15" s="155"/>
      <c r="H15" s="156"/>
      <c r="I15" s="157">
        <v>1600</v>
      </c>
      <c r="J15" s="155"/>
      <c r="K15" s="158">
        <v>3698925</v>
      </c>
      <c r="L15" s="31">
        <f>ROUND(K15/1000,0)</f>
        <v>3699</v>
      </c>
    </row>
    <row r="16" spans="1:12" x14ac:dyDescent="0.2">
      <c r="A16" s="159"/>
      <c r="B16" s="154" t="s">
        <v>142</v>
      </c>
      <c r="C16" s="158">
        <v>4600000</v>
      </c>
      <c r="D16" s="155"/>
      <c r="H16" s="161"/>
      <c r="I16" s="157">
        <v>1610</v>
      </c>
      <c r="J16" s="155"/>
      <c r="K16" s="158">
        <v>3698925</v>
      </c>
    </row>
    <row r="17" spans="1:16" x14ac:dyDescent="0.2">
      <c r="A17" s="159"/>
      <c r="B17" s="154" t="s">
        <v>143</v>
      </c>
      <c r="C17" s="155"/>
      <c r="D17" s="155"/>
      <c r="H17" s="166"/>
      <c r="I17" s="157">
        <v>161001</v>
      </c>
      <c r="J17" s="155"/>
      <c r="K17" s="158">
        <v>3698925</v>
      </c>
    </row>
    <row r="18" spans="1:16" x14ac:dyDescent="0.2">
      <c r="A18" s="160"/>
      <c r="B18" s="151" t="s">
        <v>142</v>
      </c>
      <c r="C18" s="152">
        <v>4600000</v>
      </c>
      <c r="D18" s="152">
        <v>4659600.5999999996</v>
      </c>
      <c r="H18" s="159"/>
      <c r="I18" s="154" t="s">
        <v>142</v>
      </c>
      <c r="J18" s="155"/>
      <c r="K18" s="158">
        <v>3698925</v>
      </c>
    </row>
    <row r="19" spans="1:16" x14ac:dyDescent="0.2">
      <c r="A19" s="160"/>
      <c r="B19" s="151" t="s">
        <v>143</v>
      </c>
      <c r="C19" s="152">
        <v>83436.38</v>
      </c>
      <c r="D19" s="153"/>
      <c r="H19" s="159"/>
      <c r="I19" s="154" t="s">
        <v>143</v>
      </c>
      <c r="J19" s="155"/>
      <c r="K19" s="155"/>
    </row>
    <row r="20" spans="1:16" ht="22.5" x14ac:dyDescent="0.2">
      <c r="A20" s="151" t="s">
        <v>389</v>
      </c>
      <c r="B20" s="151" t="s">
        <v>141</v>
      </c>
      <c r="C20" s="152">
        <v>2693660.37</v>
      </c>
      <c r="D20" s="153"/>
      <c r="E20" s="31"/>
      <c r="H20" s="154" t="s">
        <v>388</v>
      </c>
      <c r="I20" s="154" t="s">
        <v>141</v>
      </c>
      <c r="J20" s="155"/>
      <c r="K20" s="155"/>
    </row>
    <row r="21" spans="1:16" x14ac:dyDescent="0.2">
      <c r="A21" s="173" t="s">
        <v>390</v>
      </c>
      <c r="B21" s="173" t="s">
        <v>141</v>
      </c>
      <c r="C21" s="174"/>
      <c r="D21" s="174"/>
      <c r="H21" s="156"/>
      <c r="I21" s="157">
        <v>1000</v>
      </c>
      <c r="J21" s="183">
        <v>3677850</v>
      </c>
      <c r="K21" s="155"/>
      <c r="L21" s="184">
        <f>ROUND(J21/1000,0)</f>
        <v>3678</v>
      </c>
    </row>
    <row r="22" spans="1:16" x14ac:dyDescent="0.2">
      <c r="A22" s="156"/>
      <c r="B22" s="157">
        <v>1600</v>
      </c>
      <c r="C22" s="155"/>
      <c r="D22" s="158">
        <v>4976637</v>
      </c>
      <c r="E22" s="31">
        <f>ROUND(D25/1000,0)</f>
        <v>4977</v>
      </c>
      <c r="F22" s="175">
        <v>4000</v>
      </c>
      <c r="G22" s="61" t="s">
        <v>443</v>
      </c>
      <c r="H22" s="161"/>
      <c r="I22" s="157">
        <v>1020</v>
      </c>
      <c r="J22" s="158">
        <v>3677850</v>
      </c>
      <c r="K22" s="155"/>
    </row>
    <row r="23" spans="1:16" x14ac:dyDescent="0.2">
      <c r="A23" s="161"/>
      <c r="B23" s="157">
        <v>1610</v>
      </c>
      <c r="C23" s="155"/>
      <c r="D23" s="158">
        <v>4976637</v>
      </c>
      <c r="F23" s="175">
        <v>570</v>
      </c>
      <c r="G23" s="61" t="s">
        <v>444</v>
      </c>
      <c r="H23" s="159"/>
      <c r="I23" s="154" t="s">
        <v>142</v>
      </c>
      <c r="J23" s="158">
        <v>3677850</v>
      </c>
      <c r="K23" s="155"/>
    </row>
    <row r="24" spans="1:16" x14ac:dyDescent="0.2">
      <c r="A24" s="166"/>
      <c r="B24" s="157">
        <v>161001</v>
      </c>
      <c r="C24" s="155"/>
      <c r="D24" s="158">
        <v>4976637</v>
      </c>
      <c r="H24" s="159"/>
      <c r="I24" s="154" t="s">
        <v>143</v>
      </c>
      <c r="J24" s="155"/>
      <c r="K24" s="155"/>
    </row>
    <row r="25" spans="1:16" x14ac:dyDescent="0.2">
      <c r="A25" s="159"/>
      <c r="B25" s="154" t="s">
        <v>142</v>
      </c>
      <c r="C25" s="155"/>
      <c r="D25" s="158">
        <v>4976637</v>
      </c>
      <c r="F25" s="83">
        <f>E22-F22-F23-F24</f>
        <v>407</v>
      </c>
      <c r="G25" s="61" t="s">
        <v>364</v>
      </c>
      <c r="H25" s="160"/>
      <c r="I25" s="151" t="s">
        <v>142</v>
      </c>
      <c r="J25" s="152">
        <v>3698925</v>
      </c>
      <c r="K25" s="152">
        <v>3698925</v>
      </c>
    </row>
    <row r="26" spans="1:16" x14ac:dyDescent="0.2">
      <c r="A26" s="159"/>
      <c r="B26" s="154" t="s">
        <v>143</v>
      </c>
      <c r="C26" s="155"/>
      <c r="D26" s="155"/>
      <c r="H26" s="160"/>
      <c r="I26" s="151" t="s">
        <v>143</v>
      </c>
      <c r="J26" s="153"/>
      <c r="K26" s="153"/>
    </row>
    <row r="27" spans="1:16" ht="22.5" x14ac:dyDescent="0.2">
      <c r="A27" s="173" t="s">
        <v>391</v>
      </c>
      <c r="B27" s="173" t="s">
        <v>141</v>
      </c>
      <c r="C27" s="174"/>
      <c r="D27" s="174"/>
      <c r="E27" s="83"/>
      <c r="H27" s="163"/>
      <c r="I27" s="148" t="s">
        <v>142</v>
      </c>
      <c r="J27" s="149">
        <v>3698925</v>
      </c>
      <c r="K27" s="149">
        <v>3698925</v>
      </c>
    </row>
    <row r="28" spans="1:16" x14ac:dyDescent="0.2">
      <c r="A28" s="156"/>
      <c r="B28" s="157">
        <v>1200</v>
      </c>
      <c r="C28" s="155"/>
      <c r="D28" s="158">
        <v>7200000</v>
      </c>
      <c r="E28" s="31">
        <f>ROUND(D28/1000,0)</f>
        <v>7200</v>
      </c>
      <c r="H28" s="163"/>
      <c r="I28" s="148" t="s">
        <v>143</v>
      </c>
      <c r="J28" s="150"/>
      <c r="K28" s="150"/>
    </row>
    <row r="29" spans="1:16" x14ac:dyDescent="0.2">
      <c r="A29" s="161"/>
      <c r="B29" s="157">
        <v>1250</v>
      </c>
      <c r="C29" s="155"/>
      <c r="D29" s="158">
        <v>7200000</v>
      </c>
      <c r="H29" s="148" t="s">
        <v>385</v>
      </c>
      <c r="I29" s="148" t="s">
        <v>141</v>
      </c>
      <c r="J29" s="149">
        <v>7344093.5300000003</v>
      </c>
      <c r="K29" s="150"/>
    </row>
    <row r="30" spans="1:16" ht="33.75" x14ac:dyDescent="0.2">
      <c r="A30" s="166"/>
      <c r="B30" s="157">
        <v>1251</v>
      </c>
      <c r="C30" s="155"/>
      <c r="D30" s="158">
        <v>7200000</v>
      </c>
      <c r="H30" s="151" t="s">
        <v>386</v>
      </c>
      <c r="I30" s="151" t="s">
        <v>141</v>
      </c>
      <c r="J30" s="152">
        <v>83889.18</v>
      </c>
      <c r="K30" s="153"/>
    </row>
    <row r="31" spans="1:16" ht="22.5" x14ac:dyDescent="0.2">
      <c r="A31" s="156"/>
      <c r="B31" s="157">
        <v>1600</v>
      </c>
      <c r="C31" s="155"/>
      <c r="D31" s="158">
        <v>228500</v>
      </c>
      <c r="E31" s="83">
        <f>ROUND(D33/1000,0)</f>
        <v>229</v>
      </c>
      <c r="F31" s="175">
        <v>200</v>
      </c>
      <c r="G31" s="175" t="s">
        <v>446</v>
      </c>
      <c r="H31" s="173" t="s">
        <v>387</v>
      </c>
      <c r="I31" s="173" t="s">
        <v>141</v>
      </c>
      <c r="J31" s="174"/>
      <c r="K31" s="174"/>
    </row>
    <row r="32" spans="1:16" x14ac:dyDescent="0.2">
      <c r="A32" s="161"/>
      <c r="B32" s="157">
        <v>1610</v>
      </c>
      <c r="C32" s="155"/>
      <c r="D32" s="158">
        <v>228500</v>
      </c>
      <c r="F32" s="83">
        <f>E31-F31</f>
        <v>29</v>
      </c>
      <c r="G32" s="175" t="s">
        <v>364</v>
      </c>
      <c r="H32" s="156"/>
      <c r="I32" s="157">
        <v>3300</v>
      </c>
      <c r="J32" s="155"/>
      <c r="K32" s="158">
        <v>4680000.5999999996</v>
      </c>
      <c r="O32" s="64">
        <f>J21</f>
        <v>3677850</v>
      </c>
      <c r="P32" s="64">
        <f>K332</f>
        <v>40000000</v>
      </c>
    </row>
    <row r="33" spans="1:16" x14ac:dyDescent="0.2">
      <c r="A33" s="166"/>
      <c r="B33" s="157">
        <v>161001</v>
      </c>
      <c r="C33" s="155"/>
      <c r="D33" s="158">
        <v>228500</v>
      </c>
      <c r="H33" s="161"/>
      <c r="I33" s="157">
        <v>3350</v>
      </c>
      <c r="J33" s="155"/>
      <c r="K33" s="158">
        <v>4680000.5999999996</v>
      </c>
      <c r="L33" s="31">
        <f>ROUND(K33/1000,0)</f>
        <v>4680</v>
      </c>
      <c r="O33" s="64">
        <f>J38</f>
        <v>4900000</v>
      </c>
      <c r="P33" s="64">
        <f>K207</f>
        <v>41000000</v>
      </c>
    </row>
    <row r="34" spans="1:16" x14ac:dyDescent="0.2">
      <c r="A34" s="159"/>
      <c r="B34" s="154" t="s">
        <v>142</v>
      </c>
      <c r="C34" s="155"/>
      <c r="D34" s="158">
        <v>7428500</v>
      </c>
      <c r="H34" s="159"/>
      <c r="I34" s="154" t="s">
        <v>142</v>
      </c>
      <c r="J34" s="155"/>
      <c r="K34" s="158">
        <v>4680000.5999999996</v>
      </c>
      <c r="O34" s="64">
        <f>J224</f>
        <v>60000000</v>
      </c>
      <c r="P34" s="64">
        <f>K212</f>
        <v>12105250</v>
      </c>
    </row>
    <row r="35" spans="1:16" x14ac:dyDescent="0.2">
      <c r="A35" s="159"/>
      <c r="B35" s="154" t="s">
        <v>143</v>
      </c>
      <c r="C35" s="155"/>
      <c r="D35" s="155"/>
      <c r="H35" s="159"/>
      <c r="I35" s="154" t="s">
        <v>143</v>
      </c>
      <c r="J35" s="155"/>
      <c r="K35" s="155"/>
      <c r="O35" s="64">
        <f>J228</f>
        <v>20000000</v>
      </c>
      <c r="P35" s="64">
        <f>K337</f>
        <v>79000000</v>
      </c>
    </row>
    <row r="36" spans="1:16" ht="22.5" x14ac:dyDescent="0.2">
      <c r="A36" s="173" t="s">
        <v>392</v>
      </c>
      <c r="B36" s="173" t="s">
        <v>141</v>
      </c>
      <c r="C36" s="174"/>
      <c r="D36" s="174"/>
      <c r="E36" s="31"/>
      <c r="H36" s="154" t="s">
        <v>388</v>
      </c>
      <c r="I36" s="154" t="s">
        <v>141</v>
      </c>
      <c r="J36" s="155"/>
      <c r="K36" s="155"/>
      <c r="O36" s="64">
        <f>J320</f>
        <v>64000000</v>
      </c>
      <c r="P36" s="64">
        <f>K443</f>
        <v>3025520</v>
      </c>
    </row>
    <row r="37" spans="1:16" x14ac:dyDescent="0.2">
      <c r="A37" s="156"/>
      <c r="B37" s="157">
        <v>3100</v>
      </c>
      <c r="C37" s="155"/>
      <c r="D37" s="158">
        <v>11742666.02</v>
      </c>
      <c r="E37" s="83">
        <f>ROUND(D37/1000,0)</f>
        <v>11743</v>
      </c>
      <c r="H37" s="156"/>
      <c r="I37" s="157">
        <v>1000</v>
      </c>
      <c r="J37" s="158">
        <v>4900000</v>
      </c>
      <c r="K37" s="155"/>
      <c r="O37" s="64">
        <f>J354</f>
        <v>11100000</v>
      </c>
    </row>
    <row r="38" spans="1:16" x14ac:dyDescent="0.2">
      <c r="A38" s="161"/>
      <c r="B38" s="157">
        <v>3120</v>
      </c>
      <c r="C38" s="155"/>
      <c r="D38" s="158">
        <v>6289202.9800000004</v>
      </c>
      <c r="E38" s="31">
        <f>ROUND(D38/1000,0)</f>
        <v>6289</v>
      </c>
      <c r="H38" s="161"/>
      <c r="I38" s="157">
        <v>1030</v>
      </c>
      <c r="J38" s="183">
        <v>4900000</v>
      </c>
      <c r="K38" s="155"/>
      <c r="L38" s="184">
        <f>ROUND(J38/1000,0)</f>
        <v>4900</v>
      </c>
      <c r="O38" s="64">
        <f>J420</f>
        <v>3025520</v>
      </c>
    </row>
    <row r="39" spans="1:16" x14ac:dyDescent="0.2">
      <c r="A39" s="161"/>
      <c r="B39" s="157">
        <v>3150</v>
      </c>
      <c r="C39" s="155"/>
      <c r="D39" s="158">
        <v>5397863.04</v>
      </c>
      <c r="E39" s="31">
        <f>ROUND(D39/1000,0)</f>
        <v>5398</v>
      </c>
      <c r="H39" s="159"/>
      <c r="I39" s="154" t="s">
        <v>142</v>
      </c>
      <c r="J39" s="158">
        <v>4900000</v>
      </c>
      <c r="K39" s="155"/>
      <c r="O39" s="64">
        <f>J447</f>
        <v>8175100</v>
      </c>
    </row>
    <row r="40" spans="1:16" x14ac:dyDescent="0.2">
      <c r="A40" s="161"/>
      <c r="B40" s="157">
        <v>3190</v>
      </c>
      <c r="C40" s="155"/>
      <c r="D40" s="158">
        <v>55600</v>
      </c>
      <c r="E40" s="31">
        <f>ROUND(D40/1000,0)</f>
        <v>56</v>
      </c>
      <c r="H40" s="159"/>
      <c r="I40" s="154" t="s">
        <v>143</v>
      </c>
      <c r="J40" s="155"/>
      <c r="K40" s="155"/>
    </row>
    <row r="41" spans="1:16" x14ac:dyDescent="0.2">
      <c r="A41" s="159"/>
      <c r="B41" s="154" t="s">
        <v>142</v>
      </c>
      <c r="C41" s="155"/>
      <c r="D41" s="158">
        <v>11742666.02</v>
      </c>
      <c r="H41" s="160"/>
      <c r="I41" s="151" t="s">
        <v>142</v>
      </c>
      <c r="J41" s="152">
        <v>4900000</v>
      </c>
      <c r="K41" s="152">
        <v>4680000.5999999996</v>
      </c>
    </row>
    <row r="42" spans="1:16" x14ac:dyDescent="0.2">
      <c r="A42" s="159"/>
      <c r="B42" s="154" t="s">
        <v>143</v>
      </c>
      <c r="C42" s="155"/>
      <c r="D42" s="155"/>
      <c r="E42" s="31">
        <f>ROUND(D42/1000,0)</f>
        <v>0</v>
      </c>
      <c r="H42" s="160"/>
      <c r="I42" s="151" t="s">
        <v>143</v>
      </c>
      <c r="J42" s="152">
        <v>303888.58</v>
      </c>
      <c r="K42" s="153"/>
      <c r="O42" s="64">
        <f>SUM(O32:O41)</f>
        <v>174878470</v>
      </c>
      <c r="P42" s="64">
        <f>SUM(P33:P41)</f>
        <v>135130770</v>
      </c>
    </row>
    <row r="43" spans="1:16" ht="33.75" x14ac:dyDescent="0.2">
      <c r="A43" s="173" t="s">
        <v>393</v>
      </c>
      <c r="B43" s="173" t="s">
        <v>141</v>
      </c>
      <c r="C43" s="174"/>
      <c r="D43" s="174"/>
      <c r="E43" s="175"/>
      <c r="H43" s="151" t="s">
        <v>389</v>
      </c>
      <c r="I43" s="151" t="s">
        <v>141</v>
      </c>
      <c r="J43" s="152">
        <v>6429493.0499999998</v>
      </c>
      <c r="K43" s="153"/>
      <c r="O43" s="31">
        <f>ROUND(O42/1000,0)</f>
        <v>174878</v>
      </c>
      <c r="P43" s="31">
        <f>ROUND(P42/1000,0)</f>
        <v>135131</v>
      </c>
    </row>
    <row r="44" spans="1:16" ht="22.5" x14ac:dyDescent="0.2">
      <c r="A44" s="156"/>
      <c r="B44" s="157">
        <v>1600</v>
      </c>
      <c r="C44" s="155"/>
      <c r="D44" s="158">
        <v>5505200</v>
      </c>
      <c r="E44" s="31">
        <f>ROUND(D44/1000,0)</f>
        <v>5505</v>
      </c>
      <c r="H44" s="173" t="s">
        <v>390</v>
      </c>
      <c r="I44" s="173" t="s">
        <v>141</v>
      </c>
      <c r="J44" s="174"/>
      <c r="K44" s="174"/>
      <c r="P44" s="31">
        <f>O43-P43</f>
        <v>39747</v>
      </c>
    </row>
    <row r="45" spans="1:16" x14ac:dyDescent="0.2">
      <c r="A45" s="161"/>
      <c r="B45" s="157">
        <v>1610</v>
      </c>
      <c r="C45" s="155"/>
      <c r="D45" s="158">
        <v>5505200</v>
      </c>
      <c r="H45" s="156"/>
      <c r="I45" s="157">
        <v>1600</v>
      </c>
      <c r="J45" s="155"/>
      <c r="K45" s="158">
        <v>3216128.2</v>
      </c>
      <c r="M45" s="61">
        <v>2296</v>
      </c>
      <c r="N45" s="61" t="s">
        <v>436</v>
      </c>
    </row>
    <row r="46" spans="1:16" x14ac:dyDescent="0.2">
      <c r="A46" s="166"/>
      <c r="B46" s="157">
        <v>161001</v>
      </c>
      <c r="C46" s="155"/>
      <c r="D46" s="158">
        <v>5505200</v>
      </c>
      <c r="H46" s="161"/>
      <c r="I46" s="157">
        <v>1610</v>
      </c>
      <c r="J46" s="155"/>
      <c r="K46" s="158">
        <v>3216128.2</v>
      </c>
      <c r="M46" s="31">
        <f>L47-M45</f>
        <v>920</v>
      </c>
    </row>
    <row r="47" spans="1:16" x14ac:dyDescent="0.2">
      <c r="A47" s="156"/>
      <c r="B47" s="157">
        <v>3300</v>
      </c>
      <c r="C47" s="155"/>
      <c r="D47" s="158">
        <v>2157535.1800000002</v>
      </c>
      <c r="E47" s="31">
        <f>ROUND(D47/1000,0)</f>
        <v>2158</v>
      </c>
      <c r="H47" s="166"/>
      <c r="I47" s="157">
        <v>161001</v>
      </c>
      <c r="J47" s="155"/>
      <c r="K47" s="158">
        <v>3216128.2</v>
      </c>
      <c r="L47" s="31">
        <f>ROUND(K47/1000,0)</f>
        <v>3216</v>
      </c>
    </row>
    <row r="48" spans="1:16" x14ac:dyDescent="0.2">
      <c r="A48" s="161"/>
      <c r="B48" s="157">
        <v>3310</v>
      </c>
      <c r="C48" s="155"/>
      <c r="D48" s="158">
        <v>23535.18</v>
      </c>
      <c r="E48" s="31">
        <f>ROUND(D48/1000,0)</f>
        <v>24</v>
      </c>
      <c r="H48" s="159"/>
      <c r="I48" s="154" t="s">
        <v>142</v>
      </c>
      <c r="J48" s="155"/>
      <c r="K48" s="158">
        <v>3216128.2</v>
      </c>
    </row>
    <row r="49" spans="1:14" x14ac:dyDescent="0.2">
      <c r="A49" s="161"/>
      <c r="B49" s="157">
        <v>3360</v>
      </c>
      <c r="C49" s="155"/>
      <c r="D49" s="158">
        <v>2134000</v>
      </c>
      <c r="E49" s="31">
        <f>ROUND(D49/1000,0)</f>
        <v>2134</v>
      </c>
      <c r="H49" s="159"/>
      <c r="I49" s="154" t="s">
        <v>143</v>
      </c>
      <c r="J49" s="155"/>
      <c r="K49" s="155"/>
    </row>
    <row r="50" spans="1:14" ht="22.5" x14ac:dyDescent="0.2">
      <c r="A50" s="159"/>
      <c r="B50" s="154" t="s">
        <v>142</v>
      </c>
      <c r="C50" s="155"/>
      <c r="D50" s="158">
        <v>7662735.1799999997</v>
      </c>
      <c r="E50" s="31">
        <f>ROUND(D50/1000,0)</f>
        <v>7663</v>
      </c>
      <c r="H50" s="154" t="s">
        <v>427</v>
      </c>
      <c r="I50" s="154" t="s">
        <v>141</v>
      </c>
      <c r="J50" s="155"/>
      <c r="K50" s="155"/>
    </row>
    <row r="51" spans="1:14" x14ac:dyDescent="0.2">
      <c r="A51" s="159"/>
      <c r="B51" s="154" t="s">
        <v>143</v>
      </c>
      <c r="C51" s="155"/>
      <c r="D51" s="155"/>
      <c r="H51" s="156"/>
      <c r="I51" s="157">
        <v>1600</v>
      </c>
      <c r="J51" s="155"/>
      <c r="K51" s="158">
        <v>8999.92</v>
      </c>
    </row>
    <row r="52" spans="1:14" ht="22.5" x14ac:dyDescent="0.2">
      <c r="A52" s="173" t="s">
        <v>394</v>
      </c>
      <c r="B52" s="173" t="s">
        <v>141</v>
      </c>
      <c r="C52" s="174"/>
      <c r="D52" s="174"/>
      <c r="E52" s="175"/>
      <c r="H52" s="161"/>
      <c r="I52" s="157">
        <v>1610</v>
      </c>
      <c r="J52" s="155"/>
      <c r="K52" s="158">
        <v>8999.92</v>
      </c>
      <c r="L52" s="31">
        <f>ROUND(K52/1000,0)</f>
        <v>9</v>
      </c>
    </row>
    <row r="53" spans="1:14" x14ac:dyDescent="0.2">
      <c r="A53" s="156"/>
      <c r="B53" s="157">
        <v>1600</v>
      </c>
      <c r="C53" s="155"/>
      <c r="D53" s="158">
        <v>162000</v>
      </c>
      <c r="H53" s="166"/>
      <c r="I53" s="157">
        <v>161001</v>
      </c>
      <c r="J53" s="155"/>
      <c r="K53" s="158">
        <v>8999.92</v>
      </c>
    </row>
    <row r="54" spans="1:14" x14ac:dyDescent="0.2">
      <c r="A54" s="161"/>
      <c r="B54" s="157">
        <v>1610</v>
      </c>
      <c r="C54" s="155"/>
      <c r="D54" s="158">
        <v>162000</v>
      </c>
      <c r="E54" s="31">
        <f>ROUND(D54/1000,0)</f>
        <v>162</v>
      </c>
      <c r="H54" s="159"/>
      <c r="I54" s="154" t="s">
        <v>142</v>
      </c>
      <c r="J54" s="155"/>
      <c r="K54" s="158">
        <v>8999.92</v>
      </c>
    </row>
    <row r="55" spans="1:14" x14ac:dyDescent="0.2">
      <c r="A55" s="166"/>
      <c r="B55" s="157">
        <v>161001</v>
      </c>
      <c r="C55" s="155"/>
      <c r="D55" s="158">
        <v>162000</v>
      </c>
      <c r="H55" s="159"/>
      <c r="I55" s="154" t="s">
        <v>143</v>
      </c>
      <c r="J55" s="155"/>
      <c r="K55" s="155"/>
    </row>
    <row r="56" spans="1:14" ht="33.75" x14ac:dyDescent="0.2">
      <c r="A56" s="156"/>
      <c r="B56" s="157">
        <v>3300</v>
      </c>
      <c r="C56" s="155"/>
      <c r="D56" s="158">
        <v>1535250.9</v>
      </c>
      <c r="E56" s="31">
        <f>ROUND(D56/1000,0)</f>
        <v>1535</v>
      </c>
      <c r="H56" s="173" t="s">
        <v>391</v>
      </c>
      <c r="I56" s="173" t="s">
        <v>141</v>
      </c>
      <c r="J56" s="174"/>
      <c r="K56" s="174"/>
    </row>
    <row r="57" spans="1:14" x14ac:dyDescent="0.2">
      <c r="A57" s="161"/>
      <c r="B57" s="157">
        <v>3310</v>
      </c>
      <c r="C57" s="155"/>
      <c r="D57" s="158">
        <v>1535250.9</v>
      </c>
      <c r="H57" s="156"/>
      <c r="I57" s="157">
        <v>1200</v>
      </c>
      <c r="J57" s="155"/>
      <c r="K57" s="158">
        <v>2400000</v>
      </c>
    </row>
    <row r="58" spans="1:14" x14ac:dyDescent="0.2">
      <c r="A58" s="159"/>
      <c r="B58" s="154" t="s">
        <v>142</v>
      </c>
      <c r="C58" s="155"/>
      <c r="D58" s="158">
        <v>1697250.9</v>
      </c>
      <c r="E58" s="31">
        <f>ROUND(D58/1000,0)</f>
        <v>1697</v>
      </c>
      <c r="H58" s="161"/>
      <c r="I58" s="157">
        <v>1250</v>
      </c>
      <c r="J58" s="155"/>
      <c r="K58" s="158">
        <v>2400000</v>
      </c>
    </row>
    <row r="59" spans="1:14" x14ac:dyDescent="0.2">
      <c r="A59" s="159"/>
      <c r="B59" s="154" t="s">
        <v>143</v>
      </c>
      <c r="C59" s="155"/>
      <c r="D59" s="155"/>
      <c r="E59" s="31"/>
      <c r="H59" s="166"/>
      <c r="I59" s="157">
        <v>1251</v>
      </c>
      <c r="J59" s="155"/>
      <c r="K59" s="158">
        <v>2400000</v>
      </c>
      <c r="L59" s="31">
        <f>ROUND(K59/1000,0)</f>
        <v>2400</v>
      </c>
    </row>
    <row r="60" spans="1:14" ht="33.75" x14ac:dyDescent="0.2">
      <c r="A60" s="173" t="s">
        <v>395</v>
      </c>
      <c r="B60" s="173" t="s">
        <v>141</v>
      </c>
      <c r="C60" s="174"/>
      <c r="D60" s="174"/>
      <c r="H60" s="156"/>
      <c r="I60" s="157">
        <v>1600</v>
      </c>
      <c r="J60" s="155"/>
      <c r="K60" s="158">
        <v>867420</v>
      </c>
    </row>
    <row r="61" spans="1:14" x14ac:dyDescent="0.2">
      <c r="A61" s="156"/>
      <c r="B61" s="157">
        <v>1600</v>
      </c>
      <c r="C61" s="155"/>
      <c r="D61" s="158">
        <v>129600</v>
      </c>
      <c r="E61" s="31">
        <f>ROUND(D61/1000,0)</f>
        <v>130</v>
      </c>
      <c r="H61" s="161"/>
      <c r="I61" s="157">
        <v>1610</v>
      </c>
      <c r="J61" s="155"/>
      <c r="K61" s="158">
        <v>867420</v>
      </c>
    </row>
    <row r="62" spans="1:14" x14ac:dyDescent="0.2">
      <c r="A62" s="161"/>
      <c r="B62" s="157">
        <v>1610</v>
      </c>
      <c r="C62" s="155"/>
      <c r="D62" s="158">
        <v>129600</v>
      </c>
      <c r="H62" s="166"/>
      <c r="I62" s="157">
        <v>161001</v>
      </c>
      <c r="J62" s="155"/>
      <c r="K62" s="158">
        <v>867420</v>
      </c>
      <c r="L62" s="31">
        <f>ROUND(K62/1000,0)</f>
        <v>867</v>
      </c>
      <c r="M62" s="61">
        <v>600</v>
      </c>
      <c r="N62" s="61" t="s">
        <v>435</v>
      </c>
    </row>
    <row r="63" spans="1:14" x14ac:dyDescent="0.2">
      <c r="A63" s="166"/>
      <c r="B63" s="157">
        <v>161001</v>
      </c>
      <c r="C63" s="155"/>
      <c r="D63" s="158">
        <v>129600</v>
      </c>
      <c r="H63" s="159"/>
      <c r="I63" s="154" t="s">
        <v>142</v>
      </c>
      <c r="J63" s="155"/>
      <c r="K63" s="158">
        <v>3267420</v>
      </c>
      <c r="M63" s="31">
        <f>L62-M62</f>
        <v>267</v>
      </c>
      <c r="N63" s="61" t="s">
        <v>431</v>
      </c>
    </row>
    <row r="64" spans="1:14" x14ac:dyDescent="0.2">
      <c r="A64" s="156"/>
      <c r="B64" s="157">
        <v>3300</v>
      </c>
      <c r="C64" s="155"/>
      <c r="D64" s="158">
        <v>10125</v>
      </c>
      <c r="H64" s="159"/>
      <c r="I64" s="154" t="s">
        <v>143</v>
      </c>
      <c r="J64" s="155"/>
      <c r="K64" s="155"/>
    </row>
    <row r="65" spans="1:12" x14ac:dyDescent="0.2">
      <c r="A65" s="161"/>
      <c r="B65" s="157">
        <v>3310</v>
      </c>
      <c r="C65" s="155"/>
      <c r="D65" s="158">
        <v>10125</v>
      </c>
      <c r="E65" s="31">
        <f>ROUND(D65/1000,0)</f>
        <v>10</v>
      </c>
      <c r="H65" s="173" t="s">
        <v>392</v>
      </c>
      <c r="I65" s="173" t="s">
        <v>141</v>
      </c>
      <c r="J65" s="174"/>
      <c r="K65" s="174"/>
      <c r="L65" s="175"/>
    </row>
    <row r="66" spans="1:12" x14ac:dyDescent="0.2">
      <c r="A66" s="159"/>
      <c r="B66" s="154" t="s">
        <v>142</v>
      </c>
      <c r="C66" s="155"/>
      <c r="D66" s="158">
        <v>139725</v>
      </c>
      <c r="E66" s="31">
        <f>ROUND(D66/1000,0)</f>
        <v>140</v>
      </c>
      <c r="H66" s="156"/>
      <c r="I66" s="157">
        <v>3100</v>
      </c>
      <c r="J66" s="155"/>
      <c r="K66" s="158">
        <v>12404330.529999999</v>
      </c>
      <c r="L66" s="31">
        <f>ROUND(K66/1000,0)</f>
        <v>12404</v>
      </c>
    </row>
    <row r="67" spans="1:12" x14ac:dyDescent="0.2">
      <c r="A67" s="159"/>
      <c r="B67" s="154" t="s">
        <v>143</v>
      </c>
      <c r="C67" s="155"/>
      <c r="D67" s="155"/>
      <c r="H67" s="161"/>
      <c r="I67" s="157">
        <v>3120</v>
      </c>
      <c r="J67" s="155"/>
      <c r="K67" s="158">
        <v>6687958.9400000004</v>
      </c>
      <c r="L67" s="31">
        <f>ROUND(K67/1000,0)</f>
        <v>6688</v>
      </c>
    </row>
    <row r="68" spans="1:12" ht="22.5" x14ac:dyDescent="0.2">
      <c r="A68" s="173" t="s">
        <v>396</v>
      </c>
      <c r="B68" s="173" t="s">
        <v>141</v>
      </c>
      <c r="C68" s="174"/>
      <c r="D68" s="174"/>
      <c r="H68" s="161"/>
      <c r="I68" s="157">
        <v>3150</v>
      </c>
      <c r="J68" s="155"/>
      <c r="K68" s="158">
        <v>5716371.5899999999</v>
      </c>
      <c r="L68" s="31">
        <f>ROUND(K68/1000,0)</f>
        <v>5716</v>
      </c>
    </row>
    <row r="69" spans="1:12" x14ac:dyDescent="0.2">
      <c r="A69" s="156"/>
      <c r="B69" s="157">
        <v>1600</v>
      </c>
      <c r="C69" s="155"/>
      <c r="D69" s="158">
        <v>316623</v>
      </c>
      <c r="E69" s="31">
        <f>ROUND(D69/1000,0)</f>
        <v>317</v>
      </c>
      <c r="H69" s="159"/>
      <c r="I69" s="154" t="s">
        <v>142</v>
      </c>
      <c r="J69" s="155"/>
      <c r="K69" s="158">
        <v>12404330.529999999</v>
      </c>
      <c r="L69" s="31">
        <f>ROUND(K69/1000,0)</f>
        <v>12404</v>
      </c>
    </row>
    <row r="70" spans="1:12" x14ac:dyDescent="0.2">
      <c r="A70" s="161"/>
      <c r="B70" s="157">
        <v>1610</v>
      </c>
      <c r="C70" s="155"/>
      <c r="D70" s="158">
        <v>316623</v>
      </c>
      <c r="H70" s="159"/>
      <c r="I70" s="154" t="s">
        <v>143</v>
      </c>
      <c r="J70" s="155"/>
      <c r="K70" s="155"/>
    </row>
    <row r="71" spans="1:12" ht="22.5" x14ac:dyDescent="0.2">
      <c r="A71" s="166"/>
      <c r="B71" s="157">
        <v>161001</v>
      </c>
      <c r="C71" s="155"/>
      <c r="D71" s="158">
        <v>316623</v>
      </c>
      <c r="E71" s="31"/>
      <c r="H71" s="173" t="s">
        <v>393</v>
      </c>
      <c r="I71" s="173" t="s">
        <v>141</v>
      </c>
      <c r="J71" s="174"/>
      <c r="K71" s="174"/>
      <c r="L71" s="175"/>
    </row>
    <row r="72" spans="1:12" x14ac:dyDescent="0.2">
      <c r="A72" s="159"/>
      <c r="B72" s="154" t="s">
        <v>142</v>
      </c>
      <c r="C72" s="155"/>
      <c r="D72" s="158">
        <v>316623</v>
      </c>
      <c r="H72" s="156"/>
      <c r="I72" s="157">
        <v>1200</v>
      </c>
      <c r="J72" s="155"/>
      <c r="K72" s="158">
        <v>16458960</v>
      </c>
    </row>
    <row r="73" spans="1:12" x14ac:dyDescent="0.2">
      <c r="A73" s="159"/>
      <c r="B73" s="154" t="s">
        <v>143</v>
      </c>
      <c r="C73" s="155"/>
      <c r="D73" s="155"/>
      <c r="H73" s="161"/>
      <c r="I73" s="157">
        <v>1230</v>
      </c>
      <c r="J73" s="155"/>
      <c r="K73" s="158">
        <v>16458960</v>
      </c>
      <c r="L73" s="31">
        <f>ROUND(K73/1000,0)</f>
        <v>16459</v>
      </c>
    </row>
    <row r="74" spans="1:12" ht="22.5" x14ac:dyDescent="0.2">
      <c r="A74" s="173" t="s">
        <v>397</v>
      </c>
      <c r="B74" s="173" t="s">
        <v>141</v>
      </c>
      <c r="C74" s="174"/>
      <c r="D74" s="174"/>
      <c r="E74" s="175"/>
      <c r="H74" s="156"/>
      <c r="I74" s="157">
        <v>1600</v>
      </c>
      <c r="J74" s="155"/>
      <c r="K74" s="158">
        <v>115691.7</v>
      </c>
    </row>
    <row r="75" spans="1:12" x14ac:dyDescent="0.2">
      <c r="A75" s="156"/>
      <c r="B75" s="157">
        <v>1600</v>
      </c>
      <c r="C75" s="155"/>
      <c r="D75" s="158">
        <v>395598</v>
      </c>
      <c r="E75" s="31">
        <f>ROUND(D75/1000,0)</f>
        <v>396</v>
      </c>
      <c r="H75" s="161"/>
      <c r="I75" s="157">
        <v>1610</v>
      </c>
      <c r="J75" s="155"/>
      <c r="K75" s="158">
        <v>115691.7</v>
      </c>
      <c r="L75" s="31">
        <f>ROUND(K75/1000,0)</f>
        <v>116</v>
      </c>
    </row>
    <row r="76" spans="1:12" x14ac:dyDescent="0.2">
      <c r="A76" s="161"/>
      <c r="B76" s="157">
        <v>1610</v>
      </c>
      <c r="C76" s="155"/>
      <c r="D76" s="158">
        <v>395598</v>
      </c>
      <c r="H76" s="166"/>
      <c r="I76" s="157">
        <v>161001</v>
      </c>
      <c r="J76" s="155"/>
      <c r="K76" s="158">
        <v>115691.7</v>
      </c>
    </row>
    <row r="77" spans="1:12" x14ac:dyDescent="0.2">
      <c r="A77" s="166"/>
      <c r="B77" s="157">
        <v>161001</v>
      </c>
      <c r="C77" s="155"/>
      <c r="D77" s="158">
        <v>395598</v>
      </c>
      <c r="H77" s="156"/>
      <c r="I77" s="157">
        <v>3300</v>
      </c>
      <c r="J77" s="155"/>
      <c r="K77" s="158">
        <v>7730.04</v>
      </c>
    </row>
    <row r="78" spans="1:12" x14ac:dyDescent="0.2">
      <c r="A78" s="156"/>
      <c r="B78" s="157">
        <v>3300</v>
      </c>
      <c r="C78" s="155"/>
      <c r="D78" s="158">
        <v>181166</v>
      </c>
      <c r="E78" s="31">
        <f>ROUND(D78/1000,0)</f>
        <v>181</v>
      </c>
      <c r="H78" s="161"/>
      <c r="I78" s="157">
        <v>3310</v>
      </c>
      <c r="J78" s="155"/>
      <c r="K78" s="158">
        <v>7730.04</v>
      </c>
    </row>
    <row r="79" spans="1:12" x14ac:dyDescent="0.2">
      <c r="A79" s="161"/>
      <c r="B79" s="157">
        <v>3310</v>
      </c>
      <c r="C79" s="155"/>
      <c r="D79" s="158">
        <v>181166</v>
      </c>
      <c r="H79" s="159"/>
      <c r="I79" s="154" t="s">
        <v>142</v>
      </c>
      <c r="J79" s="155"/>
      <c r="K79" s="158">
        <v>16582381.74</v>
      </c>
      <c r="L79" s="31">
        <f>ROUND(K77/1000,0)</f>
        <v>8</v>
      </c>
    </row>
    <row r="80" spans="1:12" x14ac:dyDescent="0.2">
      <c r="A80" s="159"/>
      <c r="B80" s="154" t="s">
        <v>142</v>
      </c>
      <c r="C80" s="155"/>
      <c r="D80" s="158">
        <v>576764</v>
      </c>
      <c r="E80" s="31">
        <f>ROUND(D80/1000,0)</f>
        <v>577</v>
      </c>
      <c r="H80" s="159"/>
      <c r="I80" s="154" t="s">
        <v>143</v>
      </c>
      <c r="J80" s="155"/>
      <c r="K80" s="155"/>
    </row>
    <row r="81" spans="1:12" ht="45" x14ac:dyDescent="0.2">
      <c r="A81" s="159"/>
      <c r="B81" s="154" t="s">
        <v>143</v>
      </c>
      <c r="C81" s="155"/>
      <c r="D81" s="155"/>
      <c r="E81" s="31"/>
      <c r="H81" s="173" t="s">
        <v>394</v>
      </c>
      <c r="I81" s="173" t="s">
        <v>141</v>
      </c>
      <c r="J81" s="174"/>
      <c r="K81" s="174"/>
      <c r="L81" s="175"/>
    </row>
    <row r="82" spans="1:12" ht="22.5" x14ac:dyDescent="0.2">
      <c r="A82" s="173" t="s">
        <v>398</v>
      </c>
      <c r="B82" s="173" t="s">
        <v>141</v>
      </c>
      <c r="C82" s="174"/>
      <c r="D82" s="174"/>
      <c r="E82" s="175"/>
      <c r="H82" s="156"/>
      <c r="I82" s="157">
        <v>3300</v>
      </c>
      <c r="J82" s="155"/>
      <c r="K82" s="158">
        <v>1622919.81</v>
      </c>
    </row>
    <row r="83" spans="1:12" x14ac:dyDescent="0.2">
      <c r="A83" s="156"/>
      <c r="B83" s="157">
        <v>3300</v>
      </c>
      <c r="C83" s="155"/>
      <c r="D83" s="158">
        <v>254089</v>
      </c>
      <c r="H83" s="161"/>
      <c r="I83" s="157">
        <v>3310</v>
      </c>
      <c r="J83" s="155"/>
      <c r="K83" s="158">
        <v>1622919.81</v>
      </c>
      <c r="L83" s="31">
        <f>ROUND(K83/1000,0)</f>
        <v>1623</v>
      </c>
    </row>
    <row r="84" spans="1:12" x14ac:dyDescent="0.2">
      <c r="A84" s="161"/>
      <c r="B84" s="157">
        <v>3310</v>
      </c>
      <c r="C84" s="155"/>
      <c r="D84" s="158">
        <v>254089</v>
      </c>
      <c r="E84" s="31">
        <f>ROUND(D84/1000,0)</f>
        <v>254</v>
      </c>
      <c r="H84" s="159"/>
      <c r="I84" s="154" t="s">
        <v>142</v>
      </c>
      <c r="J84" s="155"/>
      <c r="K84" s="158">
        <v>1622919.81</v>
      </c>
    </row>
    <row r="85" spans="1:12" x14ac:dyDescent="0.2">
      <c r="A85" s="159"/>
      <c r="B85" s="154" t="s">
        <v>142</v>
      </c>
      <c r="C85" s="155"/>
      <c r="D85" s="158">
        <v>254089</v>
      </c>
      <c r="H85" s="159"/>
      <c r="I85" s="154" t="s">
        <v>143</v>
      </c>
      <c r="J85" s="155"/>
      <c r="K85" s="155"/>
    </row>
    <row r="86" spans="1:12" ht="33.75" x14ac:dyDescent="0.2">
      <c r="A86" s="159"/>
      <c r="B86" s="154" t="s">
        <v>143</v>
      </c>
      <c r="C86" s="155"/>
      <c r="D86" s="155"/>
      <c r="H86" s="173" t="s">
        <v>395</v>
      </c>
      <c r="I86" s="173" t="s">
        <v>141</v>
      </c>
      <c r="J86" s="174"/>
      <c r="K86" s="174"/>
    </row>
    <row r="87" spans="1:12" x14ac:dyDescent="0.2">
      <c r="A87" s="173" t="s">
        <v>399</v>
      </c>
      <c r="B87" s="173" t="s">
        <v>141</v>
      </c>
      <c r="C87" s="174"/>
      <c r="D87" s="174"/>
      <c r="E87" s="175"/>
      <c r="H87" s="156"/>
      <c r="I87" s="157">
        <v>1600</v>
      </c>
      <c r="J87" s="155"/>
      <c r="K87" s="158">
        <v>123000</v>
      </c>
    </row>
    <row r="88" spans="1:12" x14ac:dyDescent="0.2">
      <c r="A88" s="156"/>
      <c r="B88" s="157">
        <v>1600</v>
      </c>
      <c r="C88" s="155"/>
      <c r="D88" s="158">
        <v>150000</v>
      </c>
      <c r="H88" s="161"/>
      <c r="I88" s="157">
        <v>1610</v>
      </c>
      <c r="J88" s="155"/>
      <c r="K88" s="158">
        <v>123000</v>
      </c>
      <c r="L88" s="31">
        <f>ROUND(K88/1000,0)</f>
        <v>123</v>
      </c>
    </row>
    <row r="89" spans="1:12" x14ac:dyDescent="0.2">
      <c r="A89" s="161"/>
      <c r="B89" s="157">
        <v>1610</v>
      </c>
      <c r="C89" s="155"/>
      <c r="D89" s="158">
        <v>150000</v>
      </c>
      <c r="E89" s="31">
        <f>ROUND(D89/1000,0)</f>
        <v>150</v>
      </c>
      <c r="H89" s="166"/>
      <c r="I89" s="157">
        <v>161001</v>
      </c>
      <c r="J89" s="155"/>
      <c r="K89" s="158">
        <v>123000</v>
      </c>
    </row>
    <row r="90" spans="1:12" x14ac:dyDescent="0.2">
      <c r="A90" s="166"/>
      <c r="B90" s="157">
        <v>161001</v>
      </c>
      <c r="C90" s="155"/>
      <c r="D90" s="158">
        <v>150000</v>
      </c>
      <c r="H90" s="159"/>
      <c r="I90" s="154" t="s">
        <v>142</v>
      </c>
      <c r="J90" s="155"/>
      <c r="K90" s="158">
        <v>123000</v>
      </c>
    </row>
    <row r="91" spans="1:12" x14ac:dyDescent="0.2">
      <c r="A91" s="156"/>
      <c r="B91" s="157">
        <v>3300</v>
      </c>
      <c r="C91" s="155"/>
      <c r="D91" s="158">
        <v>951659</v>
      </c>
      <c r="E91" s="31">
        <f>ROUND(D91/1000,0)</f>
        <v>952</v>
      </c>
      <c r="H91" s="159"/>
      <c r="I91" s="154" t="s">
        <v>143</v>
      </c>
      <c r="J91" s="155"/>
      <c r="K91" s="155"/>
    </row>
    <row r="92" spans="1:12" ht="33.75" x14ac:dyDescent="0.2">
      <c r="A92" s="161"/>
      <c r="B92" s="157">
        <v>3310</v>
      </c>
      <c r="C92" s="155"/>
      <c r="D92" s="158">
        <v>951659</v>
      </c>
      <c r="H92" s="173" t="s">
        <v>396</v>
      </c>
      <c r="I92" s="173" t="s">
        <v>141</v>
      </c>
      <c r="J92" s="174"/>
      <c r="K92" s="174"/>
    </row>
    <row r="93" spans="1:12" x14ac:dyDescent="0.2">
      <c r="A93" s="159"/>
      <c r="B93" s="154" t="s">
        <v>142</v>
      </c>
      <c r="C93" s="155"/>
      <c r="D93" s="158">
        <v>1101659</v>
      </c>
      <c r="E93" s="31">
        <f>ROUND(D93/1000,0)</f>
        <v>1102</v>
      </c>
      <c r="H93" s="156"/>
      <c r="I93" s="157">
        <v>1600</v>
      </c>
      <c r="J93" s="155"/>
      <c r="K93" s="158">
        <v>146134</v>
      </c>
    </row>
    <row r="94" spans="1:12" x14ac:dyDescent="0.2">
      <c r="A94" s="159"/>
      <c r="B94" s="154" t="s">
        <v>143</v>
      </c>
      <c r="C94" s="155"/>
      <c r="D94" s="155"/>
      <c r="H94" s="161"/>
      <c r="I94" s="157">
        <v>1610</v>
      </c>
      <c r="J94" s="155"/>
      <c r="K94" s="158">
        <v>146134</v>
      </c>
    </row>
    <row r="95" spans="1:12" ht="22.5" x14ac:dyDescent="0.2">
      <c r="A95" s="173" t="s">
        <v>400</v>
      </c>
      <c r="B95" s="173" t="s">
        <v>141</v>
      </c>
      <c r="C95" s="174"/>
      <c r="D95" s="174"/>
      <c r="H95" s="166"/>
      <c r="I95" s="157">
        <v>161001</v>
      </c>
      <c r="J95" s="155"/>
      <c r="K95" s="158">
        <v>146134</v>
      </c>
      <c r="L95" s="31">
        <f>ROUND(K95/1000,0)</f>
        <v>146</v>
      </c>
    </row>
    <row r="96" spans="1:12" x14ac:dyDescent="0.2">
      <c r="A96" s="156"/>
      <c r="B96" s="157">
        <v>3300</v>
      </c>
      <c r="C96" s="155"/>
      <c r="D96" s="158">
        <v>279294.31</v>
      </c>
      <c r="E96" s="31">
        <f>ROUND(D96/1000,0)</f>
        <v>279</v>
      </c>
      <c r="H96" s="156"/>
      <c r="I96" s="157">
        <v>3300</v>
      </c>
      <c r="J96" s="155"/>
      <c r="K96" s="158">
        <v>111796</v>
      </c>
    </row>
    <row r="97" spans="1:12" x14ac:dyDescent="0.2">
      <c r="A97" s="161"/>
      <c r="B97" s="157">
        <v>3310</v>
      </c>
      <c r="C97" s="155"/>
      <c r="D97" s="158">
        <v>279294.31</v>
      </c>
      <c r="H97" s="161"/>
      <c r="I97" s="157">
        <v>3310</v>
      </c>
      <c r="J97" s="155"/>
      <c r="K97" s="158">
        <v>111796</v>
      </c>
      <c r="L97" s="31">
        <f>ROUND(K97/1000,0)</f>
        <v>112</v>
      </c>
    </row>
    <row r="98" spans="1:12" x14ac:dyDescent="0.2">
      <c r="A98" s="159"/>
      <c r="B98" s="154" t="s">
        <v>142</v>
      </c>
      <c r="C98" s="155"/>
      <c r="D98" s="158">
        <v>279294.31</v>
      </c>
      <c r="H98" s="159"/>
      <c r="I98" s="154" t="s">
        <v>142</v>
      </c>
      <c r="J98" s="155"/>
      <c r="K98" s="158">
        <v>257930</v>
      </c>
    </row>
    <row r="99" spans="1:12" x14ac:dyDescent="0.2">
      <c r="A99" s="159"/>
      <c r="B99" s="154" t="s">
        <v>143</v>
      </c>
      <c r="C99" s="155"/>
      <c r="D99" s="155"/>
      <c r="E99" s="31"/>
      <c r="H99" s="159"/>
      <c r="I99" s="154" t="s">
        <v>143</v>
      </c>
      <c r="J99" s="155"/>
      <c r="K99" s="155"/>
    </row>
    <row r="100" spans="1:12" ht="33.75" x14ac:dyDescent="0.2">
      <c r="A100" s="173" t="s">
        <v>401</v>
      </c>
      <c r="B100" s="173" t="s">
        <v>141</v>
      </c>
      <c r="C100" s="174"/>
      <c r="D100" s="174"/>
      <c r="H100" s="173" t="s">
        <v>397</v>
      </c>
      <c r="I100" s="173" t="s">
        <v>141</v>
      </c>
      <c r="J100" s="174"/>
      <c r="K100" s="174"/>
    </row>
    <row r="101" spans="1:12" x14ac:dyDescent="0.2">
      <c r="A101" s="156"/>
      <c r="B101" s="157">
        <v>1600</v>
      </c>
      <c r="C101" s="155"/>
      <c r="D101" s="197">
        <v>14600</v>
      </c>
      <c r="E101" s="83">
        <f>ROUND(D101/1000,0)</f>
        <v>15</v>
      </c>
      <c r="F101" s="175" t="s">
        <v>364</v>
      </c>
      <c r="H101" s="156"/>
      <c r="I101" s="157">
        <v>1600</v>
      </c>
      <c r="J101" s="155"/>
      <c r="K101" s="158">
        <v>1486736</v>
      </c>
    </row>
    <row r="102" spans="1:12" x14ac:dyDescent="0.2">
      <c r="A102" s="161"/>
      <c r="B102" s="157">
        <v>1610</v>
      </c>
      <c r="C102" s="155"/>
      <c r="D102" s="158">
        <v>14600</v>
      </c>
      <c r="H102" s="161"/>
      <c r="I102" s="157">
        <v>1610</v>
      </c>
      <c r="J102" s="155"/>
      <c r="K102" s="158">
        <v>1486736</v>
      </c>
      <c r="L102" s="31">
        <f>ROUND(K102/1000,0)</f>
        <v>1487</v>
      </c>
    </row>
    <row r="103" spans="1:12" x14ac:dyDescent="0.2">
      <c r="A103" s="166"/>
      <c r="B103" s="157">
        <v>161001</v>
      </c>
      <c r="C103" s="155"/>
      <c r="D103" s="158">
        <v>14600</v>
      </c>
      <c r="H103" s="166"/>
      <c r="I103" s="157">
        <v>161001</v>
      </c>
      <c r="J103" s="155"/>
      <c r="K103" s="158">
        <v>1486736</v>
      </c>
    </row>
    <row r="104" spans="1:12" x14ac:dyDescent="0.2">
      <c r="A104" s="156"/>
      <c r="B104" s="196">
        <v>3300</v>
      </c>
      <c r="C104" s="155"/>
      <c r="D104" s="197">
        <v>13705000</v>
      </c>
      <c r="E104" s="31"/>
      <c r="H104" s="156"/>
      <c r="I104" s="157">
        <v>3300</v>
      </c>
      <c r="J104" s="155"/>
      <c r="K104" s="158">
        <v>1774615</v>
      </c>
    </row>
    <row r="105" spans="1:12" x14ac:dyDescent="0.2">
      <c r="A105" s="161"/>
      <c r="B105" s="157">
        <v>3310</v>
      </c>
      <c r="C105" s="155"/>
      <c r="D105" s="158">
        <v>13705000</v>
      </c>
      <c r="E105" s="83">
        <f>ROUND(D105/1000,0)</f>
        <v>13705</v>
      </c>
      <c r="F105" s="61" t="s">
        <v>445</v>
      </c>
      <c r="H105" s="161"/>
      <c r="I105" s="157">
        <v>3310</v>
      </c>
      <c r="J105" s="155"/>
      <c r="K105" s="158">
        <v>1774615</v>
      </c>
      <c r="L105" s="31">
        <f>ROUND(K105/1000,0)</f>
        <v>1775</v>
      </c>
    </row>
    <row r="106" spans="1:12" x14ac:dyDescent="0.2">
      <c r="A106" s="159"/>
      <c r="B106" s="154" t="s">
        <v>142</v>
      </c>
      <c r="C106" s="155"/>
      <c r="D106" s="158">
        <v>13719600</v>
      </c>
      <c r="H106" s="159"/>
      <c r="I106" s="154" t="s">
        <v>142</v>
      </c>
      <c r="J106" s="155"/>
      <c r="K106" s="158">
        <v>3261351</v>
      </c>
    </row>
    <row r="107" spans="1:12" x14ac:dyDescent="0.2">
      <c r="A107" s="159"/>
      <c r="B107" s="154" t="s">
        <v>143</v>
      </c>
      <c r="C107" s="155"/>
      <c r="D107" s="155"/>
      <c r="H107" s="159"/>
      <c r="I107" s="154" t="s">
        <v>143</v>
      </c>
      <c r="J107" s="155"/>
      <c r="K107" s="155"/>
    </row>
    <row r="108" spans="1:12" ht="33.75" x14ac:dyDescent="0.2">
      <c r="A108" s="173" t="s">
        <v>402</v>
      </c>
      <c r="B108" s="173" t="s">
        <v>141</v>
      </c>
      <c r="C108" s="174"/>
      <c r="D108" s="174"/>
      <c r="H108" s="173" t="s">
        <v>398</v>
      </c>
      <c r="I108" s="173" t="s">
        <v>141</v>
      </c>
      <c r="J108" s="174"/>
      <c r="K108" s="174"/>
    </row>
    <row r="109" spans="1:12" x14ac:dyDescent="0.2">
      <c r="A109" s="156"/>
      <c r="B109" s="157">
        <v>3300</v>
      </c>
      <c r="C109" s="155"/>
      <c r="D109" s="158">
        <v>48200</v>
      </c>
      <c r="E109" s="31">
        <f>ROUND(D110/1000,0)</f>
        <v>48</v>
      </c>
      <c r="H109" s="156"/>
      <c r="I109" s="157">
        <v>3300</v>
      </c>
      <c r="J109" s="155"/>
      <c r="K109" s="158">
        <v>72221</v>
      </c>
    </row>
    <row r="110" spans="1:12" x14ac:dyDescent="0.2">
      <c r="A110" s="161"/>
      <c r="B110" s="157">
        <v>3310</v>
      </c>
      <c r="C110" s="155"/>
      <c r="D110" s="158">
        <v>48200</v>
      </c>
      <c r="H110" s="161"/>
      <c r="I110" s="157">
        <v>3310</v>
      </c>
      <c r="J110" s="155"/>
      <c r="K110" s="158">
        <v>72221</v>
      </c>
      <c r="L110" s="31">
        <f>ROUND(K110/1000,0)</f>
        <v>72</v>
      </c>
    </row>
    <row r="111" spans="1:12" x14ac:dyDescent="0.2">
      <c r="A111" s="159"/>
      <c r="B111" s="154" t="s">
        <v>142</v>
      </c>
      <c r="C111" s="155"/>
      <c r="D111" s="158">
        <v>48200</v>
      </c>
      <c r="H111" s="159"/>
      <c r="I111" s="154" t="s">
        <v>142</v>
      </c>
      <c r="J111" s="155"/>
      <c r="K111" s="158">
        <v>72221</v>
      </c>
    </row>
    <row r="112" spans="1:12" x14ac:dyDescent="0.2">
      <c r="A112" s="159"/>
      <c r="B112" s="154" t="s">
        <v>143</v>
      </c>
      <c r="C112" s="155"/>
      <c r="D112" s="155"/>
      <c r="H112" s="159"/>
      <c r="I112" s="154" t="s">
        <v>143</v>
      </c>
      <c r="J112" s="155"/>
      <c r="K112" s="155"/>
    </row>
    <row r="113" spans="1:12" ht="22.5" x14ac:dyDescent="0.2">
      <c r="A113" s="173" t="s">
        <v>403</v>
      </c>
      <c r="B113" s="173" t="s">
        <v>141</v>
      </c>
      <c r="C113" s="174"/>
      <c r="D113" s="174"/>
      <c r="E113" s="175"/>
      <c r="H113" s="173" t="s">
        <v>399</v>
      </c>
      <c r="I113" s="173" t="s">
        <v>141</v>
      </c>
      <c r="J113" s="174"/>
      <c r="K113" s="174"/>
    </row>
    <row r="114" spans="1:12" x14ac:dyDescent="0.2">
      <c r="A114" s="156"/>
      <c r="B114" s="157">
        <v>3300</v>
      </c>
      <c r="C114" s="155"/>
      <c r="D114" s="158">
        <v>21960</v>
      </c>
      <c r="E114" s="31">
        <f>ROUND(D114/1000,0)</f>
        <v>22</v>
      </c>
      <c r="H114" s="156"/>
      <c r="I114" s="157">
        <v>1600</v>
      </c>
      <c r="J114" s="155"/>
      <c r="K114" s="158">
        <v>1041981.4</v>
      </c>
    </row>
    <row r="115" spans="1:12" x14ac:dyDescent="0.2">
      <c r="A115" s="161"/>
      <c r="B115" s="157">
        <v>3310</v>
      </c>
      <c r="C115" s="155"/>
      <c r="D115" s="158">
        <v>21960</v>
      </c>
      <c r="E115" s="31"/>
      <c r="H115" s="161"/>
      <c r="I115" s="157">
        <v>1610</v>
      </c>
      <c r="J115" s="155"/>
      <c r="K115" s="158">
        <v>1041981.4</v>
      </c>
      <c r="L115" s="31">
        <f>ROUND(K115/1000,0)</f>
        <v>1042</v>
      </c>
    </row>
    <row r="116" spans="1:12" x14ac:dyDescent="0.2">
      <c r="A116" s="159"/>
      <c r="B116" s="154" t="s">
        <v>142</v>
      </c>
      <c r="C116" s="155"/>
      <c r="D116" s="158">
        <v>21960</v>
      </c>
      <c r="H116" s="166"/>
      <c r="I116" s="157">
        <v>161001</v>
      </c>
      <c r="J116" s="155"/>
      <c r="K116" s="158">
        <v>1041981.4</v>
      </c>
    </row>
    <row r="117" spans="1:12" x14ac:dyDescent="0.2">
      <c r="A117" s="159"/>
      <c r="B117" s="154" t="s">
        <v>143</v>
      </c>
      <c r="C117" s="155"/>
      <c r="D117" s="155"/>
      <c r="H117" s="156"/>
      <c r="I117" s="157">
        <v>3300</v>
      </c>
      <c r="J117" s="155"/>
      <c r="K117" s="158">
        <v>225212</v>
      </c>
    </row>
    <row r="118" spans="1:12" x14ac:dyDescent="0.2">
      <c r="A118" s="173" t="s">
        <v>404</v>
      </c>
      <c r="B118" s="173" t="s">
        <v>141</v>
      </c>
      <c r="C118" s="174"/>
      <c r="D118" s="174"/>
      <c r="H118" s="161"/>
      <c r="I118" s="157">
        <v>3310</v>
      </c>
      <c r="J118" s="155"/>
      <c r="K118" s="158">
        <v>225212</v>
      </c>
      <c r="L118" s="31">
        <f>ROUND(K118/1000,0)</f>
        <v>225</v>
      </c>
    </row>
    <row r="119" spans="1:12" x14ac:dyDescent="0.2">
      <c r="A119" s="156"/>
      <c r="B119" s="157">
        <v>1600</v>
      </c>
      <c r="C119" s="155"/>
      <c r="D119" s="158">
        <v>4500</v>
      </c>
      <c r="H119" s="159"/>
      <c r="I119" s="154" t="s">
        <v>142</v>
      </c>
      <c r="J119" s="155"/>
      <c r="K119" s="158">
        <v>1267193.3999999999</v>
      </c>
    </row>
    <row r="120" spans="1:12" x14ac:dyDescent="0.2">
      <c r="A120" s="161"/>
      <c r="B120" s="157">
        <v>1610</v>
      </c>
      <c r="C120" s="155"/>
      <c r="D120" s="158">
        <v>4500</v>
      </c>
      <c r="H120" s="159"/>
      <c r="I120" s="154" t="s">
        <v>143</v>
      </c>
      <c r="J120" s="155"/>
      <c r="K120" s="155"/>
    </row>
    <row r="121" spans="1:12" ht="22.5" x14ac:dyDescent="0.2">
      <c r="A121" s="166"/>
      <c r="B121" s="157">
        <v>161001</v>
      </c>
      <c r="C121" s="155"/>
      <c r="D121" s="158">
        <v>4500</v>
      </c>
      <c r="E121" s="31">
        <f>ROUND(D121/1000,0)</f>
        <v>5</v>
      </c>
      <c r="H121" s="176" t="s">
        <v>400</v>
      </c>
      <c r="I121" s="176" t="s">
        <v>141</v>
      </c>
      <c r="J121" s="177"/>
      <c r="K121" s="177"/>
    </row>
    <row r="122" spans="1:12" x14ac:dyDescent="0.2">
      <c r="A122" s="159"/>
      <c r="B122" s="154" t="s">
        <v>142</v>
      </c>
      <c r="C122" s="155"/>
      <c r="D122" s="158">
        <v>4500</v>
      </c>
      <c r="H122" s="156"/>
      <c r="I122" s="157">
        <v>1600</v>
      </c>
      <c r="J122" s="155"/>
      <c r="K122" s="158">
        <v>23000</v>
      </c>
    </row>
    <row r="123" spans="1:12" x14ac:dyDescent="0.2">
      <c r="A123" s="159"/>
      <c r="B123" s="154" t="s">
        <v>143</v>
      </c>
      <c r="C123" s="155"/>
      <c r="D123" s="155"/>
      <c r="H123" s="161"/>
      <c r="I123" s="157">
        <v>1610</v>
      </c>
      <c r="J123" s="155"/>
      <c r="K123" s="158">
        <v>23000</v>
      </c>
    </row>
    <row r="124" spans="1:12" ht="22.5" x14ac:dyDescent="0.2">
      <c r="A124" s="173" t="s">
        <v>405</v>
      </c>
      <c r="B124" s="173" t="s">
        <v>141</v>
      </c>
      <c r="C124" s="174"/>
      <c r="D124" s="174"/>
      <c r="H124" s="166"/>
      <c r="I124" s="157">
        <v>161001</v>
      </c>
      <c r="J124" s="155"/>
      <c r="K124" s="158">
        <v>23000</v>
      </c>
      <c r="L124" s="31">
        <f>ROUND(K124/1000,0)</f>
        <v>23</v>
      </c>
    </row>
    <row r="125" spans="1:12" x14ac:dyDescent="0.2">
      <c r="A125" s="156"/>
      <c r="B125" s="157">
        <v>1600</v>
      </c>
      <c r="C125" s="155"/>
      <c r="D125" s="158">
        <v>330685.21999999997</v>
      </c>
      <c r="H125" s="156"/>
      <c r="I125" s="157">
        <v>3300</v>
      </c>
      <c r="J125" s="155"/>
      <c r="K125" s="158">
        <v>361562.77</v>
      </c>
    </row>
    <row r="126" spans="1:12" x14ac:dyDescent="0.2">
      <c r="A126" s="161"/>
      <c r="B126" s="157">
        <v>1610</v>
      </c>
      <c r="C126" s="155"/>
      <c r="D126" s="158">
        <v>330685.21999999997</v>
      </c>
      <c r="E126" s="31">
        <f>ROUND(D126/1000,0)</f>
        <v>331</v>
      </c>
      <c r="H126" s="161"/>
      <c r="I126" s="157">
        <v>3310</v>
      </c>
      <c r="J126" s="155"/>
      <c r="K126" s="158">
        <v>361562.77</v>
      </c>
      <c r="L126" s="31">
        <f>ROUND(K126/1000,0)</f>
        <v>362</v>
      </c>
    </row>
    <row r="127" spans="1:12" x14ac:dyDescent="0.2">
      <c r="A127" s="166"/>
      <c r="B127" s="157">
        <v>161001</v>
      </c>
      <c r="C127" s="155"/>
      <c r="D127" s="158">
        <v>330685.21999999997</v>
      </c>
      <c r="H127" s="159"/>
      <c r="I127" s="154" t="s">
        <v>142</v>
      </c>
      <c r="J127" s="155"/>
      <c r="K127" s="158">
        <v>384562.77</v>
      </c>
    </row>
    <row r="128" spans="1:12" x14ac:dyDescent="0.2">
      <c r="A128" s="159"/>
      <c r="B128" s="154" t="s">
        <v>142</v>
      </c>
      <c r="C128" s="155"/>
      <c r="D128" s="158">
        <v>330685.21999999997</v>
      </c>
      <c r="H128" s="159"/>
      <c r="I128" s="154" t="s">
        <v>143</v>
      </c>
      <c r="J128" s="155"/>
      <c r="K128" s="155"/>
    </row>
    <row r="129" spans="1:13" ht="22.5" x14ac:dyDescent="0.2">
      <c r="A129" s="159"/>
      <c r="B129" s="154" t="s">
        <v>143</v>
      </c>
      <c r="C129" s="155"/>
      <c r="D129" s="155"/>
      <c r="H129" s="173" t="s">
        <v>401</v>
      </c>
      <c r="I129" s="173" t="s">
        <v>141</v>
      </c>
      <c r="J129" s="174"/>
      <c r="K129" s="174"/>
    </row>
    <row r="130" spans="1:13" ht="22.5" x14ac:dyDescent="0.2">
      <c r="A130" s="173" t="s">
        <v>406</v>
      </c>
      <c r="B130" s="173" t="s">
        <v>141</v>
      </c>
      <c r="C130" s="174"/>
      <c r="D130" s="174"/>
      <c r="E130" s="83"/>
      <c r="H130" s="156"/>
      <c r="I130" s="157">
        <v>1600</v>
      </c>
      <c r="J130" s="155"/>
      <c r="K130" s="158">
        <v>128100</v>
      </c>
    </row>
    <row r="131" spans="1:13" x14ac:dyDescent="0.2">
      <c r="A131" s="156"/>
      <c r="B131" s="157">
        <v>1600</v>
      </c>
      <c r="C131" s="155"/>
      <c r="D131" s="158">
        <v>992592</v>
      </c>
      <c r="E131" s="31">
        <f>ROUND(D131/1000,0)</f>
        <v>993</v>
      </c>
      <c r="H131" s="161"/>
      <c r="I131" s="157">
        <v>1610</v>
      </c>
      <c r="J131" s="155"/>
      <c r="K131" s="158">
        <v>128100</v>
      </c>
      <c r="L131" s="31">
        <f>ROUND(K131/1000,0)</f>
        <v>128</v>
      </c>
    </row>
    <row r="132" spans="1:13" x14ac:dyDescent="0.2">
      <c r="A132" s="161"/>
      <c r="B132" s="157">
        <v>1610</v>
      </c>
      <c r="C132" s="155"/>
      <c r="D132" s="158">
        <v>992592</v>
      </c>
      <c r="H132" s="166"/>
      <c r="I132" s="157">
        <v>161001</v>
      </c>
      <c r="J132" s="155"/>
      <c r="K132" s="158">
        <v>128100</v>
      </c>
    </row>
    <row r="133" spans="1:13" x14ac:dyDescent="0.2">
      <c r="A133" s="166"/>
      <c r="B133" s="157">
        <v>161001</v>
      </c>
      <c r="C133" s="155"/>
      <c r="D133" s="158">
        <v>992592</v>
      </c>
      <c r="H133" s="156"/>
      <c r="I133" s="157">
        <v>3300</v>
      </c>
      <c r="J133" s="155"/>
      <c r="K133" s="158">
        <v>2000</v>
      </c>
      <c r="L133" s="31">
        <f>ROUND(K133/1000,0)</f>
        <v>2</v>
      </c>
    </row>
    <row r="134" spans="1:13" x14ac:dyDescent="0.2">
      <c r="A134" s="156"/>
      <c r="B134" s="157">
        <v>3300</v>
      </c>
      <c r="C134" s="155"/>
      <c r="D134" s="158">
        <v>22692740.120000001</v>
      </c>
      <c r="E134" s="31"/>
      <c r="H134" s="161"/>
      <c r="I134" s="157">
        <v>3310</v>
      </c>
      <c r="J134" s="155"/>
      <c r="K134" s="158">
        <v>2000</v>
      </c>
    </row>
    <row r="135" spans="1:13" x14ac:dyDescent="0.2">
      <c r="A135" s="161"/>
      <c r="B135" s="157">
        <v>3310</v>
      </c>
      <c r="C135" s="155"/>
      <c r="D135" s="158">
        <v>931197.43999999994</v>
      </c>
      <c r="E135" s="31">
        <f>ROUND(D135/1000,0)</f>
        <v>931</v>
      </c>
      <c r="H135" s="159"/>
      <c r="I135" s="154" t="s">
        <v>142</v>
      </c>
      <c r="J135" s="155"/>
      <c r="K135" s="158">
        <v>130100</v>
      </c>
    </row>
    <row r="136" spans="1:13" x14ac:dyDescent="0.2">
      <c r="A136" s="161"/>
      <c r="B136" s="157">
        <v>3380</v>
      </c>
      <c r="C136" s="155"/>
      <c r="D136" s="158">
        <v>21761542.68</v>
      </c>
      <c r="E136" s="31"/>
      <c r="H136" s="159"/>
      <c r="I136" s="154" t="s">
        <v>143</v>
      </c>
      <c r="J136" s="155"/>
      <c r="K136" s="155"/>
    </row>
    <row r="137" spans="1:13" ht="33.75" x14ac:dyDescent="0.2">
      <c r="A137" s="166"/>
      <c r="B137" s="157">
        <v>338081</v>
      </c>
      <c r="C137" s="155"/>
      <c r="D137" s="158">
        <v>19894137.43</v>
      </c>
      <c r="E137" s="31">
        <f>ROUND(D137/1000,0)</f>
        <v>19894</v>
      </c>
      <c r="H137" s="173" t="s">
        <v>402</v>
      </c>
      <c r="I137" s="173" t="s">
        <v>141</v>
      </c>
      <c r="J137" s="174"/>
      <c r="K137" s="174"/>
    </row>
    <row r="138" spans="1:13" x14ac:dyDescent="0.2">
      <c r="A138" s="166"/>
      <c r="B138" s="157">
        <v>338083</v>
      </c>
      <c r="C138" s="155"/>
      <c r="D138" s="158">
        <v>305214.09999999998</v>
      </c>
      <c r="E138" s="31">
        <f>ROUND(D138/1000,0)</f>
        <v>305</v>
      </c>
      <c r="H138" s="156"/>
      <c r="I138" s="157">
        <v>1600</v>
      </c>
      <c r="J138" s="155"/>
      <c r="K138" s="158">
        <v>308340</v>
      </c>
    </row>
    <row r="139" spans="1:13" x14ac:dyDescent="0.2">
      <c r="A139" s="166"/>
      <c r="B139" s="157">
        <v>338084</v>
      </c>
      <c r="C139" s="155"/>
      <c r="D139" s="158">
        <v>1562191.15</v>
      </c>
      <c r="E139" s="31">
        <f>ROUND(D139/1000,0)</f>
        <v>1562</v>
      </c>
      <c r="H139" s="161"/>
      <c r="I139" s="157">
        <v>1610</v>
      </c>
      <c r="J139" s="155"/>
      <c r="K139" s="158">
        <v>308340</v>
      </c>
    </row>
    <row r="140" spans="1:13" x14ac:dyDescent="0.2">
      <c r="A140" s="159"/>
      <c r="B140" s="154" t="s">
        <v>142</v>
      </c>
      <c r="C140" s="155"/>
      <c r="D140" s="158">
        <v>23685332.120000001</v>
      </c>
      <c r="E140" s="31">
        <f>ROUND(D140/1000,0)</f>
        <v>23685</v>
      </c>
      <c r="H140" s="166"/>
      <c r="I140" s="157">
        <v>161001</v>
      </c>
      <c r="J140" s="155"/>
      <c r="K140" s="158">
        <v>308340</v>
      </c>
      <c r="L140" s="31">
        <f>ROUND(K140/1000,0)</f>
        <v>308</v>
      </c>
      <c r="M140" s="61" t="s">
        <v>434</v>
      </c>
    </row>
    <row r="141" spans="1:13" x14ac:dyDescent="0.2">
      <c r="A141" s="159"/>
      <c r="B141" s="154" t="s">
        <v>143</v>
      </c>
      <c r="C141" s="155"/>
      <c r="D141" s="155"/>
      <c r="H141" s="156"/>
      <c r="I141" s="157">
        <v>3300</v>
      </c>
      <c r="J141" s="155"/>
      <c r="K141" s="158">
        <v>20200</v>
      </c>
    </row>
    <row r="142" spans="1:13" ht="22.5" x14ac:dyDescent="0.2">
      <c r="A142" s="173" t="s">
        <v>407</v>
      </c>
      <c r="B142" s="173" t="s">
        <v>141</v>
      </c>
      <c r="C142" s="174"/>
      <c r="D142" s="174"/>
      <c r="E142" s="83"/>
      <c r="H142" s="161"/>
      <c r="I142" s="157">
        <v>3310</v>
      </c>
      <c r="J142" s="155"/>
      <c r="K142" s="158">
        <v>20200</v>
      </c>
      <c r="L142" s="31">
        <f>ROUND(K142/1000,0)</f>
        <v>20</v>
      </c>
    </row>
    <row r="143" spans="1:13" x14ac:dyDescent="0.2">
      <c r="A143" s="156"/>
      <c r="B143" s="157">
        <v>3300</v>
      </c>
      <c r="C143" s="155"/>
      <c r="D143" s="158">
        <v>4747985</v>
      </c>
      <c r="H143" s="159"/>
      <c r="I143" s="154" t="s">
        <v>142</v>
      </c>
      <c r="J143" s="155"/>
      <c r="K143" s="158">
        <v>328540</v>
      </c>
    </row>
    <row r="144" spans="1:13" x14ac:dyDescent="0.2">
      <c r="A144" s="161"/>
      <c r="B144" s="157">
        <v>3310</v>
      </c>
      <c r="C144" s="155"/>
      <c r="D144" s="158">
        <v>4747985</v>
      </c>
      <c r="E144" s="31">
        <f>ROUND(D144/1000,0)</f>
        <v>4748</v>
      </c>
      <c r="H144" s="159"/>
      <c r="I144" s="154" t="s">
        <v>143</v>
      </c>
      <c r="J144" s="155"/>
      <c r="K144" s="155"/>
    </row>
    <row r="145" spans="1:12" ht="22.5" x14ac:dyDescent="0.2">
      <c r="A145" s="159"/>
      <c r="B145" s="154" t="s">
        <v>142</v>
      </c>
      <c r="C145" s="155"/>
      <c r="D145" s="158">
        <v>4747985</v>
      </c>
      <c r="H145" s="176" t="s">
        <v>404</v>
      </c>
      <c r="I145" s="176" t="s">
        <v>141</v>
      </c>
      <c r="J145" s="177"/>
      <c r="K145" s="177"/>
    </row>
    <row r="146" spans="1:12" x14ac:dyDescent="0.2">
      <c r="A146" s="159"/>
      <c r="B146" s="154" t="s">
        <v>143</v>
      </c>
      <c r="C146" s="155"/>
      <c r="D146" s="155"/>
      <c r="E146" s="31"/>
      <c r="H146" s="156"/>
      <c r="I146" s="157">
        <v>1600</v>
      </c>
      <c r="J146" s="155"/>
      <c r="K146" s="158">
        <v>10500</v>
      </c>
    </row>
    <row r="147" spans="1:12" ht="22.5" x14ac:dyDescent="0.2">
      <c r="A147" s="173" t="s">
        <v>408</v>
      </c>
      <c r="B147" s="173" t="s">
        <v>141</v>
      </c>
      <c r="C147" s="174"/>
      <c r="D147" s="174"/>
      <c r="E147" s="175"/>
      <c r="H147" s="161"/>
      <c r="I147" s="157">
        <v>1610</v>
      </c>
      <c r="J147" s="155"/>
      <c r="K147" s="158">
        <v>10500</v>
      </c>
    </row>
    <row r="148" spans="1:12" x14ac:dyDescent="0.2">
      <c r="A148" s="156"/>
      <c r="B148" s="157">
        <v>1200</v>
      </c>
      <c r="C148" s="158">
        <v>60568918.030000001</v>
      </c>
      <c r="D148" s="155"/>
      <c r="E148" s="31">
        <f>ROUND(C148/1000,0)</f>
        <v>60569</v>
      </c>
      <c r="H148" s="166"/>
      <c r="I148" s="157">
        <v>161001</v>
      </c>
      <c r="J148" s="155"/>
      <c r="K148" s="158">
        <v>10500</v>
      </c>
      <c r="L148" s="31">
        <f>ROUND(K148/1000,0)</f>
        <v>11</v>
      </c>
    </row>
    <row r="149" spans="1:12" x14ac:dyDescent="0.2">
      <c r="A149" s="161"/>
      <c r="B149" s="157">
        <v>1210</v>
      </c>
      <c r="C149" s="158">
        <v>23189935.140000001</v>
      </c>
      <c r="D149" s="155"/>
      <c r="E149" s="31">
        <f t="shared" ref="E149:E157" si="0">ROUND(C149/1000,0)</f>
        <v>23190</v>
      </c>
      <c r="H149" s="159"/>
      <c r="I149" s="154" t="s">
        <v>142</v>
      </c>
      <c r="J149" s="155"/>
      <c r="K149" s="158">
        <v>10500</v>
      </c>
    </row>
    <row r="150" spans="1:12" x14ac:dyDescent="0.2">
      <c r="A150" s="161"/>
      <c r="B150" s="157">
        <v>1270</v>
      </c>
      <c r="C150" s="158">
        <v>37378982.890000001</v>
      </c>
      <c r="D150" s="155"/>
      <c r="E150" s="31">
        <f t="shared" si="0"/>
        <v>37379</v>
      </c>
      <c r="H150" s="159"/>
      <c r="I150" s="154" t="s">
        <v>143</v>
      </c>
      <c r="J150" s="155"/>
      <c r="K150" s="155"/>
    </row>
    <row r="151" spans="1:12" ht="22.5" x14ac:dyDescent="0.2">
      <c r="A151" s="166"/>
      <c r="B151" s="157">
        <v>127082</v>
      </c>
      <c r="C151" s="158">
        <v>36907257.270000003</v>
      </c>
      <c r="D151" s="155"/>
      <c r="E151" s="31">
        <f t="shared" si="0"/>
        <v>36907</v>
      </c>
      <c r="H151" s="176" t="s">
        <v>415</v>
      </c>
      <c r="I151" s="176" t="s">
        <v>141</v>
      </c>
      <c r="J151" s="177"/>
      <c r="K151" s="177"/>
    </row>
    <row r="152" spans="1:12" x14ac:dyDescent="0.2">
      <c r="A152" s="166"/>
      <c r="B152" s="157">
        <v>127083</v>
      </c>
      <c r="C152" s="158">
        <v>121520.28</v>
      </c>
      <c r="D152" s="155"/>
      <c r="E152" s="31">
        <f t="shared" si="0"/>
        <v>122</v>
      </c>
      <c r="H152" s="156"/>
      <c r="I152" s="157">
        <v>1600</v>
      </c>
      <c r="J152" s="155"/>
      <c r="K152" s="158">
        <v>52000</v>
      </c>
    </row>
    <row r="153" spans="1:12" x14ac:dyDescent="0.2">
      <c r="A153" s="166"/>
      <c r="B153" s="157">
        <v>127084</v>
      </c>
      <c r="C153" s="158">
        <v>350205.34</v>
      </c>
      <c r="D153" s="155"/>
      <c r="E153" s="31">
        <f t="shared" si="0"/>
        <v>350</v>
      </c>
      <c r="H153" s="161"/>
      <c r="I153" s="157">
        <v>1610</v>
      </c>
      <c r="J153" s="155"/>
      <c r="K153" s="158">
        <v>52000</v>
      </c>
      <c r="L153" s="31">
        <f>ROUND(K153/1000,0)</f>
        <v>52</v>
      </c>
    </row>
    <row r="154" spans="1:12" x14ac:dyDescent="0.2">
      <c r="A154" s="156"/>
      <c r="B154" s="157">
        <v>3500</v>
      </c>
      <c r="C154" s="162">
        <v>1.06</v>
      </c>
      <c r="D154" s="155"/>
      <c r="E154" s="31">
        <f t="shared" si="0"/>
        <v>0</v>
      </c>
      <c r="H154" s="166"/>
      <c r="I154" s="157">
        <v>161001</v>
      </c>
      <c r="J154" s="155"/>
      <c r="K154" s="158">
        <v>52000</v>
      </c>
    </row>
    <row r="155" spans="1:12" x14ac:dyDescent="0.2">
      <c r="A155" s="161"/>
      <c r="B155" s="157">
        <v>3510</v>
      </c>
      <c r="C155" s="162">
        <v>1.06</v>
      </c>
      <c r="D155" s="155"/>
      <c r="E155" s="31">
        <f t="shared" si="0"/>
        <v>0</v>
      </c>
      <c r="H155" s="156"/>
      <c r="I155" s="157">
        <v>3300</v>
      </c>
      <c r="J155" s="155"/>
      <c r="K155" s="158">
        <v>51000</v>
      </c>
      <c r="L155" s="31">
        <f>ROUND(K155/1000,0)</f>
        <v>51</v>
      </c>
    </row>
    <row r="156" spans="1:12" x14ac:dyDescent="0.2">
      <c r="A156" s="166"/>
      <c r="B156" s="157">
        <v>351081</v>
      </c>
      <c r="C156" s="162">
        <v>1.06</v>
      </c>
      <c r="D156" s="155"/>
      <c r="E156" s="31">
        <f t="shared" si="0"/>
        <v>0</v>
      </c>
      <c r="H156" s="161"/>
      <c r="I156" s="157">
        <v>3310</v>
      </c>
      <c r="J156" s="155"/>
      <c r="K156" s="158">
        <v>51000</v>
      </c>
    </row>
    <row r="157" spans="1:12" x14ac:dyDescent="0.2">
      <c r="A157" s="159"/>
      <c r="B157" s="154" t="s">
        <v>142</v>
      </c>
      <c r="C157" s="158">
        <v>60568919.090000004</v>
      </c>
      <c r="D157" s="155"/>
      <c r="E157" s="31">
        <f t="shared" si="0"/>
        <v>60569</v>
      </c>
      <c r="H157" s="159"/>
      <c r="I157" s="154" t="s">
        <v>142</v>
      </c>
      <c r="J157" s="155"/>
      <c r="K157" s="158">
        <v>103000</v>
      </c>
    </row>
    <row r="158" spans="1:12" x14ac:dyDescent="0.2">
      <c r="A158" s="159"/>
      <c r="B158" s="154" t="s">
        <v>143</v>
      </c>
      <c r="C158" s="155"/>
      <c r="D158" s="155"/>
      <c r="E158" s="31"/>
      <c r="H158" s="159"/>
      <c r="I158" s="154" t="s">
        <v>143</v>
      </c>
      <c r="J158" s="155"/>
      <c r="K158" s="155"/>
    </row>
    <row r="159" spans="1:12" ht="33.75" x14ac:dyDescent="0.2">
      <c r="A159" s="173" t="s">
        <v>51</v>
      </c>
      <c r="B159" s="173" t="s">
        <v>141</v>
      </c>
      <c r="C159" s="174"/>
      <c r="D159" s="174"/>
      <c r="E159" s="175"/>
      <c r="H159" s="176" t="s">
        <v>405</v>
      </c>
      <c r="I159" s="176" t="s">
        <v>141</v>
      </c>
      <c r="J159" s="177"/>
      <c r="K159" s="177"/>
    </row>
    <row r="160" spans="1:12" x14ac:dyDescent="0.2">
      <c r="A160" s="156"/>
      <c r="B160" s="157">
        <v>1600</v>
      </c>
      <c r="C160" s="155"/>
      <c r="D160" s="158">
        <v>2406845.5</v>
      </c>
      <c r="H160" s="156"/>
      <c r="I160" s="157">
        <v>1600</v>
      </c>
      <c r="J160" s="155"/>
      <c r="K160" s="158">
        <v>295032.40000000002</v>
      </c>
    </row>
    <row r="161" spans="1:12" x14ac:dyDescent="0.2">
      <c r="A161" s="161"/>
      <c r="B161" s="157">
        <v>1610</v>
      </c>
      <c r="C161" s="155"/>
      <c r="D161" s="158">
        <v>2406845.5</v>
      </c>
      <c r="H161" s="161"/>
      <c r="I161" s="157">
        <v>1610</v>
      </c>
      <c r="J161" s="155"/>
      <c r="K161" s="158">
        <v>295032.40000000002</v>
      </c>
    </row>
    <row r="162" spans="1:12" x14ac:dyDescent="0.2">
      <c r="A162" s="166"/>
      <c r="B162" s="157">
        <v>161001</v>
      </c>
      <c r="C162" s="155"/>
      <c r="D162" s="158">
        <v>2406845.5</v>
      </c>
      <c r="E162" s="31">
        <f>ROUND(D162/1000,0)</f>
        <v>2407</v>
      </c>
      <c r="H162" s="166"/>
      <c r="I162" s="157">
        <v>161001</v>
      </c>
      <c r="J162" s="155"/>
      <c r="K162" s="158">
        <v>295032.40000000002</v>
      </c>
      <c r="L162" s="31">
        <f>ROUND(K162/1000,0)</f>
        <v>295</v>
      </c>
    </row>
    <row r="163" spans="1:12" x14ac:dyDescent="0.2">
      <c r="A163" s="159"/>
      <c r="B163" s="154" t="s">
        <v>142</v>
      </c>
      <c r="C163" s="155"/>
      <c r="D163" s="158">
        <v>2406845.5</v>
      </c>
      <c r="H163" s="159"/>
      <c r="I163" s="154" t="s">
        <v>142</v>
      </c>
      <c r="J163" s="155"/>
      <c r="K163" s="158">
        <v>295032.40000000002</v>
      </c>
    </row>
    <row r="164" spans="1:12" x14ac:dyDescent="0.2">
      <c r="A164" s="159"/>
      <c r="B164" s="154" t="s">
        <v>143</v>
      </c>
      <c r="C164" s="155"/>
      <c r="D164" s="155"/>
      <c r="H164" s="159"/>
      <c r="I164" s="154" t="s">
        <v>143</v>
      </c>
      <c r="J164" s="155"/>
      <c r="K164" s="155"/>
    </row>
    <row r="165" spans="1:12" ht="22.5" x14ac:dyDescent="0.2">
      <c r="A165" s="154" t="s">
        <v>409</v>
      </c>
      <c r="B165" s="154" t="s">
        <v>141</v>
      </c>
      <c r="C165" s="155"/>
      <c r="D165" s="155"/>
      <c r="E165" s="31"/>
      <c r="H165" s="173" t="s">
        <v>406</v>
      </c>
      <c r="I165" s="173" t="s">
        <v>141</v>
      </c>
      <c r="J165" s="174"/>
      <c r="K165" s="174"/>
      <c r="L165" s="175"/>
    </row>
    <row r="166" spans="1:12" x14ac:dyDescent="0.2">
      <c r="A166" s="156"/>
      <c r="B166" s="157">
        <v>1000</v>
      </c>
      <c r="C166" s="155"/>
      <c r="D166" s="181">
        <v>5100000</v>
      </c>
      <c r="H166" s="156"/>
      <c r="I166" s="157">
        <v>1600</v>
      </c>
      <c r="J166" s="155"/>
      <c r="K166" s="158">
        <v>1155928</v>
      </c>
    </row>
    <row r="167" spans="1:12" x14ac:dyDescent="0.2">
      <c r="A167" s="161"/>
      <c r="B167" s="157">
        <v>1030</v>
      </c>
      <c r="C167" s="155"/>
      <c r="D167" s="158">
        <v>5100000</v>
      </c>
      <c r="E167" s="48">
        <f>ROUND(D167/1000,0)</f>
        <v>5100</v>
      </c>
      <c r="H167" s="161"/>
      <c r="I167" s="157">
        <v>1610</v>
      </c>
      <c r="J167" s="155"/>
      <c r="K167" s="158">
        <v>1155928</v>
      </c>
    </row>
    <row r="168" spans="1:12" x14ac:dyDescent="0.2">
      <c r="A168" s="159"/>
      <c r="B168" s="154" t="s">
        <v>142</v>
      </c>
      <c r="C168" s="155"/>
      <c r="D168" s="158">
        <v>5100000</v>
      </c>
      <c r="H168" s="166"/>
      <c r="I168" s="157">
        <v>161001</v>
      </c>
      <c r="J168" s="155"/>
      <c r="K168" s="158">
        <v>1155928</v>
      </c>
      <c r="L168" s="31">
        <f t="shared" ref="L168:L175" si="1">ROUND(K168/1000,0)</f>
        <v>1156</v>
      </c>
    </row>
    <row r="169" spans="1:12" x14ac:dyDescent="0.2">
      <c r="A169" s="159"/>
      <c r="B169" s="154" t="s">
        <v>143</v>
      </c>
      <c r="C169" s="155"/>
      <c r="D169" s="155"/>
      <c r="E169" s="31"/>
      <c r="H169" s="156"/>
      <c r="I169" s="157">
        <v>3300</v>
      </c>
      <c r="J169" s="155"/>
      <c r="K169" s="158">
        <v>8407672.1600000001</v>
      </c>
      <c r="L169" s="31">
        <f t="shared" si="1"/>
        <v>8408</v>
      </c>
    </row>
    <row r="170" spans="1:12" x14ac:dyDescent="0.2">
      <c r="A170" s="154" t="s">
        <v>409</v>
      </c>
      <c r="B170" s="154" t="s">
        <v>141</v>
      </c>
      <c r="C170" s="155"/>
      <c r="D170" s="155"/>
      <c r="H170" s="161"/>
      <c r="I170" s="157">
        <v>3310</v>
      </c>
      <c r="J170" s="155"/>
      <c r="K170" s="158">
        <v>502703.61</v>
      </c>
      <c r="L170" s="31">
        <f t="shared" si="1"/>
        <v>503</v>
      </c>
    </row>
    <row r="171" spans="1:12" x14ac:dyDescent="0.2">
      <c r="A171" s="156"/>
      <c r="B171" s="157">
        <v>1000</v>
      </c>
      <c r="C171" s="155"/>
      <c r="D171" s="158">
        <v>59049160</v>
      </c>
      <c r="H171" s="161"/>
      <c r="I171" s="157">
        <v>3380</v>
      </c>
      <c r="J171" s="155"/>
      <c r="K171" s="158">
        <v>7904968.5499999998</v>
      </c>
      <c r="L171" s="31">
        <f t="shared" si="1"/>
        <v>7905</v>
      </c>
    </row>
    <row r="172" spans="1:12" x14ac:dyDescent="0.2">
      <c r="A172" s="161"/>
      <c r="B172" s="157">
        <v>1020</v>
      </c>
      <c r="C172" s="155"/>
      <c r="D172" s="181">
        <v>29049160</v>
      </c>
      <c r="E172" s="48">
        <f>ROUND(D172/1000,0)</f>
        <v>29049</v>
      </c>
      <c r="H172" s="166"/>
      <c r="I172" s="157">
        <v>338081</v>
      </c>
      <c r="J172" s="155"/>
      <c r="K172" s="158">
        <v>6841555.3799999999</v>
      </c>
      <c r="L172" s="31">
        <f t="shared" si="1"/>
        <v>6842</v>
      </c>
    </row>
    <row r="173" spans="1:12" x14ac:dyDescent="0.2">
      <c r="A173" s="161"/>
      <c r="B173" s="157">
        <v>1030</v>
      </c>
      <c r="C173" s="155"/>
      <c r="D173" s="181">
        <v>30000000</v>
      </c>
      <c r="E173" s="48">
        <f>ROUND(D173/1000,0)</f>
        <v>30000</v>
      </c>
      <c r="H173" s="166"/>
      <c r="I173" s="157">
        <v>338083</v>
      </c>
      <c r="J173" s="155"/>
      <c r="K173" s="158">
        <v>209038.75</v>
      </c>
      <c r="L173" s="31">
        <f t="shared" si="1"/>
        <v>209</v>
      </c>
    </row>
    <row r="174" spans="1:12" x14ac:dyDescent="0.2">
      <c r="A174" s="159"/>
      <c r="B174" s="154" t="s">
        <v>142</v>
      </c>
      <c r="C174" s="155"/>
      <c r="D174" s="158">
        <v>59049160</v>
      </c>
      <c r="E174" s="31"/>
      <c r="H174" s="166"/>
      <c r="I174" s="157">
        <v>338084</v>
      </c>
      <c r="J174" s="155"/>
      <c r="K174" s="158">
        <v>854374.42</v>
      </c>
      <c r="L174" s="31">
        <f t="shared" si="1"/>
        <v>854</v>
      </c>
    </row>
    <row r="175" spans="1:12" x14ac:dyDescent="0.2">
      <c r="A175" s="159"/>
      <c r="B175" s="154" t="s">
        <v>143</v>
      </c>
      <c r="C175" s="155"/>
      <c r="D175" s="155"/>
      <c r="H175" s="159"/>
      <c r="I175" s="154" t="s">
        <v>142</v>
      </c>
      <c r="J175" s="155"/>
      <c r="K175" s="158">
        <v>9563600.1600000001</v>
      </c>
      <c r="L175" s="31">
        <f t="shared" si="1"/>
        <v>9564</v>
      </c>
    </row>
    <row r="176" spans="1:12" x14ac:dyDescent="0.2">
      <c r="A176" s="173" t="s">
        <v>344</v>
      </c>
      <c r="B176" s="173" t="s">
        <v>141</v>
      </c>
      <c r="C176" s="174"/>
      <c r="D176" s="174"/>
      <c r="H176" s="159"/>
      <c r="I176" s="154" t="s">
        <v>143</v>
      </c>
      <c r="J176" s="155"/>
      <c r="K176" s="155"/>
    </row>
    <row r="177" spans="1:12" ht="22.5" x14ac:dyDescent="0.2">
      <c r="A177" s="156"/>
      <c r="B177" s="157">
        <v>3300</v>
      </c>
      <c r="C177" s="158">
        <v>44000</v>
      </c>
      <c r="D177" s="155"/>
      <c r="H177" s="173" t="s">
        <v>407</v>
      </c>
      <c r="I177" s="173" t="s">
        <v>141</v>
      </c>
      <c r="J177" s="174"/>
      <c r="K177" s="174"/>
      <c r="L177" s="175"/>
    </row>
    <row r="178" spans="1:12" x14ac:dyDescent="0.2">
      <c r="A178" s="161"/>
      <c r="B178" s="157">
        <v>3310</v>
      </c>
      <c r="C178" s="158">
        <v>44000</v>
      </c>
      <c r="D178" s="155"/>
      <c r="E178" s="31">
        <f>ROUND(C178/1000,0)</f>
        <v>44</v>
      </c>
      <c r="H178" s="156"/>
      <c r="I178" s="157">
        <v>1600</v>
      </c>
      <c r="J178" s="155"/>
      <c r="K178" s="158">
        <v>238590</v>
      </c>
    </row>
    <row r="179" spans="1:12" x14ac:dyDescent="0.2">
      <c r="A179" s="159"/>
      <c r="B179" s="154" t="s">
        <v>142</v>
      </c>
      <c r="C179" s="158">
        <v>44000</v>
      </c>
      <c r="D179" s="155"/>
      <c r="E179" s="31"/>
      <c r="H179" s="161"/>
      <c r="I179" s="157">
        <v>1610</v>
      </c>
      <c r="J179" s="155"/>
      <c r="K179" s="158">
        <v>238590</v>
      </c>
    </row>
    <row r="180" spans="1:12" x14ac:dyDescent="0.2">
      <c r="A180" s="159"/>
      <c r="B180" s="154" t="s">
        <v>143</v>
      </c>
      <c r="C180" s="155"/>
      <c r="D180" s="155"/>
      <c r="H180" s="166"/>
      <c r="I180" s="157">
        <v>161001</v>
      </c>
      <c r="J180" s="155"/>
      <c r="K180" s="158">
        <v>238590</v>
      </c>
      <c r="L180" s="31">
        <f>ROUND(K180/1000,0)</f>
        <v>239</v>
      </c>
    </row>
    <row r="181" spans="1:12" x14ac:dyDescent="0.2">
      <c r="A181" s="154" t="s">
        <v>388</v>
      </c>
      <c r="B181" s="154" t="s">
        <v>141</v>
      </c>
      <c r="C181" s="155"/>
      <c r="D181" s="155"/>
      <c r="H181" s="159"/>
      <c r="I181" s="154" t="s">
        <v>142</v>
      </c>
      <c r="J181" s="155"/>
      <c r="K181" s="158">
        <v>238590</v>
      </c>
    </row>
    <row r="182" spans="1:12" x14ac:dyDescent="0.2">
      <c r="A182" s="156"/>
      <c r="B182" s="157">
        <v>1000</v>
      </c>
      <c r="C182" s="181">
        <v>95800000</v>
      </c>
      <c r="D182" s="155"/>
      <c r="H182" s="159"/>
      <c r="I182" s="154" t="s">
        <v>143</v>
      </c>
      <c r="J182" s="155"/>
      <c r="K182" s="155"/>
    </row>
    <row r="183" spans="1:12" ht="33.75" x14ac:dyDescent="0.2">
      <c r="A183" s="161"/>
      <c r="B183" s="157">
        <v>1030</v>
      </c>
      <c r="C183" s="158">
        <v>95800000</v>
      </c>
      <c r="D183" s="155"/>
      <c r="E183" s="48">
        <f>ROUND(C183/1000,0)</f>
        <v>95800</v>
      </c>
      <c r="H183" s="173" t="s">
        <v>408</v>
      </c>
      <c r="I183" s="173" t="s">
        <v>141</v>
      </c>
      <c r="J183" s="174"/>
      <c r="K183" s="174"/>
      <c r="L183" s="175"/>
    </row>
    <row r="184" spans="1:12" x14ac:dyDescent="0.2">
      <c r="A184" s="159"/>
      <c r="B184" s="154" t="s">
        <v>142</v>
      </c>
      <c r="C184" s="158">
        <v>95800000</v>
      </c>
      <c r="D184" s="155"/>
      <c r="H184" s="156"/>
      <c r="I184" s="157">
        <v>1200</v>
      </c>
      <c r="J184" s="158">
        <v>35773753.149999999</v>
      </c>
      <c r="K184" s="155"/>
      <c r="L184" s="31">
        <f>ROUND(J184/1000,0)</f>
        <v>35774</v>
      </c>
    </row>
    <row r="185" spans="1:12" x14ac:dyDescent="0.2">
      <c r="A185" s="159"/>
      <c r="B185" s="154" t="s">
        <v>143</v>
      </c>
      <c r="C185" s="155"/>
      <c r="D185" s="155"/>
      <c r="H185" s="161"/>
      <c r="I185" s="157">
        <v>1210</v>
      </c>
      <c r="J185" s="158">
        <v>25565806.449999999</v>
      </c>
      <c r="K185" s="155"/>
      <c r="L185" s="31">
        <f>ROUND(J185/1000,0)</f>
        <v>25566</v>
      </c>
    </row>
    <row r="186" spans="1:12" ht="22.5" x14ac:dyDescent="0.2">
      <c r="A186" s="154" t="s">
        <v>410</v>
      </c>
      <c r="B186" s="154" t="s">
        <v>141</v>
      </c>
      <c r="C186" s="155"/>
      <c r="D186" s="155"/>
      <c r="H186" s="161"/>
      <c r="I186" s="157">
        <v>1270</v>
      </c>
      <c r="J186" s="158">
        <v>10207946.699999999</v>
      </c>
      <c r="K186" s="155"/>
      <c r="L186" s="31"/>
    </row>
    <row r="187" spans="1:12" x14ac:dyDescent="0.2">
      <c r="A187" s="156"/>
      <c r="B187" s="157">
        <v>3200</v>
      </c>
      <c r="C187" s="155"/>
      <c r="D187" s="162">
        <v>63</v>
      </c>
      <c r="H187" s="166"/>
      <c r="I187" s="157">
        <v>127082</v>
      </c>
      <c r="J187" s="158">
        <v>2282131.0299999998</v>
      </c>
      <c r="K187" s="155"/>
      <c r="L187" s="31">
        <f>ROUND(J187/1000,0)</f>
        <v>2282</v>
      </c>
    </row>
    <row r="188" spans="1:12" x14ac:dyDescent="0.2">
      <c r="A188" s="161"/>
      <c r="B188" s="157">
        <v>3220</v>
      </c>
      <c r="C188" s="155"/>
      <c r="D188" s="162">
        <v>63</v>
      </c>
      <c r="E188" s="31">
        <f>ROUND(D188/1000,0)</f>
        <v>0</v>
      </c>
      <c r="H188" s="166"/>
      <c r="I188" s="157">
        <v>127083</v>
      </c>
      <c r="J188" s="158">
        <v>7925815.6699999999</v>
      </c>
      <c r="K188" s="155"/>
      <c r="L188" s="31">
        <f>ROUND(J188/1000,0)</f>
        <v>7926</v>
      </c>
    </row>
    <row r="189" spans="1:12" x14ac:dyDescent="0.2">
      <c r="A189" s="159"/>
      <c r="B189" s="154" t="s">
        <v>142</v>
      </c>
      <c r="C189" s="155"/>
      <c r="D189" s="162">
        <v>63</v>
      </c>
      <c r="H189" s="156"/>
      <c r="I189" s="157">
        <v>3500</v>
      </c>
      <c r="J189" s="158">
        <v>36514.1</v>
      </c>
      <c r="K189" s="155"/>
      <c r="L189" s="31">
        <f>ROUND(J189/1000,0)</f>
        <v>37</v>
      </c>
    </row>
    <row r="190" spans="1:12" x14ac:dyDescent="0.2">
      <c r="A190" s="159"/>
      <c r="B190" s="154" t="s">
        <v>143</v>
      </c>
      <c r="C190" s="155"/>
      <c r="D190" s="155"/>
      <c r="H190" s="161"/>
      <c r="I190" s="157">
        <v>3510</v>
      </c>
      <c r="J190" s="158">
        <v>36514.1</v>
      </c>
      <c r="K190" s="155"/>
    </row>
    <row r="191" spans="1:12" ht="33.75" x14ac:dyDescent="0.2">
      <c r="A191" s="173" t="s">
        <v>411</v>
      </c>
      <c r="B191" s="173" t="s">
        <v>141</v>
      </c>
      <c r="C191" s="174"/>
      <c r="D191" s="174"/>
      <c r="H191" s="166"/>
      <c r="I191" s="157">
        <v>351081</v>
      </c>
      <c r="J191" s="158">
        <v>36514.1</v>
      </c>
      <c r="K191" s="155"/>
    </row>
    <row r="192" spans="1:12" x14ac:dyDescent="0.2">
      <c r="A192" s="156"/>
      <c r="B192" s="157">
        <v>3100</v>
      </c>
      <c r="C192" s="155"/>
      <c r="D192" s="158">
        <v>2035848.57</v>
      </c>
      <c r="E192" s="31"/>
      <c r="H192" s="159"/>
      <c r="I192" s="154" t="s">
        <v>142</v>
      </c>
      <c r="J192" s="158">
        <v>35810267.25</v>
      </c>
      <c r="K192" s="155"/>
    </row>
    <row r="193" spans="1:12" x14ac:dyDescent="0.2">
      <c r="A193" s="161"/>
      <c r="B193" s="157">
        <v>3110</v>
      </c>
      <c r="C193" s="155"/>
      <c r="D193" s="158">
        <v>2035848.57</v>
      </c>
      <c r="E193" s="31">
        <f>ROUND(D193/1000,0)</f>
        <v>2036</v>
      </c>
      <c r="H193" s="159"/>
      <c r="I193" s="154" t="s">
        <v>143</v>
      </c>
      <c r="J193" s="155"/>
      <c r="K193" s="155"/>
    </row>
    <row r="194" spans="1:12" ht="33.75" x14ac:dyDescent="0.2">
      <c r="A194" s="166"/>
      <c r="B194" s="157">
        <v>311001</v>
      </c>
      <c r="C194" s="155"/>
      <c r="D194" s="158">
        <v>2035848.57</v>
      </c>
      <c r="H194" s="173" t="s">
        <v>428</v>
      </c>
      <c r="I194" s="173" t="s">
        <v>141</v>
      </c>
      <c r="J194" s="174"/>
      <c r="K194" s="174"/>
    </row>
    <row r="195" spans="1:12" x14ac:dyDescent="0.2">
      <c r="A195" s="159"/>
      <c r="B195" s="154" t="s">
        <v>142</v>
      </c>
      <c r="C195" s="155"/>
      <c r="D195" s="158">
        <v>2035848.57</v>
      </c>
      <c r="H195" s="156"/>
      <c r="I195" s="157">
        <v>1600</v>
      </c>
      <c r="J195" s="155"/>
      <c r="K195" s="158">
        <v>1433810</v>
      </c>
      <c r="L195" s="31">
        <f>ROUND(K195/1000,0)</f>
        <v>1434</v>
      </c>
    </row>
    <row r="196" spans="1:12" x14ac:dyDescent="0.2">
      <c r="A196" s="159"/>
      <c r="B196" s="154" t="s">
        <v>143</v>
      </c>
      <c r="C196" s="155"/>
      <c r="D196" s="155"/>
      <c r="H196" s="161"/>
      <c r="I196" s="157">
        <v>1610</v>
      </c>
      <c r="J196" s="155"/>
      <c r="K196" s="158">
        <v>1433810</v>
      </c>
    </row>
    <row r="197" spans="1:12" ht="22.5" x14ac:dyDescent="0.2">
      <c r="A197" s="173" t="s">
        <v>412</v>
      </c>
      <c r="B197" s="173" t="s">
        <v>141</v>
      </c>
      <c r="C197" s="174"/>
      <c r="D197" s="174"/>
      <c r="H197" s="166"/>
      <c r="I197" s="157">
        <v>161001</v>
      </c>
      <c r="J197" s="155"/>
      <c r="K197" s="158">
        <v>1433810</v>
      </c>
    </row>
    <row r="198" spans="1:12" x14ac:dyDescent="0.2">
      <c r="A198" s="156"/>
      <c r="B198" s="157">
        <v>1400</v>
      </c>
      <c r="C198" s="155"/>
      <c r="D198" s="158">
        <v>1625</v>
      </c>
      <c r="E198" s="31"/>
      <c r="H198" s="159"/>
      <c r="I198" s="154" t="s">
        <v>142</v>
      </c>
      <c r="J198" s="155"/>
      <c r="K198" s="158">
        <v>1433810</v>
      </c>
    </row>
    <row r="199" spans="1:12" x14ac:dyDescent="0.2">
      <c r="A199" s="161"/>
      <c r="B199" s="157">
        <v>1420</v>
      </c>
      <c r="C199" s="155"/>
      <c r="D199" s="158">
        <v>1625</v>
      </c>
      <c r="E199" s="31">
        <f>ROUND(D199/1000,0)</f>
        <v>2</v>
      </c>
      <c r="H199" s="159"/>
      <c r="I199" s="154" t="s">
        <v>143</v>
      </c>
      <c r="J199" s="155"/>
      <c r="K199" s="155"/>
    </row>
    <row r="200" spans="1:12" ht="22.5" x14ac:dyDescent="0.2">
      <c r="A200" s="166"/>
      <c r="B200" s="157">
        <v>1421</v>
      </c>
      <c r="C200" s="155"/>
      <c r="D200" s="158">
        <v>1625</v>
      </c>
      <c r="H200" s="173" t="s">
        <v>51</v>
      </c>
      <c r="I200" s="173" t="s">
        <v>141</v>
      </c>
      <c r="J200" s="174"/>
      <c r="K200" s="174"/>
    </row>
    <row r="201" spans="1:12" x14ac:dyDescent="0.2">
      <c r="A201" s="156"/>
      <c r="B201" s="157">
        <v>3100</v>
      </c>
      <c r="C201" s="155"/>
      <c r="D201" s="158">
        <v>1033474.03</v>
      </c>
      <c r="H201" s="156"/>
      <c r="I201" s="157">
        <v>1600</v>
      </c>
      <c r="J201" s="155"/>
      <c r="K201" s="158">
        <v>1248215</v>
      </c>
      <c r="L201" s="31">
        <f>ROUND(K201/1000,0)</f>
        <v>1248</v>
      </c>
    </row>
    <row r="202" spans="1:12" x14ac:dyDescent="0.2">
      <c r="A202" s="161"/>
      <c r="B202" s="157">
        <v>3130</v>
      </c>
      <c r="C202" s="155"/>
      <c r="D202" s="158">
        <v>1033474.03</v>
      </c>
      <c r="E202" s="31">
        <f>ROUND(D202/1000,0)</f>
        <v>1033</v>
      </c>
      <c r="H202" s="161"/>
      <c r="I202" s="157">
        <v>1610</v>
      </c>
      <c r="J202" s="155"/>
      <c r="K202" s="158">
        <v>1248215</v>
      </c>
    </row>
    <row r="203" spans="1:12" x14ac:dyDescent="0.2">
      <c r="A203" s="159"/>
      <c r="B203" s="154" t="s">
        <v>142</v>
      </c>
      <c r="C203" s="155"/>
      <c r="D203" s="158">
        <v>1035099.03</v>
      </c>
      <c r="H203" s="166"/>
      <c r="I203" s="157">
        <v>161001</v>
      </c>
      <c r="J203" s="155"/>
      <c r="K203" s="158">
        <v>1248215</v>
      </c>
    </row>
    <row r="204" spans="1:12" x14ac:dyDescent="0.2">
      <c r="A204" s="159"/>
      <c r="B204" s="154" t="s">
        <v>143</v>
      </c>
      <c r="C204" s="155"/>
      <c r="D204" s="155"/>
      <c r="H204" s="159"/>
      <c r="I204" s="154" t="s">
        <v>142</v>
      </c>
      <c r="J204" s="155"/>
      <c r="K204" s="158">
        <v>1248215</v>
      </c>
    </row>
    <row r="205" spans="1:12" ht="22.5" x14ac:dyDescent="0.2">
      <c r="A205" s="173" t="s">
        <v>413</v>
      </c>
      <c r="B205" s="173" t="s">
        <v>141</v>
      </c>
      <c r="C205" s="174"/>
      <c r="D205" s="174"/>
      <c r="H205" s="159"/>
      <c r="I205" s="154" t="s">
        <v>143</v>
      </c>
      <c r="J205" s="155"/>
      <c r="K205" s="155"/>
    </row>
    <row r="206" spans="1:12" ht="22.5" x14ac:dyDescent="0.2">
      <c r="A206" s="156"/>
      <c r="B206" s="157">
        <v>3200</v>
      </c>
      <c r="C206" s="155"/>
      <c r="D206" s="158">
        <v>9029916.5999999996</v>
      </c>
      <c r="E206" s="31">
        <f t="shared" ref="E206:E211" si="2">ROUND(D206/1000,0)</f>
        <v>9030</v>
      </c>
      <c r="H206" s="154" t="s">
        <v>409</v>
      </c>
      <c r="I206" s="154" t="s">
        <v>141</v>
      </c>
      <c r="J206" s="155"/>
      <c r="K206" s="155"/>
    </row>
    <row r="207" spans="1:12" x14ac:dyDescent="0.2">
      <c r="A207" s="161"/>
      <c r="B207" s="157">
        <v>3210</v>
      </c>
      <c r="C207" s="155"/>
      <c r="D207" s="158">
        <v>2413897</v>
      </c>
      <c r="E207" s="31">
        <f t="shared" si="2"/>
        <v>2414</v>
      </c>
      <c r="H207" s="156"/>
      <c r="I207" s="157">
        <v>1000</v>
      </c>
      <c r="J207" s="155"/>
      <c r="K207" s="183">
        <v>41000000</v>
      </c>
      <c r="L207" s="184">
        <f>ROUND(K207/1000,0)</f>
        <v>41000</v>
      </c>
    </row>
    <row r="208" spans="1:12" x14ac:dyDescent="0.2">
      <c r="A208" s="166"/>
      <c r="B208" s="157">
        <v>3211</v>
      </c>
      <c r="C208" s="155"/>
      <c r="D208" s="158">
        <v>990334</v>
      </c>
      <c r="E208" s="31">
        <f t="shared" si="2"/>
        <v>990</v>
      </c>
      <c r="H208" s="161"/>
      <c r="I208" s="157">
        <v>1030</v>
      </c>
      <c r="J208" s="155"/>
      <c r="K208" s="158">
        <v>41000000</v>
      </c>
    </row>
    <row r="209" spans="1:13" x14ac:dyDescent="0.2">
      <c r="A209" s="166"/>
      <c r="B209" s="157">
        <v>3212</v>
      </c>
      <c r="C209" s="155"/>
      <c r="D209" s="158">
        <v>651921</v>
      </c>
      <c r="E209" s="31">
        <f t="shared" si="2"/>
        <v>652</v>
      </c>
      <c r="H209" s="159"/>
      <c r="I209" s="154" t="s">
        <v>142</v>
      </c>
      <c r="J209" s="155"/>
      <c r="K209" s="158">
        <v>41000000</v>
      </c>
    </row>
    <row r="210" spans="1:13" x14ac:dyDescent="0.2">
      <c r="A210" s="166"/>
      <c r="B210" s="157">
        <v>3213</v>
      </c>
      <c r="C210" s="155"/>
      <c r="D210" s="158">
        <v>771642</v>
      </c>
      <c r="E210" s="31">
        <f t="shared" si="2"/>
        <v>772</v>
      </c>
      <c r="H210" s="159"/>
      <c r="I210" s="154" t="s">
        <v>143</v>
      </c>
      <c r="J210" s="155"/>
      <c r="K210" s="155"/>
    </row>
    <row r="211" spans="1:13" ht="22.5" x14ac:dyDescent="0.2">
      <c r="A211" s="161"/>
      <c r="B211" s="157">
        <v>3220</v>
      </c>
      <c r="C211" s="155"/>
      <c r="D211" s="158">
        <v>6616019.5999999996</v>
      </c>
      <c r="E211" s="31">
        <f t="shared" si="2"/>
        <v>6616</v>
      </c>
      <c r="H211" s="154" t="s">
        <v>409</v>
      </c>
      <c r="I211" s="154" t="s">
        <v>141</v>
      </c>
      <c r="J211" s="155"/>
      <c r="K211" s="155"/>
    </row>
    <row r="212" spans="1:13" x14ac:dyDescent="0.2">
      <c r="A212" s="159"/>
      <c r="B212" s="154" t="s">
        <v>142</v>
      </c>
      <c r="C212" s="155"/>
      <c r="D212" s="158">
        <v>9029916.5999999996</v>
      </c>
      <c r="H212" s="156"/>
      <c r="I212" s="157">
        <v>1000</v>
      </c>
      <c r="J212" s="155"/>
      <c r="K212" s="183">
        <v>12105250</v>
      </c>
      <c r="L212" s="184">
        <f>ROUND(K212/1000,0)</f>
        <v>12105</v>
      </c>
    </row>
    <row r="213" spans="1:13" x14ac:dyDescent="0.2">
      <c r="A213" s="159"/>
      <c r="B213" s="154" t="s">
        <v>143</v>
      </c>
      <c r="C213" s="155"/>
      <c r="D213" s="155"/>
      <c r="H213" s="161"/>
      <c r="I213" s="157">
        <v>1020</v>
      </c>
      <c r="J213" s="155"/>
      <c r="K213" s="158">
        <v>12105250</v>
      </c>
    </row>
    <row r="214" spans="1:13" x14ac:dyDescent="0.2">
      <c r="A214" s="160"/>
      <c r="B214" s="151" t="s">
        <v>142</v>
      </c>
      <c r="C214" s="152">
        <v>156412919.09</v>
      </c>
      <c r="D214" s="152">
        <v>157391138.44999999</v>
      </c>
      <c r="H214" s="159"/>
      <c r="I214" s="154" t="s">
        <v>142</v>
      </c>
      <c r="J214" s="155"/>
      <c r="K214" s="158">
        <v>12105250</v>
      </c>
    </row>
    <row r="215" spans="1:13" x14ac:dyDescent="0.2">
      <c r="A215" s="160"/>
      <c r="B215" s="151" t="s">
        <v>143</v>
      </c>
      <c r="C215" s="152">
        <v>1715441.01</v>
      </c>
      <c r="D215" s="153"/>
      <c r="H215" s="159"/>
      <c r="I215" s="154" t="s">
        <v>143</v>
      </c>
      <c r="J215" s="155"/>
      <c r="K215" s="155"/>
    </row>
    <row r="216" spans="1:13" ht="22.5" x14ac:dyDescent="0.2">
      <c r="A216" s="151" t="s">
        <v>414</v>
      </c>
      <c r="B216" s="151" t="s">
        <v>141</v>
      </c>
      <c r="C216" s="152">
        <v>3667436.62</v>
      </c>
      <c r="D216" s="153"/>
      <c r="H216" s="176" t="s">
        <v>344</v>
      </c>
      <c r="I216" s="176" t="s">
        <v>141</v>
      </c>
      <c r="J216" s="177"/>
      <c r="K216" s="177"/>
    </row>
    <row r="217" spans="1:13" x14ac:dyDescent="0.2">
      <c r="A217" s="173" t="s">
        <v>387</v>
      </c>
      <c r="B217" s="173" t="s">
        <v>141</v>
      </c>
      <c r="C217" s="174"/>
      <c r="D217" s="174"/>
      <c r="H217" s="156"/>
      <c r="I217" s="157">
        <v>1600</v>
      </c>
      <c r="J217" s="158">
        <v>752680</v>
      </c>
      <c r="K217" s="155"/>
      <c r="L217" s="31">
        <f>ROUND(J217/1000,0)</f>
        <v>753</v>
      </c>
      <c r="M217" s="61" t="s">
        <v>433</v>
      </c>
    </row>
    <row r="218" spans="1:13" x14ac:dyDescent="0.2">
      <c r="A218" s="156"/>
      <c r="B218" s="157">
        <v>3300</v>
      </c>
      <c r="C218" s="155"/>
      <c r="D218" s="158">
        <v>46665118.140000001</v>
      </c>
      <c r="H218" s="161"/>
      <c r="I218" s="157">
        <v>1610</v>
      </c>
      <c r="J218" s="158">
        <v>752680</v>
      </c>
      <c r="K218" s="155"/>
    </row>
    <row r="219" spans="1:13" x14ac:dyDescent="0.2">
      <c r="A219" s="161"/>
      <c r="B219" s="157">
        <v>3350</v>
      </c>
      <c r="C219" s="155"/>
      <c r="D219" s="158">
        <v>46665118.140000001</v>
      </c>
      <c r="E219" s="31">
        <f>ROUND(D219/1000,0)</f>
        <v>46665</v>
      </c>
      <c r="H219" s="166"/>
      <c r="I219" s="157">
        <v>161001</v>
      </c>
      <c r="J219" s="158">
        <v>752680</v>
      </c>
      <c r="K219" s="155"/>
    </row>
    <row r="220" spans="1:13" x14ac:dyDescent="0.2">
      <c r="A220" s="159"/>
      <c r="B220" s="154" t="s">
        <v>142</v>
      </c>
      <c r="C220" s="155"/>
      <c r="D220" s="158">
        <v>46665118.140000001</v>
      </c>
      <c r="H220" s="159"/>
      <c r="I220" s="154" t="s">
        <v>142</v>
      </c>
      <c r="J220" s="158">
        <v>752680</v>
      </c>
      <c r="K220" s="155"/>
    </row>
    <row r="221" spans="1:13" x14ac:dyDescent="0.2">
      <c r="A221" s="159"/>
      <c r="B221" s="154" t="s">
        <v>143</v>
      </c>
      <c r="C221" s="155"/>
      <c r="D221" s="155"/>
      <c r="H221" s="159"/>
      <c r="I221" s="154" t="s">
        <v>143</v>
      </c>
      <c r="J221" s="155"/>
      <c r="K221" s="155"/>
    </row>
    <row r="222" spans="1:13" ht="22.5" x14ac:dyDescent="0.2">
      <c r="A222" s="173" t="s">
        <v>391</v>
      </c>
      <c r="B222" s="173" t="s">
        <v>141</v>
      </c>
      <c r="C222" s="174"/>
      <c r="D222" s="174"/>
      <c r="H222" s="154" t="s">
        <v>388</v>
      </c>
      <c r="I222" s="154" t="s">
        <v>141</v>
      </c>
      <c r="J222" s="155"/>
      <c r="K222" s="155"/>
    </row>
    <row r="223" spans="1:13" x14ac:dyDescent="0.2">
      <c r="A223" s="156"/>
      <c r="B223" s="157">
        <v>1600</v>
      </c>
      <c r="C223" s="155"/>
      <c r="D223" s="158">
        <v>200000</v>
      </c>
      <c r="H223" s="156"/>
      <c r="I223" s="157">
        <v>1000</v>
      </c>
      <c r="J223" s="183">
        <v>60000000</v>
      </c>
      <c r="K223" s="155"/>
      <c r="L223" s="184">
        <f>ROUND(J223/1000,0)</f>
        <v>60000</v>
      </c>
    </row>
    <row r="224" spans="1:13" x14ac:dyDescent="0.2">
      <c r="A224" s="161"/>
      <c r="B224" s="157">
        <v>1610</v>
      </c>
      <c r="C224" s="155"/>
      <c r="D224" s="158">
        <v>200000</v>
      </c>
      <c r="E224" s="31">
        <f>ROUND(D224/1000,0)</f>
        <v>200</v>
      </c>
      <c r="F224" s="61" t="s">
        <v>447</v>
      </c>
      <c r="H224" s="161"/>
      <c r="I224" s="157">
        <v>1030</v>
      </c>
      <c r="J224" s="158">
        <v>60000000</v>
      </c>
      <c r="K224" s="155"/>
    </row>
    <row r="225" spans="1:12" x14ac:dyDescent="0.2">
      <c r="A225" s="166"/>
      <c r="B225" s="157">
        <v>161001</v>
      </c>
      <c r="C225" s="155"/>
      <c r="D225" s="158">
        <v>200000</v>
      </c>
      <c r="H225" s="159"/>
      <c r="I225" s="154" t="s">
        <v>142</v>
      </c>
      <c r="J225" s="158">
        <v>60000000</v>
      </c>
      <c r="K225" s="155"/>
    </row>
    <row r="226" spans="1:12" x14ac:dyDescent="0.2">
      <c r="A226" s="159"/>
      <c r="B226" s="154" t="s">
        <v>142</v>
      </c>
      <c r="C226" s="155"/>
      <c r="D226" s="158">
        <v>200000</v>
      </c>
      <c r="H226" s="159"/>
      <c r="I226" s="154" t="s">
        <v>143</v>
      </c>
      <c r="J226" s="155"/>
      <c r="K226" s="155"/>
    </row>
    <row r="227" spans="1:12" ht="22.5" x14ac:dyDescent="0.2">
      <c r="A227" s="159"/>
      <c r="B227" s="154" t="s">
        <v>143</v>
      </c>
      <c r="C227" s="155"/>
      <c r="D227" s="155"/>
      <c r="H227" s="154" t="s">
        <v>388</v>
      </c>
      <c r="I227" s="154" t="s">
        <v>141</v>
      </c>
      <c r="J227" s="155"/>
      <c r="K227" s="155"/>
    </row>
    <row r="228" spans="1:12" ht="22.5" x14ac:dyDescent="0.2">
      <c r="A228" s="173" t="s">
        <v>397</v>
      </c>
      <c r="B228" s="173" t="s">
        <v>141</v>
      </c>
      <c r="C228" s="174"/>
      <c r="D228" s="174"/>
      <c r="H228" s="156"/>
      <c r="I228" s="157">
        <v>1000</v>
      </c>
      <c r="J228" s="183">
        <v>20000000</v>
      </c>
      <c r="K228" s="155"/>
      <c r="L228" s="184">
        <f>ROUND(J228/1000,0)</f>
        <v>20000</v>
      </c>
    </row>
    <row r="229" spans="1:12" x14ac:dyDescent="0.2">
      <c r="A229" s="156"/>
      <c r="B229" s="157">
        <v>1200</v>
      </c>
      <c r="C229" s="155"/>
      <c r="D229" s="158">
        <v>458558</v>
      </c>
      <c r="H229" s="161"/>
      <c r="I229" s="157">
        <v>1030</v>
      </c>
      <c r="J229" s="158">
        <v>20000000</v>
      </c>
      <c r="K229" s="155"/>
    </row>
    <row r="230" spans="1:12" x14ac:dyDescent="0.2">
      <c r="A230" s="161"/>
      <c r="B230" s="157">
        <v>1250</v>
      </c>
      <c r="C230" s="155"/>
      <c r="D230" s="158">
        <v>458558</v>
      </c>
      <c r="E230" s="31">
        <f>ROUND(D230/1000,0)</f>
        <v>459</v>
      </c>
      <c r="H230" s="159"/>
      <c r="I230" s="154" t="s">
        <v>142</v>
      </c>
      <c r="J230" s="158">
        <v>20000000</v>
      </c>
      <c r="K230" s="155"/>
    </row>
    <row r="231" spans="1:12" x14ac:dyDescent="0.2">
      <c r="A231" s="166"/>
      <c r="B231" s="157">
        <v>1251</v>
      </c>
      <c r="C231" s="155"/>
      <c r="D231" s="158">
        <v>458558</v>
      </c>
      <c r="H231" s="159"/>
      <c r="I231" s="154" t="s">
        <v>143</v>
      </c>
      <c r="J231" s="155"/>
      <c r="K231" s="155"/>
    </row>
    <row r="232" spans="1:12" ht="45" x14ac:dyDescent="0.2">
      <c r="A232" s="159"/>
      <c r="B232" s="154" t="s">
        <v>142</v>
      </c>
      <c r="C232" s="155"/>
      <c r="D232" s="158">
        <v>458558</v>
      </c>
      <c r="H232" s="173" t="s">
        <v>411</v>
      </c>
      <c r="I232" s="173" t="s">
        <v>141</v>
      </c>
      <c r="J232" s="174"/>
      <c r="K232" s="174"/>
      <c r="L232" s="175"/>
    </row>
    <row r="233" spans="1:12" x14ac:dyDescent="0.2">
      <c r="A233" s="159"/>
      <c r="B233" s="154" t="s">
        <v>143</v>
      </c>
      <c r="C233" s="155"/>
      <c r="D233" s="155"/>
      <c r="H233" s="156"/>
      <c r="I233" s="157">
        <v>3100</v>
      </c>
      <c r="J233" s="155"/>
      <c r="K233" s="158">
        <v>2032007.93</v>
      </c>
      <c r="L233" s="31">
        <f>ROUND(K233/1000,0)</f>
        <v>2032</v>
      </c>
    </row>
    <row r="234" spans="1:12" x14ac:dyDescent="0.2">
      <c r="A234" s="173" t="s">
        <v>399</v>
      </c>
      <c r="B234" s="173" t="s">
        <v>141</v>
      </c>
      <c r="C234" s="174"/>
      <c r="D234" s="174"/>
      <c r="H234" s="161"/>
      <c r="I234" s="157">
        <v>3110</v>
      </c>
      <c r="J234" s="155"/>
      <c r="K234" s="158">
        <v>2032007.93</v>
      </c>
    </row>
    <row r="235" spans="1:12" x14ac:dyDescent="0.2">
      <c r="A235" s="156"/>
      <c r="B235" s="157">
        <v>3300</v>
      </c>
      <c r="C235" s="155"/>
      <c r="D235" s="158">
        <v>400000</v>
      </c>
      <c r="H235" s="166"/>
      <c r="I235" s="157">
        <v>311001</v>
      </c>
      <c r="J235" s="155"/>
      <c r="K235" s="158">
        <v>2032007.93</v>
      </c>
    </row>
    <row r="236" spans="1:12" x14ac:dyDescent="0.2">
      <c r="A236" s="161"/>
      <c r="B236" s="157">
        <v>3310</v>
      </c>
      <c r="C236" s="155"/>
      <c r="D236" s="158">
        <v>400000</v>
      </c>
      <c r="E236" s="31">
        <f>ROUND(D236/1000,0)</f>
        <v>400</v>
      </c>
      <c r="H236" s="159"/>
      <c r="I236" s="154" t="s">
        <v>142</v>
      </c>
      <c r="J236" s="155"/>
      <c r="K236" s="158">
        <v>2032007.93</v>
      </c>
    </row>
    <row r="237" spans="1:12" x14ac:dyDescent="0.2">
      <c r="A237" s="159"/>
      <c r="B237" s="154" t="s">
        <v>142</v>
      </c>
      <c r="C237" s="155"/>
      <c r="D237" s="158">
        <v>400000</v>
      </c>
      <c r="H237" s="159"/>
      <c r="I237" s="154" t="s">
        <v>143</v>
      </c>
      <c r="J237" s="155"/>
      <c r="K237" s="155"/>
    </row>
    <row r="238" spans="1:12" ht="33.75" x14ac:dyDescent="0.2">
      <c r="A238" s="159"/>
      <c r="B238" s="154" t="s">
        <v>143</v>
      </c>
      <c r="C238" s="155"/>
      <c r="D238" s="155"/>
      <c r="H238" s="173" t="s">
        <v>412</v>
      </c>
      <c r="I238" s="173" t="s">
        <v>141</v>
      </c>
      <c r="J238" s="174"/>
      <c r="K238" s="174"/>
      <c r="L238" s="175"/>
    </row>
    <row r="239" spans="1:12" x14ac:dyDescent="0.2">
      <c r="A239" s="173" t="s">
        <v>401</v>
      </c>
      <c r="B239" s="173" t="s">
        <v>141</v>
      </c>
      <c r="C239" s="174"/>
      <c r="D239" s="174"/>
      <c r="H239" s="156"/>
      <c r="I239" s="157">
        <v>3100</v>
      </c>
      <c r="J239" s="155"/>
      <c r="K239" s="158">
        <v>1522028.33</v>
      </c>
      <c r="L239" s="31">
        <f>ROUND(K239/1000,0)</f>
        <v>1522</v>
      </c>
    </row>
    <row r="240" spans="1:12" x14ac:dyDescent="0.2">
      <c r="A240" s="156"/>
      <c r="B240" s="157">
        <v>3300</v>
      </c>
      <c r="C240" s="155"/>
      <c r="D240" s="158">
        <v>42000</v>
      </c>
      <c r="H240" s="161"/>
      <c r="I240" s="157">
        <v>3130</v>
      </c>
      <c r="J240" s="155"/>
      <c r="K240" s="158">
        <v>1522028.33</v>
      </c>
    </row>
    <row r="241" spans="1:13" x14ac:dyDescent="0.2">
      <c r="A241" s="161"/>
      <c r="B241" s="157">
        <v>3310</v>
      </c>
      <c r="C241" s="155"/>
      <c r="D241" s="158">
        <v>42000</v>
      </c>
      <c r="E241" s="31">
        <f>ROUND(D241/1000,0)</f>
        <v>42</v>
      </c>
      <c r="F241" s="61" t="s">
        <v>364</v>
      </c>
      <c r="H241" s="159"/>
      <c r="I241" s="154" t="s">
        <v>142</v>
      </c>
      <c r="J241" s="155"/>
      <c r="K241" s="158">
        <v>1522028.33</v>
      </c>
    </row>
    <row r="242" spans="1:13" x14ac:dyDescent="0.2">
      <c r="A242" s="159"/>
      <c r="B242" s="154" t="s">
        <v>142</v>
      </c>
      <c r="C242" s="155"/>
      <c r="D242" s="158">
        <v>42000</v>
      </c>
      <c r="H242" s="159"/>
      <c r="I242" s="154" t="s">
        <v>143</v>
      </c>
      <c r="J242" s="155"/>
      <c r="K242" s="155"/>
    </row>
    <row r="243" spans="1:13" ht="33.75" x14ac:dyDescent="0.2">
      <c r="A243" s="159"/>
      <c r="B243" s="154" t="s">
        <v>143</v>
      </c>
      <c r="C243" s="155"/>
      <c r="D243" s="155"/>
      <c r="H243" s="173" t="s">
        <v>413</v>
      </c>
      <c r="I243" s="173" t="s">
        <v>141</v>
      </c>
      <c r="J243" s="174"/>
      <c r="K243" s="174"/>
      <c r="L243" s="175"/>
    </row>
    <row r="244" spans="1:13" x14ac:dyDescent="0.2">
      <c r="A244" s="173" t="s">
        <v>415</v>
      </c>
      <c r="B244" s="173" t="s">
        <v>141</v>
      </c>
      <c r="C244" s="174"/>
      <c r="D244" s="174"/>
      <c r="H244" s="156"/>
      <c r="I244" s="157">
        <v>3200</v>
      </c>
      <c r="J244" s="155"/>
      <c r="K244" s="158">
        <v>9291581.1600000001</v>
      </c>
      <c r="L244" s="31">
        <f>ROUND(K244/1000,0)</f>
        <v>9292</v>
      </c>
    </row>
    <row r="245" spans="1:13" x14ac:dyDescent="0.2">
      <c r="A245" s="156"/>
      <c r="B245" s="157">
        <v>1200</v>
      </c>
      <c r="C245" s="155"/>
      <c r="D245" s="158">
        <v>294280</v>
      </c>
      <c r="H245" s="161"/>
      <c r="I245" s="157">
        <v>3210</v>
      </c>
      <c r="J245" s="155"/>
      <c r="K245" s="158">
        <v>1981094</v>
      </c>
      <c r="L245" s="31">
        <f t="shared" ref="L245:L250" si="3">ROUND(K245/1000,0)</f>
        <v>1981</v>
      </c>
    </row>
    <row r="246" spans="1:13" x14ac:dyDescent="0.2">
      <c r="A246" s="161"/>
      <c r="B246" s="157">
        <v>1250</v>
      </c>
      <c r="C246" s="155"/>
      <c r="D246" s="158">
        <v>294280</v>
      </c>
      <c r="H246" s="166"/>
      <c r="I246" s="157">
        <v>3211</v>
      </c>
      <c r="J246" s="155"/>
      <c r="K246" s="158">
        <v>1005290</v>
      </c>
      <c r="L246" s="31">
        <f t="shared" si="3"/>
        <v>1005</v>
      </c>
    </row>
    <row r="247" spans="1:13" x14ac:dyDescent="0.2">
      <c r="A247" s="166"/>
      <c r="B247" s="157">
        <v>1251</v>
      </c>
      <c r="C247" s="155"/>
      <c r="D247" s="158">
        <v>294280</v>
      </c>
      <c r="E247" s="31">
        <f>ROUND(D247/1000,0)</f>
        <v>294</v>
      </c>
      <c r="H247" s="166"/>
      <c r="I247" s="157">
        <v>3212</v>
      </c>
      <c r="J247" s="155"/>
      <c r="K247" s="158">
        <v>264008</v>
      </c>
      <c r="L247" s="31">
        <f t="shared" si="3"/>
        <v>264</v>
      </c>
    </row>
    <row r="248" spans="1:13" x14ac:dyDescent="0.2">
      <c r="A248" s="159"/>
      <c r="B248" s="154" t="s">
        <v>142</v>
      </c>
      <c r="C248" s="155"/>
      <c r="D248" s="158">
        <v>294280</v>
      </c>
      <c r="H248" s="166"/>
      <c r="I248" s="157">
        <v>3213</v>
      </c>
      <c r="J248" s="155"/>
      <c r="K248" s="158">
        <v>711796</v>
      </c>
      <c r="L248" s="31">
        <f t="shared" si="3"/>
        <v>712</v>
      </c>
    </row>
    <row r="249" spans="1:13" x14ac:dyDescent="0.2">
      <c r="A249" s="159"/>
      <c r="B249" s="154" t="s">
        <v>143</v>
      </c>
      <c r="C249" s="155"/>
      <c r="D249" s="155"/>
      <c r="H249" s="161"/>
      <c r="I249" s="186">
        <v>3220</v>
      </c>
      <c r="J249" s="187"/>
      <c r="K249" s="183">
        <v>7310487.1600000001</v>
      </c>
      <c r="L249" s="184">
        <f t="shared" si="3"/>
        <v>7310</v>
      </c>
      <c r="M249" s="31">
        <f>L250-L249</f>
        <v>1982</v>
      </c>
    </row>
    <row r="250" spans="1:13" ht="22.5" x14ac:dyDescent="0.2">
      <c r="A250" s="173" t="s">
        <v>406</v>
      </c>
      <c r="B250" s="173" t="s">
        <v>141</v>
      </c>
      <c r="C250" s="174"/>
      <c r="D250" s="174"/>
      <c r="H250" s="159"/>
      <c r="I250" s="154" t="s">
        <v>142</v>
      </c>
      <c r="J250" s="155"/>
      <c r="K250" s="158">
        <v>9291581.1600000001</v>
      </c>
      <c r="L250" s="31">
        <f t="shared" si="3"/>
        <v>9292</v>
      </c>
    </row>
    <row r="251" spans="1:13" x14ac:dyDescent="0.2">
      <c r="A251" s="156"/>
      <c r="B251" s="157">
        <v>3300</v>
      </c>
      <c r="C251" s="155"/>
      <c r="D251" s="158">
        <v>1635181.14</v>
      </c>
      <c r="H251" s="159"/>
      <c r="I251" s="154" t="s">
        <v>143</v>
      </c>
      <c r="J251" s="155"/>
      <c r="K251" s="155"/>
    </row>
    <row r="252" spans="1:13" x14ac:dyDescent="0.2">
      <c r="A252" s="161"/>
      <c r="B252" s="157">
        <v>3310</v>
      </c>
      <c r="C252" s="155"/>
      <c r="D252" s="158">
        <v>7550</v>
      </c>
      <c r="E252" s="31">
        <f>ROUND(D252/1000,0)</f>
        <v>8</v>
      </c>
      <c r="H252" s="160"/>
      <c r="I252" s="151" t="s">
        <v>142</v>
      </c>
      <c r="J252" s="152">
        <v>116562947.25</v>
      </c>
      <c r="K252" s="152">
        <v>121770693.34999999</v>
      </c>
    </row>
    <row r="253" spans="1:13" x14ac:dyDescent="0.2">
      <c r="A253" s="161"/>
      <c r="B253" s="157">
        <v>3380</v>
      </c>
      <c r="C253" s="155"/>
      <c r="D253" s="158">
        <v>1627631.14</v>
      </c>
      <c r="E253" s="31">
        <f>ROUND(D253/1000,0)</f>
        <v>1628</v>
      </c>
      <c r="H253" s="160"/>
      <c r="I253" s="151" t="s">
        <v>143</v>
      </c>
      <c r="J253" s="152">
        <v>1221746.95</v>
      </c>
      <c r="K253" s="153"/>
    </row>
    <row r="254" spans="1:13" ht="33.75" x14ac:dyDescent="0.2">
      <c r="A254" s="166"/>
      <c r="B254" s="157">
        <v>338081</v>
      </c>
      <c r="C254" s="155"/>
      <c r="D254" s="158">
        <v>718804.35</v>
      </c>
      <c r="E254" s="31">
        <f>ROUND(D254/1000,0)</f>
        <v>719</v>
      </c>
      <c r="H254" s="151" t="s">
        <v>414</v>
      </c>
      <c r="I254" s="151" t="s">
        <v>141</v>
      </c>
      <c r="J254" s="152">
        <v>661015.96</v>
      </c>
      <c r="K254" s="153"/>
    </row>
    <row r="255" spans="1:13" ht="22.5" x14ac:dyDescent="0.2">
      <c r="A255" s="166"/>
      <c r="B255" s="157">
        <v>338084</v>
      </c>
      <c r="C255" s="155"/>
      <c r="D255" s="158">
        <v>908826.79</v>
      </c>
      <c r="E255" s="31">
        <f>ROUND(D255/1000,0)</f>
        <v>909</v>
      </c>
      <c r="H255" s="176" t="s">
        <v>390</v>
      </c>
      <c r="I255" s="176" t="s">
        <v>141</v>
      </c>
      <c r="J255" s="177"/>
      <c r="K255" s="177"/>
    </row>
    <row r="256" spans="1:13" x14ac:dyDescent="0.2">
      <c r="A256" s="159"/>
      <c r="B256" s="154" t="s">
        <v>142</v>
      </c>
      <c r="C256" s="155"/>
      <c r="D256" s="158">
        <v>1635181.14</v>
      </c>
      <c r="E256" s="31">
        <f>ROUND(D256/1000,0)</f>
        <v>1635</v>
      </c>
      <c r="H256" s="156"/>
      <c r="I256" s="157">
        <v>1200</v>
      </c>
      <c r="J256" s="155"/>
      <c r="K256" s="158">
        <v>409353</v>
      </c>
    </row>
    <row r="257" spans="1:15" x14ac:dyDescent="0.2">
      <c r="A257" s="159"/>
      <c r="B257" s="154" t="s">
        <v>143</v>
      </c>
      <c r="C257" s="155"/>
      <c r="D257" s="155"/>
      <c r="H257" s="161"/>
      <c r="I257" s="157">
        <v>1250</v>
      </c>
      <c r="J257" s="155"/>
      <c r="K257" s="158">
        <v>409353</v>
      </c>
    </row>
    <row r="258" spans="1:15" ht="22.5" x14ac:dyDescent="0.2">
      <c r="A258" s="173" t="s">
        <v>408</v>
      </c>
      <c r="B258" s="173" t="s">
        <v>141</v>
      </c>
      <c r="C258" s="174"/>
      <c r="D258" s="174"/>
      <c r="H258" s="166"/>
      <c r="I258" s="157">
        <v>1251</v>
      </c>
      <c r="J258" s="155"/>
      <c r="K258" s="158">
        <v>409353</v>
      </c>
      <c r="L258" s="31">
        <f>ROUND(K258/1000,0)</f>
        <v>409</v>
      </c>
    </row>
    <row r="259" spans="1:15" x14ac:dyDescent="0.2">
      <c r="A259" s="156"/>
      <c r="B259" s="157">
        <v>1200</v>
      </c>
      <c r="C259" s="158">
        <v>11583126.630000001</v>
      </c>
      <c r="D259" s="155"/>
      <c r="E259" s="31">
        <f>ROUND(C259/1000,0)</f>
        <v>11583</v>
      </c>
      <c r="H259" s="159"/>
      <c r="I259" s="154" t="s">
        <v>142</v>
      </c>
      <c r="J259" s="155"/>
      <c r="K259" s="158">
        <v>409353</v>
      </c>
    </row>
    <row r="260" spans="1:15" x14ac:dyDescent="0.2">
      <c r="A260" s="161"/>
      <c r="B260" s="157">
        <v>1210</v>
      </c>
      <c r="C260" s="158">
        <v>2530968.34</v>
      </c>
      <c r="D260" s="155"/>
      <c r="E260" s="31">
        <f>ROUND(C260/1000,0)</f>
        <v>2531</v>
      </c>
      <c r="H260" s="159"/>
      <c r="I260" s="154" t="s">
        <v>143</v>
      </c>
      <c r="J260" s="155"/>
      <c r="K260" s="155"/>
    </row>
    <row r="261" spans="1:15" ht="22.5" x14ac:dyDescent="0.2">
      <c r="A261" s="161"/>
      <c r="B261" s="157">
        <v>1270</v>
      </c>
      <c r="C261" s="158">
        <v>9052158.2899999991</v>
      </c>
      <c r="D261" s="155"/>
      <c r="E261" s="31"/>
      <c r="H261" s="173" t="s">
        <v>387</v>
      </c>
      <c r="I261" s="173" t="s">
        <v>141</v>
      </c>
      <c r="J261" s="174"/>
      <c r="K261" s="174"/>
    </row>
    <row r="262" spans="1:15" x14ac:dyDescent="0.2">
      <c r="A262" s="166"/>
      <c r="B262" s="157">
        <v>127082</v>
      </c>
      <c r="C262" s="158">
        <v>9031530</v>
      </c>
      <c r="D262" s="155"/>
      <c r="E262" s="31">
        <f>ROUND(C262/1000,0)</f>
        <v>9032</v>
      </c>
      <c r="H262" s="156"/>
      <c r="I262" s="157">
        <v>3300</v>
      </c>
      <c r="J262" s="155"/>
      <c r="K262" s="158">
        <v>56819293.090000004</v>
      </c>
    </row>
    <row r="263" spans="1:15" x14ac:dyDescent="0.2">
      <c r="A263" s="166"/>
      <c r="B263" s="157">
        <v>127084</v>
      </c>
      <c r="C263" s="158">
        <v>20628.29</v>
      </c>
      <c r="D263" s="155"/>
      <c r="E263" s="31">
        <f>ROUND(C263/1000,0)</f>
        <v>21</v>
      </c>
      <c r="H263" s="161"/>
      <c r="I263" s="157">
        <v>3350</v>
      </c>
      <c r="J263" s="155"/>
      <c r="K263" s="158">
        <v>56819293.090000004</v>
      </c>
      <c r="L263" s="31">
        <f>ROUND(K263/1000,0)</f>
        <v>56819</v>
      </c>
    </row>
    <row r="264" spans="1:15" x14ac:dyDescent="0.2">
      <c r="A264" s="159"/>
      <c r="B264" s="154" t="s">
        <v>142</v>
      </c>
      <c r="C264" s="158">
        <v>11583126.630000001</v>
      </c>
      <c r="D264" s="155"/>
      <c r="H264" s="159"/>
      <c r="I264" s="154" t="s">
        <v>142</v>
      </c>
      <c r="J264" s="155"/>
      <c r="K264" s="158">
        <v>56819293.090000004</v>
      </c>
    </row>
    <row r="265" spans="1:15" x14ac:dyDescent="0.2">
      <c r="A265" s="159"/>
      <c r="B265" s="154" t="s">
        <v>143</v>
      </c>
      <c r="C265" s="155"/>
      <c r="D265" s="155"/>
      <c r="H265" s="159"/>
      <c r="I265" s="154" t="s">
        <v>143</v>
      </c>
      <c r="J265" s="155"/>
      <c r="K265" s="155"/>
    </row>
    <row r="266" spans="1:15" ht="33.75" x14ac:dyDescent="0.2">
      <c r="A266" s="173" t="s">
        <v>51</v>
      </c>
      <c r="B266" s="173" t="s">
        <v>141</v>
      </c>
      <c r="C266" s="174"/>
      <c r="D266" s="174"/>
      <c r="E266" s="175"/>
      <c r="H266" s="176" t="s">
        <v>391</v>
      </c>
      <c r="I266" s="176" t="s">
        <v>141</v>
      </c>
      <c r="J266" s="177"/>
      <c r="K266" s="177"/>
    </row>
    <row r="267" spans="1:15" x14ac:dyDescent="0.2">
      <c r="A267" s="156"/>
      <c r="B267" s="157">
        <v>1600</v>
      </c>
      <c r="C267" s="155"/>
      <c r="D267" s="158">
        <v>860979</v>
      </c>
      <c r="H267" s="156"/>
      <c r="I267" s="157">
        <v>1600</v>
      </c>
      <c r="J267" s="155"/>
      <c r="K267" s="158">
        <v>548700</v>
      </c>
      <c r="M267" s="179">
        <v>227600</v>
      </c>
      <c r="N267" s="61" t="s">
        <v>431</v>
      </c>
      <c r="O267" s="31">
        <f>ROUND(M267/1000,0)</f>
        <v>228</v>
      </c>
    </row>
    <row r="268" spans="1:15" x14ac:dyDescent="0.2">
      <c r="A268" s="161"/>
      <c r="B268" s="157">
        <v>1610</v>
      </c>
      <c r="C268" s="155"/>
      <c r="D268" s="158">
        <v>860979</v>
      </c>
      <c r="H268" s="161"/>
      <c r="I268" s="157">
        <v>1610</v>
      </c>
      <c r="J268" s="155"/>
      <c r="K268" s="158">
        <v>548700</v>
      </c>
      <c r="M268" s="180">
        <f>K269-M267</f>
        <v>321100</v>
      </c>
      <c r="N268" s="61" t="s">
        <v>432</v>
      </c>
      <c r="O268" s="31">
        <f>ROUND(M268/1000,0)</f>
        <v>321</v>
      </c>
    </row>
    <row r="269" spans="1:15" x14ac:dyDescent="0.2">
      <c r="A269" s="166"/>
      <c r="B269" s="157">
        <v>161001</v>
      </c>
      <c r="C269" s="155"/>
      <c r="D269" s="158">
        <v>860979</v>
      </c>
      <c r="E269" s="31">
        <f>ROUND(D269/1000,0)</f>
        <v>861</v>
      </c>
      <c r="H269" s="166"/>
      <c r="I269" s="157">
        <v>161001</v>
      </c>
      <c r="J269" s="155"/>
      <c r="K269" s="158">
        <v>548700</v>
      </c>
      <c r="L269" s="31">
        <f>ROUND(K269/1000,0)</f>
        <v>549</v>
      </c>
    </row>
    <row r="270" spans="1:15" x14ac:dyDescent="0.2">
      <c r="A270" s="159"/>
      <c r="B270" s="154" t="s">
        <v>142</v>
      </c>
      <c r="C270" s="155"/>
      <c r="D270" s="158">
        <v>860979</v>
      </c>
      <c r="H270" s="159"/>
      <c r="I270" s="154" t="s">
        <v>142</v>
      </c>
      <c r="J270" s="155"/>
      <c r="K270" s="158">
        <v>548700</v>
      </c>
    </row>
    <row r="271" spans="1:15" x14ac:dyDescent="0.2">
      <c r="A271" s="159"/>
      <c r="B271" s="154" t="s">
        <v>143</v>
      </c>
      <c r="C271" s="155"/>
      <c r="D271" s="155"/>
      <c r="H271" s="159"/>
      <c r="I271" s="154" t="s">
        <v>143</v>
      </c>
      <c r="J271" s="155"/>
      <c r="K271" s="155"/>
    </row>
    <row r="272" spans="1:15" ht="33.75" x14ac:dyDescent="0.2">
      <c r="A272" s="154" t="s">
        <v>409</v>
      </c>
      <c r="B272" s="154" t="s">
        <v>141</v>
      </c>
      <c r="C272" s="155"/>
      <c r="D272" s="155"/>
      <c r="H272" s="176" t="s">
        <v>396</v>
      </c>
      <c r="I272" s="176" t="s">
        <v>141</v>
      </c>
      <c r="J272" s="177"/>
      <c r="K272" s="177"/>
    </row>
    <row r="273" spans="1:12" x14ac:dyDescent="0.2">
      <c r="A273" s="156"/>
      <c r="B273" s="157">
        <v>1000</v>
      </c>
      <c r="C273" s="155"/>
      <c r="D273" s="181">
        <v>13000000</v>
      </c>
      <c r="H273" s="156"/>
      <c r="I273" s="157">
        <v>1600</v>
      </c>
      <c r="J273" s="155"/>
      <c r="K273" s="158">
        <v>117255</v>
      </c>
    </row>
    <row r="274" spans="1:12" x14ac:dyDescent="0.2">
      <c r="A274" s="161"/>
      <c r="B274" s="157">
        <v>1030</v>
      </c>
      <c r="C274" s="155"/>
      <c r="D274" s="158">
        <v>13000000</v>
      </c>
      <c r="E274" s="48">
        <f>ROUND(D274/1000,0)</f>
        <v>13000</v>
      </c>
      <c r="H274" s="161"/>
      <c r="I274" s="157">
        <v>1610</v>
      </c>
      <c r="J274" s="155"/>
      <c r="K274" s="158">
        <v>117255</v>
      </c>
    </row>
    <row r="275" spans="1:12" x14ac:dyDescent="0.2">
      <c r="A275" s="159"/>
      <c r="B275" s="154" t="s">
        <v>142</v>
      </c>
      <c r="C275" s="155"/>
      <c r="D275" s="158">
        <v>13000000</v>
      </c>
      <c r="H275" s="166"/>
      <c r="I275" s="157">
        <v>161001</v>
      </c>
      <c r="J275" s="155"/>
      <c r="K275" s="158">
        <v>117255</v>
      </c>
      <c r="L275" s="31">
        <f>ROUND(K275/1000,0)</f>
        <v>117</v>
      </c>
    </row>
    <row r="276" spans="1:12" x14ac:dyDescent="0.2">
      <c r="A276" s="159"/>
      <c r="B276" s="154" t="s">
        <v>143</v>
      </c>
      <c r="C276" s="155"/>
      <c r="D276" s="155"/>
      <c r="H276" s="159"/>
      <c r="I276" s="154" t="s">
        <v>142</v>
      </c>
      <c r="J276" s="155"/>
      <c r="K276" s="158">
        <v>117255</v>
      </c>
    </row>
    <row r="277" spans="1:12" x14ac:dyDescent="0.2">
      <c r="A277" s="154" t="s">
        <v>388</v>
      </c>
      <c r="B277" s="154" t="s">
        <v>141</v>
      </c>
      <c r="C277" s="155"/>
      <c r="D277" s="155"/>
      <c r="H277" s="159"/>
      <c r="I277" s="154" t="s">
        <v>143</v>
      </c>
      <c r="J277" s="155"/>
      <c r="K277" s="155"/>
    </row>
    <row r="278" spans="1:12" ht="33.75" x14ac:dyDescent="0.2">
      <c r="A278" s="156"/>
      <c r="B278" s="157">
        <v>1000</v>
      </c>
      <c r="C278" s="181">
        <v>500000</v>
      </c>
      <c r="D278" s="155"/>
      <c r="H278" s="173" t="s">
        <v>397</v>
      </c>
      <c r="I278" s="173" t="s">
        <v>141</v>
      </c>
      <c r="J278" s="174"/>
      <c r="K278" s="174"/>
    </row>
    <row r="279" spans="1:12" x14ac:dyDescent="0.2">
      <c r="A279" s="161"/>
      <c r="B279" s="157">
        <v>1030</v>
      </c>
      <c r="C279" s="158">
        <v>500000</v>
      </c>
      <c r="D279" s="155"/>
      <c r="E279" s="48">
        <f>ROUND(C279/1000,0)</f>
        <v>500</v>
      </c>
      <c r="H279" s="156"/>
      <c r="I279" s="157">
        <v>1200</v>
      </c>
      <c r="J279" s="155"/>
      <c r="K279" s="158">
        <v>825020.54</v>
      </c>
    </row>
    <row r="280" spans="1:12" x14ac:dyDescent="0.2">
      <c r="A280" s="159"/>
      <c r="B280" s="154" t="s">
        <v>142</v>
      </c>
      <c r="C280" s="158">
        <v>500000</v>
      </c>
      <c r="D280" s="155"/>
      <c r="H280" s="161"/>
      <c r="I280" s="157">
        <v>1250</v>
      </c>
      <c r="J280" s="155"/>
      <c r="K280" s="158">
        <v>825020.54</v>
      </c>
    </row>
    <row r="281" spans="1:12" x14ac:dyDescent="0.2">
      <c r="A281" s="159"/>
      <c r="B281" s="154" t="s">
        <v>143</v>
      </c>
      <c r="C281" s="155"/>
      <c r="D281" s="155"/>
      <c r="H281" s="166"/>
      <c r="I281" s="157">
        <v>1251</v>
      </c>
      <c r="J281" s="155"/>
      <c r="K281" s="158">
        <v>825020.54</v>
      </c>
      <c r="L281" s="31">
        <f>ROUND(K281/1000,0)</f>
        <v>825</v>
      </c>
    </row>
    <row r="282" spans="1:12" x14ac:dyDescent="0.2">
      <c r="A282" s="154" t="s">
        <v>388</v>
      </c>
      <c r="B282" s="154" t="s">
        <v>141</v>
      </c>
      <c r="C282" s="155"/>
      <c r="D282" s="155"/>
      <c r="H282" s="156"/>
      <c r="I282" s="157">
        <v>3300</v>
      </c>
      <c r="J282" s="155"/>
      <c r="K282" s="158">
        <v>5000</v>
      </c>
    </row>
    <row r="283" spans="1:12" x14ac:dyDescent="0.2">
      <c r="A283" s="156"/>
      <c r="B283" s="157">
        <v>1000</v>
      </c>
      <c r="C283" s="181">
        <v>48000000</v>
      </c>
      <c r="D283" s="155"/>
      <c r="H283" s="161"/>
      <c r="I283" s="157">
        <v>3310</v>
      </c>
      <c r="J283" s="155"/>
      <c r="K283" s="158">
        <v>5000</v>
      </c>
      <c r="L283" s="31">
        <f>ROUND(K283/1000,0)</f>
        <v>5</v>
      </c>
    </row>
    <row r="284" spans="1:12" x14ac:dyDescent="0.2">
      <c r="A284" s="161"/>
      <c r="B284" s="157">
        <v>1030</v>
      </c>
      <c r="C284" s="158">
        <v>48000000</v>
      </c>
      <c r="D284" s="155"/>
      <c r="E284" s="48">
        <f>ROUND(C284/1000,0)</f>
        <v>48000</v>
      </c>
      <c r="H284" s="159"/>
      <c r="I284" s="154" t="s">
        <v>142</v>
      </c>
      <c r="J284" s="155"/>
      <c r="K284" s="158">
        <v>830020.54</v>
      </c>
      <c r="L284" s="31">
        <f>ROUND(K284/1000,0)</f>
        <v>830</v>
      </c>
    </row>
    <row r="285" spans="1:12" x14ac:dyDescent="0.2">
      <c r="A285" s="159"/>
      <c r="B285" s="154" t="s">
        <v>142</v>
      </c>
      <c r="C285" s="158">
        <v>48000000</v>
      </c>
      <c r="D285" s="155"/>
      <c r="H285" s="159"/>
      <c r="I285" s="154" t="s">
        <v>143</v>
      </c>
      <c r="J285" s="155"/>
      <c r="K285" s="155"/>
    </row>
    <row r="286" spans="1:12" ht="22.5" x14ac:dyDescent="0.2">
      <c r="A286" s="159"/>
      <c r="B286" s="154" t="s">
        <v>143</v>
      </c>
      <c r="C286" s="155"/>
      <c r="D286" s="155"/>
      <c r="H286" s="173" t="s">
        <v>399</v>
      </c>
      <c r="I286" s="173" t="s">
        <v>141</v>
      </c>
      <c r="J286" s="174"/>
      <c r="K286" s="174"/>
      <c r="L286" s="175"/>
    </row>
    <row r="287" spans="1:12" x14ac:dyDescent="0.2">
      <c r="A287" s="160"/>
      <c r="B287" s="151" t="s">
        <v>142</v>
      </c>
      <c r="C287" s="152">
        <v>60083126.630000003</v>
      </c>
      <c r="D287" s="152">
        <v>63556116.280000001</v>
      </c>
      <c r="H287" s="156"/>
      <c r="I287" s="157">
        <v>1600</v>
      </c>
      <c r="J287" s="155"/>
      <c r="K287" s="158">
        <v>757560</v>
      </c>
    </row>
    <row r="288" spans="1:12" x14ac:dyDescent="0.2">
      <c r="A288" s="160"/>
      <c r="B288" s="151" t="s">
        <v>143</v>
      </c>
      <c r="C288" s="152">
        <v>194446.97</v>
      </c>
      <c r="D288" s="153"/>
      <c r="H288" s="161"/>
      <c r="I288" s="157">
        <v>1610</v>
      </c>
      <c r="J288" s="155"/>
      <c r="K288" s="158">
        <v>757560</v>
      </c>
    </row>
    <row r="289" spans="1:12" x14ac:dyDescent="0.2">
      <c r="A289" s="151" t="s">
        <v>416</v>
      </c>
      <c r="B289" s="151" t="s">
        <v>141</v>
      </c>
      <c r="C289" s="152">
        <v>1702629.31</v>
      </c>
      <c r="D289" s="153"/>
      <c r="H289" s="166"/>
      <c r="I289" s="157">
        <v>161001</v>
      </c>
      <c r="J289" s="155"/>
      <c r="K289" s="158">
        <v>757560</v>
      </c>
      <c r="L289" s="31">
        <f>ROUND(K289/1000,0)</f>
        <v>758</v>
      </c>
    </row>
    <row r="290" spans="1:12" x14ac:dyDescent="0.2">
      <c r="A290" s="154" t="s">
        <v>409</v>
      </c>
      <c r="B290" s="154" t="s">
        <v>141</v>
      </c>
      <c r="C290" s="155"/>
      <c r="D290" s="155"/>
      <c r="H290" s="159"/>
      <c r="I290" s="154" t="s">
        <v>142</v>
      </c>
      <c r="J290" s="155"/>
      <c r="K290" s="158">
        <v>757560</v>
      </c>
    </row>
    <row r="291" spans="1:12" x14ac:dyDescent="0.2">
      <c r="A291" s="156"/>
      <c r="B291" s="157">
        <v>1000</v>
      </c>
      <c r="C291" s="155"/>
      <c r="D291" s="158">
        <v>130800000</v>
      </c>
      <c r="H291" s="159"/>
      <c r="I291" s="154" t="s">
        <v>143</v>
      </c>
      <c r="J291" s="155"/>
      <c r="K291" s="155"/>
    </row>
    <row r="292" spans="1:12" ht="22.5" x14ac:dyDescent="0.2">
      <c r="A292" s="161"/>
      <c r="B292" s="157">
        <v>1030</v>
      </c>
      <c r="C292" s="155"/>
      <c r="D292" s="181">
        <v>130800000</v>
      </c>
      <c r="E292" s="48">
        <f>ROUND(D292/1000,0)</f>
        <v>130800</v>
      </c>
      <c r="H292" s="176" t="s">
        <v>400</v>
      </c>
      <c r="I292" s="176" t="s">
        <v>141</v>
      </c>
      <c r="J292" s="177"/>
      <c r="K292" s="177"/>
      <c r="L292" s="178"/>
    </row>
    <row r="293" spans="1:12" x14ac:dyDescent="0.2">
      <c r="A293" s="156"/>
      <c r="B293" s="157">
        <v>1600</v>
      </c>
      <c r="C293" s="155"/>
      <c r="D293" s="158">
        <v>112155383.45</v>
      </c>
      <c r="H293" s="156"/>
      <c r="I293" s="157">
        <v>3300</v>
      </c>
      <c r="J293" s="155"/>
      <c r="K293" s="158">
        <v>171549.74</v>
      </c>
    </row>
    <row r="294" spans="1:12" x14ac:dyDescent="0.2">
      <c r="A294" s="161"/>
      <c r="B294" s="157">
        <v>1610</v>
      </c>
      <c r="C294" s="155"/>
      <c r="D294" s="193">
        <v>112155383.45</v>
      </c>
      <c r="E294" s="38">
        <f>ROUND(D294/1000,0)</f>
        <v>112155</v>
      </c>
      <c r="H294" s="161"/>
      <c r="I294" s="157">
        <v>3310</v>
      </c>
      <c r="J294" s="155"/>
      <c r="K294" s="158">
        <v>171549.74</v>
      </c>
      <c r="L294" s="31">
        <f>ROUND(K294/1000,0)</f>
        <v>172</v>
      </c>
    </row>
    <row r="295" spans="1:12" x14ac:dyDescent="0.2">
      <c r="A295" s="166"/>
      <c r="B295" s="157">
        <v>161002</v>
      </c>
      <c r="C295" s="155"/>
      <c r="D295" s="158">
        <v>112155383.45</v>
      </c>
      <c r="H295" s="159"/>
      <c r="I295" s="154" t="s">
        <v>142</v>
      </c>
      <c r="J295" s="155"/>
      <c r="K295" s="158">
        <v>171549.74</v>
      </c>
    </row>
    <row r="296" spans="1:12" x14ac:dyDescent="0.2">
      <c r="A296" s="159"/>
      <c r="B296" s="154" t="s">
        <v>142</v>
      </c>
      <c r="C296" s="155"/>
      <c r="D296" s="158">
        <v>242955383.44999999</v>
      </c>
      <c r="H296" s="159"/>
      <c r="I296" s="154" t="s">
        <v>143</v>
      </c>
      <c r="J296" s="155"/>
      <c r="K296" s="155"/>
    </row>
    <row r="297" spans="1:12" ht="22.5" x14ac:dyDescent="0.2">
      <c r="A297" s="159"/>
      <c r="B297" s="154" t="s">
        <v>143</v>
      </c>
      <c r="C297" s="155"/>
      <c r="D297" s="155"/>
      <c r="H297" s="173" t="s">
        <v>406</v>
      </c>
      <c r="I297" s="173" t="s">
        <v>141</v>
      </c>
      <c r="J297" s="174"/>
      <c r="K297" s="174"/>
    </row>
    <row r="298" spans="1:12" x14ac:dyDescent="0.2">
      <c r="A298" s="154" t="s">
        <v>388</v>
      </c>
      <c r="B298" s="154" t="s">
        <v>141</v>
      </c>
      <c r="C298" s="155"/>
      <c r="D298" s="155"/>
      <c r="H298" s="156"/>
      <c r="I298" s="157">
        <v>1600</v>
      </c>
      <c r="J298" s="155"/>
      <c r="K298" s="158">
        <v>7600</v>
      </c>
    </row>
    <row r="299" spans="1:12" x14ac:dyDescent="0.2">
      <c r="A299" s="156"/>
      <c r="B299" s="157">
        <v>1000</v>
      </c>
      <c r="C299" s="181">
        <v>30000000</v>
      </c>
      <c r="D299" s="155"/>
      <c r="E299" s="48">
        <f>ROUND(C299/1000,0)</f>
        <v>30000</v>
      </c>
      <c r="H299" s="161"/>
      <c r="I299" s="157">
        <v>1610</v>
      </c>
      <c r="J299" s="155"/>
      <c r="K299" s="158">
        <v>7600</v>
      </c>
    </row>
    <row r="300" spans="1:12" x14ac:dyDescent="0.2">
      <c r="A300" s="161"/>
      <c r="B300" s="157">
        <v>1030</v>
      </c>
      <c r="C300" s="158">
        <v>30000000</v>
      </c>
      <c r="D300" s="155"/>
      <c r="H300" s="166"/>
      <c r="I300" s="157">
        <v>161001</v>
      </c>
      <c r="J300" s="155"/>
      <c r="K300" s="158">
        <v>7600</v>
      </c>
      <c r="L300" s="31">
        <f>ROUND(K300/1000,0)</f>
        <v>8</v>
      </c>
    </row>
    <row r="301" spans="1:12" x14ac:dyDescent="0.2">
      <c r="A301" s="156"/>
      <c r="B301" s="157">
        <v>1600</v>
      </c>
      <c r="C301" s="193">
        <v>28000000</v>
      </c>
      <c r="D301" s="155"/>
      <c r="H301" s="156"/>
      <c r="I301" s="157">
        <v>3300</v>
      </c>
      <c r="J301" s="155"/>
      <c r="K301" s="158">
        <v>213350</v>
      </c>
      <c r="L301" s="31">
        <f>ROUND(K301/1000,0)</f>
        <v>213</v>
      </c>
    </row>
    <row r="302" spans="1:12" x14ac:dyDescent="0.2">
      <c r="A302" s="161"/>
      <c r="B302" s="157">
        <v>1610</v>
      </c>
      <c r="C302" s="158">
        <v>28000000</v>
      </c>
      <c r="D302" s="155"/>
      <c r="E302" s="38">
        <f>ROUND(C302/1000,0)</f>
        <v>28000</v>
      </c>
      <c r="H302" s="161"/>
      <c r="I302" s="157">
        <v>3310</v>
      </c>
      <c r="J302" s="155"/>
      <c r="K302" s="158">
        <v>213350</v>
      </c>
    </row>
    <row r="303" spans="1:12" x14ac:dyDescent="0.2">
      <c r="A303" s="166"/>
      <c r="B303" s="157">
        <v>161002</v>
      </c>
      <c r="C303" s="158">
        <v>28000000</v>
      </c>
      <c r="D303" s="155"/>
      <c r="H303" s="159"/>
      <c r="I303" s="154" t="s">
        <v>142</v>
      </c>
      <c r="J303" s="155"/>
      <c r="K303" s="158">
        <v>220950</v>
      </c>
    </row>
    <row r="304" spans="1:12" x14ac:dyDescent="0.2">
      <c r="A304" s="159"/>
      <c r="B304" s="154" t="s">
        <v>142</v>
      </c>
      <c r="C304" s="158">
        <v>58000000</v>
      </c>
      <c r="D304" s="155"/>
      <c r="H304" s="159"/>
      <c r="I304" s="154" t="s">
        <v>143</v>
      </c>
      <c r="J304" s="155"/>
      <c r="K304" s="155"/>
    </row>
    <row r="305" spans="1:12" ht="33.75" x14ac:dyDescent="0.2">
      <c r="A305" s="159"/>
      <c r="B305" s="154" t="s">
        <v>143</v>
      </c>
      <c r="C305" s="155"/>
      <c r="D305" s="155"/>
      <c r="H305" s="173" t="s">
        <v>408</v>
      </c>
      <c r="I305" s="173" t="s">
        <v>141</v>
      </c>
      <c r="J305" s="174"/>
      <c r="K305" s="174"/>
      <c r="L305" s="175"/>
    </row>
    <row r="306" spans="1:12" x14ac:dyDescent="0.2">
      <c r="A306" s="154" t="s">
        <v>417</v>
      </c>
      <c r="B306" s="154" t="s">
        <v>141</v>
      </c>
      <c r="C306" s="155"/>
      <c r="D306" s="155"/>
      <c r="H306" s="156"/>
      <c r="I306" s="157">
        <v>1200</v>
      </c>
      <c r="J306" s="158">
        <v>44459.47</v>
      </c>
      <c r="K306" s="155"/>
    </row>
    <row r="307" spans="1:12" x14ac:dyDescent="0.2">
      <c r="A307" s="156"/>
      <c r="B307" s="157">
        <v>1600</v>
      </c>
      <c r="C307" s="158">
        <v>84004836.739999995</v>
      </c>
      <c r="D307" s="155"/>
      <c r="H307" s="161"/>
      <c r="I307" s="157">
        <v>1270</v>
      </c>
      <c r="J307" s="158">
        <v>44459.47</v>
      </c>
      <c r="K307" s="155"/>
    </row>
    <row r="308" spans="1:12" x14ac:dyDescent="0.2">
      <c r="A308" s="161"/>
      <c r="B308" s="157">
        <v>1610</v>
      </c>
      <c r="C308" s="158">
        <v>84004836.739999995</v>
      </c>
      <c r="D308" s="155"/>
      <c r="H308" s="166"/>
      <c r="I308" s="157">
        <v>127061</v>
      </c>
      <c r="J308" s="158">
        <v>44459.47</v>
      </c>
      <c r="K308" s="155"/>
    </row>
    <row r="309" spans="1:12" x14ac:dyDescent="0.2">
      <c r="A309" s="166"/>
      <c r="B309" s="157">
        <v>161002</v>
      </c>
      <c r="C309" s="193">
        <v>84004836.739999995</v>
      </c>
      <c r="D309" s="155"/>
      <c r="E309" s="38">
        <f>ROUND(C309/1000,0)</f>
        <v>84005</v>
      </c>
      <c r="H309" s="159"/>
      <c r="I309" s="154" t="s">
        <v>142</v>
      </c>
      <c r="J309" s="158">
        <v>44459.47</v>
      </c>
      <c r="K309" s="155"/>
      <c r="L309" s="31">
        <f>ROUND(J309/1000,0)</f>
        <v>44</v>
      </c>
    </row>
    <row r="310" spans="1:12" x14ac:dyDescent="0.2">
      <c r="A310" s="156"/>
      <c r="B310" s="157">
        <v>3300</v>
      </c>
      <c r="C310" s="195">
        <v>100000000</v>
      </c>
      <c r="D310" s="155"/>
      <c r="H310" s="159"/>
      <c r="I310" s="154" t="s">
        <v>143</v>
      </c>
      <c r="J310" s="155"/>
      <c r="K310" s="155"/>
    </row>
    <row r="311" spans="1:12" x14ac:dyDescent="0.2">
      <c r="A311" s="161"/>
      <c r="B311" s="157">
        <v>3330</v>
      </c>
      <c r="C311" s="158">
        <v>100000000</v>
      </c>
      <c r="D311" s="155"/>
      <c r="E311" s="194">
        <f>ROUND(C311/1000,0)</f>
        <v>100000</v>
      </c>
      <c r="H311" s="173" t="s">
        <v>361</v>
      </c>
      <c r="I311" s="173" t="s">
        <v>141</v>
      </c>
      <c r="J311" s="174"/>
      <c r="K311" s="174"/>
      <c r="L311" s="175"/>
    </row>
    <row r="312" spans="1:12" x14ac:dyDescent="0.2">
      <c r="A312" s="159"/>
      <c r="B312" s="154" t="s">
        <v>142</v>
      </c>
      <c r="C312" s="158">
        <v>184004836.74000001</v>
      </c>
      <c r="D312" s="155"/>
      <c r="H312" s="156"/>
      <c r="I312" s="157">
        <v>1200</v>
      </c>
      <c r="J312" s="155"/>
      <c r="K312" s="158">
        <v>2000000</v>
      </c>
    </row>
    <row r="313" spans="1:12" x14ac:dyDescent="0.2">
      <c r="A313" s="159"/>
      <c r="B313" s="154" t="s">
        <v>143</v>
      </c>
      <c r="C313" s="155"/>
      <c r="D313" s="155"/>
      <c r="H313" s="161"/>
      <c r="I313" s="157">
        <v>1250</v>
      </c>
      <c r="J313" s="155"/>
      <c r="K313" s="158">
        <v>2000000</v>
      </c>
      <c r="L313" s="31">
        <f>ROUND(K313/1000,0)</f>
        <v>2000</v>
      </c>
    </row>
    <row r="314" spans="1:12" x14ac:dyDescent="0.2">
      <c r="A314" s="160"/>
      <c r="B314" s="151" t="s">
        <v>142</v>
      </c>
      <c r="C314" s="152">
        <v>242004836.74000001</v>
      </c>
      <c r="D314" s="152">
        <v>242955383.44999999</v>
      </c>
      <c r="H314" s="166"/>
      <c r="I314" s="157">
        <v>1251</v>
      </c>
      <c r="J314" s="155"/>
      <c r="K314" s="158">
        <v>2000000</v>
      </c>
    </row>
    <row r="315" spans="1:12" x14ac:dyDescent="0.2">
      <c r="A315" s="160"/>
      <c r="B315" s="151" t="s">
        <v>143</v>
      </c>
      <c r="C315" s="152">
        <v>752082.6</v>
      </c>
      <c r="D315" s="153"/>
      <c r="H315" s="159"/>
      <c r="I315" s="154" t="s">
        <v>142</v>
      </c>
      <c r="J315" s="155"/>
      <c r="K315" s="158">
        <v>2000000</v>
      </c>
    </row>
    <row r="316" spans="1:12" ht="22.5" x14ac:dyDescent="0.2">
      <c r="A316" s="151" t="s">
        <v>418</v>
      </c>
      <c r="B316" s="151" t="s">
        <v>141</v>
      </c>
      <c r="C316" s="153"/>
      <c r="D316" s="153"/>
      <c r="H316" s="159"/>
      <c r="I316" s="154" t="s">
        <v>143</v>
      </c>
      <c r="J316" s="155"/>
      <c r="K316" s="155"/>
    </row>
    <row r="317" spans="1:12" ht="22.5" x14ac:dyDescent="0.2">
      <c r="A317" s="154" t="s">
        <v>419</v>
      </c>
      <c r="B317" s="154" t="s">
        <v>141</v>
      </c>
      <c r="C317" s="155"/>
      <c r="D317" s="155"/>
      <c r="H317" s="154" t="s">
        <v>388</v>
      </c>
      <c r="I317" s="154" t="s">
        <v>141</v>
      </c>
      <c r="J317" s="155"/>
      <c r="K317" s="155"/>
    </row>
    <row r="318" spans="1:12" x14ac:dyDescent="0.2">
      <c r="A318" s="156"/>
      <c r="B318" s="157">
        <v>1100</v>
      </c>
      <c r="C318" s="155"/>
      <c r="D318" s="193">
        <v>2318016294.02</v>
      </c>
      <c r="E318" s="38">
        <f>ROUND(D318/1000,0)</f>
        <v>2318016</v>
      </c>
      <c r="H318" s="156"/>
      <c r="I318" s="157">
        <v>1000</v>
      </c>
      <c r="J318" s="158">
        <v>64000000</v>
      </c>
      <c r="K318" s="155"/>
    </row>
    <row r="319" spans="1:12" x14ac:dyDescent="0.2">
      <c r="A319" s="161"/>
      <c r="B319" s="157">
        <v>1150</v>
      </c>
      <c r="C319" s="155"/>
      <c r="D319" s="158">
        <v>2318016294.02</v>
      </c>
      <c r="H319" s="161"/>
      <c r="I319" s="157">
        <v>1030</v>
      </c>
      <c r="J319" s="183">
        <v>64000000</v>
      </c>
      <c r="K319" s="155"/>
      <c r="L319" s="184">
        <f>ROUND(J319/1000,0)</f>
        <v>64000</v>
      </c>
    </row>
    <row r="320" spans="1:12" x14ac:dyDescent="0.2">
      <c r="A320" s="166"/>
      <c r="B320" s="157">
        <v>115001</v>
      </c>
      <c r="C320" s="155"/>
      <c r="D320" s="158">
        <v>2318016294.02</v>
      </c>
      <c r="H320" s="159"/>
      <c r="I320" s="154" t="s">
        <v>142</v>
      </c>
      <c r="J320" s="158">
        <v>64000000</v>
      </c>
      <c r="K320" s="155"/>
    </row>
    <row r="321" spans="1:16" x14ac:dyDescent="0.2">
      <c r="A321" s="156"/>
      <c r="B321" s="157">
        <v>1600</v>
      </c>
      <c r="C321" s="155"/>
      <c r="D321" s="158">
        <v>112004836.73999999</v>
      </c>
      <c r="H321" s="159"/>
      <c r="I321" s="154" t="s">
        <v>143</v>
      </c>
      <c r="J321" s="155"/>
      <c r="K321" s="155"/>
    </row>
    <row r="322" spans="1:16" ht="33.75" x14ac:dyDescent="0.2">
      <c r="A322" s="161"/>
      <c r="B322" s="157">
        <v>1610</v>
      </c>
      <c r="C322" s="155"/>
      <c r="D322" s="158">
        <v>112004836.73999999</v>
      </c>
      <c r="H322" s="173" t="s">
        <v>412</v>
      </c>
      <c r="I322" s="173" t="s">
        <v>141</v>
      </c>
      <c r="J322" s="174"/>
      <c r="K322" s="174"/>
    </row>
    <row r="323" spans="1:16" x14ac:dyDescent="0.2">
      <c r="A323" s="166"/>
      <c r="B323" s="157">
        <v>161002</v>
      </c>
      <c r="C323" s="155"/>
      <c r="D323" s="193">
        <v>112004836.73999999</v>
      </c>
      <c r="E323" s="38">
        <f>ROUND(D323/1000,0)</f>
        <v>112005</v>
      </c>
      <c r="H323" s="156"/>
      <c r="I323" s="157">
        <v>3100</v>
      </c>
      <c r="J323" s="155"/>
      <c r="K323" s="158">
        <v>624948</v>
      </c>
    </row>
    <row r="324" spans="1:16" x14ac:dyDescent="0.2">
      <c r="A324" s="159"/>
      <c r="B324" s="154" t="s">
        <v>142</v>
      </c>
      <c r="C324" s="155"/>
      <c r="D324" s="158">
        <v>2430021130.7600002</v>
      </c>
      <c r="H324" s="161"/>
      <c r="I324" s="157">
        <v>3130</v>
      </c>
      <c r="J324" s="155"/>
      <c r="K324" s="158">
        <v>624948</v>
      </c>
      <c r="L324" s="31">
        <f>ROUND(K324/1000,0)</f>
        <v>625</v>
      </c>
    </row>
    <row r="325" spans="1:16" x14ac:dyDescent="0.2">
      <c r="A325" s="159"/>
      <c r="B325" s="154" t="s">
        <v>143</v>
      </c>
      <c r="C325" s="155"/>
      <c r="D325" s="155"/>
      <c r="H325" s="159"/>
      <c r="I325" s="154" t="s">
        <v>142</v>
      </c>
      <c r="J325" s="155"/>
      <c r="K325" s="158">
        <v>624948</v>
      </c>
    </row>
    <row r="326" spans="1:16" x14ac:dyDescent="0.2">
      <c r="A326" s="154" t="s">
        <v>388</v>
      </c>
      <c r="B326" s="154" t="s">
        <v>141</v>
      </c>
      <c r="C326" s="155"/>
      <c r="D326" s="155"/>
      <c r="H326" s="159"/>
      <c r="I326" s="154" t="s">
        <v>143</v>
      </c>
      <c r="J326" s="155"/>
      <c r="K326" s="155"/>
    </row>
    <row r="327" spans="1:16" x14ac:dyDescent="0.2">
      <c r="A327" s="156"/>
      <c r="B327" s="157">
        <v>1100</v>
      </c>
      <c r="C327" s="193">
        <v>46005149.060000002</v>
      </c>
      <c r="D327" s="155"/>
      <c r="H327" s="160"/>
      <c r="I327" s="151" t="s">
        <v>142</v>
      </c>
      <c r="J327" s="152">
        <v>64044459.469999999</v>
      </c>
      <c r="K327" s="152">
        <v>62499629.369999997</v>
      </c>
    </row>
    <row r="328" spans="1:16" x14ac:dyDescent="0.2">
      <c r="A328" s="161"/>
      <c r="B328" s="157">
        <v>1150</v>
      </c>
      <c r="C328" s="158">
        <v>46005149.060000002</v>
      </c>
      <c r="D328" s="155"/>
      <c r="H328" s="160"/>
      <c r="I328" s="151" t="s">
        <v>143</v>
      </c>
      <c r="J328" s="152">
        <v>2205846.06</v>
      </c>
      <c r="K328" s="153"/>
    </row>
    <row r="329" spans="1:16" ht="22.5" x14ac:dyDescent="0.2">
      <c r="A329" s="166"/>
      <c r="B329" s="157">
        <v>115001</v>
      </c>
      <c r="C329" s="158">
        <v>46005149.060000002</v>
      </c>
      <c r="D329" s="155"/>
      <c r="E329" s="38">
        <f>ROUND(C329/1000,0)</f>
        <v>46005</v>
      </c>
      <c r="H329" s="151" t="s">
        <v>416</v>
      </c>
      <c r="I329" s="151" t="s">
        <v>141</v>
      </c>
      <c r="J329" s="152">
        <v>169695.34</v>
      </c>
      <c r="K329" s="153"/>
      <c r="O329" s="765">
        <v>161002</v>
      </c>
      <c r="P329" s="765"/>
    </row>
    <row r="330" spans="1:16" ht="22.5" x14ac:dyDescent="0.2">
      <c r="A330" s="156"/>
      <c r="B330" s="157">
        <v>1200</v>
      </c>
      <c r="C330" s="193">
        <v>28938.52</v>
      </c>
      <c r="D330" s="155"/>
      <c r="H330" s="154" t="s">
        <v>409</v>
      </c>
      <c r="I330" s="154" t="s">
        <v>141</v>
      </c>
      <c r="J330" s="155"/>
      <c r="K330" s="155"/>
      <c r="O330" s="31">
        <f>L360</f>
        <v>1774111</v>
      </c>
      <c r="P330" s="31">
        <f>L342</f>
        <v>108443</v>
      </c>
    </row>
    <row r="331" spans="1:16" x14ac:dyDescent="0.2">
      <c r="A331" s="161"/>
      <c r="B331" s="157">
        <v>1270</v>
      </c>
      <c r="C331" s="158">
        <v>28938.52</v>
      </c>
      <c r="D331" s="155"/>
      <c r="H331" s="156"/>
      <c r="I331" s="157">
        <v>1000</v>
      </c>
      <c r="J331" s="155"/>
      <c r="K331" s="158">
        <v>40000000</v>
      </c>
      <c r="O331" s="31">
        <f>L366</f>
        <v>47077</v>
      </c>
      <c r="P331" s="31">
        <f>L349</f>
        <v>40507</v>
      </c>
    </row>
    <row r="332" spans="1:16" x14ac:dyDescent="0.2">
      <c r="A332" s="166"/>
      <c r="B332" s="157">
        <v>127002</v>
      </c>
      <c r="C332" s="158">
        <v>28938.52</v>
      </c>
      <c r="D332" s="155"/>
      <c r="E332" s="38">
        <f>ROUND(C332/1000,0)</f>
        <v>29</v>
      </c>
      <c r="H332" s="161"/>
      <c r="I332" s="157">
        <v>1030</v>
      </c>
      <c r="J332" s="155"/>
      <c r="K332" s="183">
        <v>40000000</v>
      </c>
      <c r="L332" s="184">
        <f>ROUND(K332/1000,0)</f>
        <v>40000</v>
      </c>
      <c r="O332" s="31"/>
      <c r="P332" s="31"/>
    </row>
    <row r="333" spans="1:16" x14ac:dyDescent="0.2">
      <c r="A333" s="156"/>
      <c r="B333" s="157">
        <v>1600</v>
      </c>
      <c r="C333" s="193">
        <v>2383987043.1800003</v>
      </c>
      <c r="D333" s="155"/>
      <c r="H333" s="159"/>
      <c r="I333" s="154" t="s">
        <v>142</v>
      </c>
      <c r="J333" s="155"/>
      <c r="K333" s="158">
        <v>40000000</v>
      </c>
      <c r="O333" s="34">
        <f>O330+O331+O332</f>
        <v>1821188</v>
      </c>
      <c r="P333" s="34">
        <f>P330+P331+P332</f>
        <v>148950</v>
      </c>
    </row>
    <row r="334" spans="1:16" x14ac:dyDescent="0.2">
      <c r="A334" s="161"/>
      <c r="B334" s="157">
        <v>1610</v>
      </c>
      <c r="C334" s="158">
        <v>2383987043.1800003</v>
      </c>
      <c r="D334" s="155"/>
      <c r="H334" s="159"/>
      <c r="I334" s="154" t="s">
        <v>143</v>
      </c>
      <c r="J334" s="155"/>
      <c r="K334" s="155"/>
    </row>
    <row r="335" spans="1:16" ht="22.5" x14ac:dyDescent="0.2">
      <c r="A335" s="166"/>
      <c r="B335" s="157">
        <v>161002</v>
      </c>
      <c r="C335" s="158">
        <v>2383987043.1800003</v>
      </c>
      <c r="D335" s="155"/>
      <c r="E335" s="38">
        <f>ROUND(C335/1000,0)</f>
        <v>2383987</v>
      </c>
      <c r="H335" s="154" t="s">
        <v>409</v>
      </c>
      <c r="I335" s="154" t="s">
        <v>141</v>
      </c>
      <c r="J335" s="155"/>
      <c r="K335" s="155"/>
      <c r="O335" s="765">
        <v>1150</v>
      </c>
      <c r="P335" s="765"/>
    </row>
    <row r="336" spans="1:16" x14ac:dyDescent="0.2">
      <c r="A336" s="159"/>
      <c r="B336" s="154" t="s">
        <v>142</v>
      </c>
      <c r="C336" s="158">
        <v>2430021130.7600002</v>
      </c>
      <c r="D336" s="155"/>
      <c r="H336" s="156"/>
      <c r="I336" s="157">
        <v>1000</v>
      </c>
      <c r="J336" s="155"/>
      <c r="K336" s="158">
        <v>79000000</v>
      </c>
      <c r="P336" s="31">
        <f>L340</f>
        <v>1649010</v>
      </c>
    </row>
    <row r="337" spans="1:16" x14ac:dyDescent="0.2">
      <c r="A337" s="159"/>
      <c r="B337" s="154" t="s">
        <v>143</v>
      </c>
      <c r="C337" s="155"/>
      <c r="D337" s="155"/>
      <c r="H337" s="161"/>
      <c r="I337" s="157">
        <v>1030</v>
      </c>
      <c r="J337" s="155"/>
      <c r="K337" s="183">
        <v>79000000</v>
      </c>
      <c r="L337" s="184">
        <f>ROUND(K337/1000,0)</f>
        <v>79000</v>
      </c>
    </row>
    <row r="338" spans="1:16" x14ac:dyDescent="0.2">
      <c r="A338" s="160"/>
      <c r="B338" s="151" t="s">
        <v>142</v>
      </c>
      <c r="C338" s="152">
        <v>2430021130.7600002</v>
      </c>
      <c r="D338" s="152">
        <v>2430021130.7600002</v>
      </c>
      <c r="H338" s="156"/>
      <c r="I338" s="157">
        <v>1100</v>
      </c>
      <c r="J338" s="155"/>
      <c r="K338" s="158">
        <v>1649009618.96</v>
      </c>
      <c r="O338" s="185">
        <f>O336</f>
        <v>0</v>
      </c>
      <c r="P338" s="34">
        <f>P336</f>
        <v>1649010</v>
      </c>
    </row>
    <row r="339" spans="1:16" x14ac:dyDescent="0.2">
      <c r="A339" s="160"/>
      <c r="B339" s="151" t="s">
        <v>143</v>
      </c>
      <c r="C339" s="153"/>
      <c r="D339" s="153"/>
      <c r="H339" s="161"/>
      <c r="I339" s="157">
        <v>1150</v>
      </c>
      <c r="J339" s="155"/>
      <c r="K339" s="158">
        <v>1649009618.96</v>
      </c>
    </row>
    <row r="340" spans="1:16" x14ac:dyDescent="0.2">
      <c r="A340" s="163"/>
      <c r="B340" s="148" t="s">
        <v>142</v>
      </c>
      <c r="C340" s="149">
        <v>2893122013.2199998</v>
      </c>
      <c r="D340" s="149">
        <v>2898583369.54</v>
      </c>
      <c r="H340" s="166"/>
      <c r="I340" s="157">
        <v>115001</v>
      </c>
      <c r="J340" s="155"/>
      <c r="K340" s="158">
        <v>1649009618.96</v>
      </c>
      <c r="L340" s="31">
        <f>ROUND(K340/1000,0)</f>
        <v>1649010</v>
      </c>
      <c r="O340" s="31">
        <f>O333-3178</f>
        <v>1818010</v>
      </c>
      <c r="P340" s="31">
        <f>P338+P333</f>
        <v>1797960</v>
      </c>
    </row>
    <row r="341" spans="1:16" x14ac:dyDescent="0.2">
      <c r="A341" s="163"/>
      <c r="B341" s="148" t="s">
        <v>143</v>
      </c>
      <c r="C341" s="149">
        <v>2745406.96</v>
      </c>
      <c r="D341" s="150"/>
      <c r="H341" s="156"/>
      <c r="I341" s="157">
        <v>1600</v>
      </c>
      <c r="J341" s="155"/>
      <c r="K341" s="182">
        <v>108442894.34999999</v>
      </c>
      <c r="P341" s="31">
        <f>O340-P340</f>
        <v>20050</v>
      </c>
    </row>
    <row r="342" spans="1:16" x14ac:dyDescent="0.2">
      <c r="A342" s="148" t="s">
        <v>420</v>
      </c>
      <c r="B342" s="148" t="s">
        <v>141</v>
      </c>
      <c r="C342" s="149">
        <v>3560704.98</v>
      </c>
      <c r="D342" s="150"/>
      <c r="H342" s="161"/>
      <c r="I342" s="157">
        <v>1610</v>
      </c>
      <c r="J342" s="155"/>
      <c r="K342" s="158">
        <v>108442894.34999999</v>
      </c>
      <c r="L342" s="31">
        <f>ROUND(K342/1000,0)</f>
        <v>108443</v>
      </c>
      <c r="O342" s="61">
        <v>3178</v>
      </c>
    </row>
    <row r="343" spans="1:16" ht="22.5" x14ac:dyDescent="0.2">
      <c r="A343" s="151" t="s">
        <v>421</v>
      </c>
      <c r="B343" s="151" t="s">
        <v>141</v>
      </c>
      <c r="C343" s="152">
        <v>3560704.98</v>
      </c>
      <c r="D343" s="153"/>
      <c r="H343" s="166"/>
      <c r="I343" s="157">
        <v>161002</v>
      </c>
      <c r="J343" s="155"/>
      <c r="K343" s="158">
        <v>108442894.34999999</v>
      </c>
    </row>
    <row r="344" spans="1:16" x14ac:dyDescent="0.2">
      <c r="A344" s="154" t="s">
        <v>422</v>
      </c>
      <c r="B344" s="154" t="s">
        <v>141</v>
      </c>
      <c r="C344" s="155"/>
      <c r="D344" s="155"/>
      <c r="H344" s="159"/>
      <c r="I344" s="154" t="s">
        <v>142</v>
      </c>
      <c r="J344" s="155"/>
      <c r="K344" s="158">
        <v>1836452513.3100002</v>
      </c>
    </row>
    <row r="345" spans="1:16" x14ac:dyDescent="0.2">
      <c r="A345" s="156"/>
      <c r="B345" s="157">
        <v>6200</v>
      </c>
      <c r="C345" s="191">
        <v>212137.49</v>
      </c>
      <c r="D345" s="155"/>
      <c r="H345" s="159"/>
      <c r="I345" s="154" t="s">
        <v>143</v>
      </c>
      <c r="J345" s="155"/>
      <c r="K345" s="155"/>
    </row>
    <row r="346" spans="1:16" ht="22.5" x14ac:dyDescent="0.2">
      <c r="A346" s="161"/>
      <c r="B346" s="157">
        <v>6250</v>
      </c>
      <c r="C346" s="158">
        <v>212137.49</v>
      </c>
      <c r="D346" s="155"/>
      <c r="E346" s="59">
        <f>ROUND(C346/1000,0)</f>
        <v>212</v>
      </c>
      <c r="H346" s="154" t="s">
        <v>419</v>
      </c>
      <c r="I346" s="154" t="s">
        <v>141</v>
      </c>
      <c r="J346" s="155"/>
      <c r="K346" s="155"/>
    </row>
    <row r="347" spans="1:16" x14ac:dyDescent="0.2">
      <c r="A347" s="166"/>
      <c r="B347" s="157">
        <v>625001</v>
      </c>
      <c r="C347" s="158">
        <v>212137.49</v>
      </c>
      <c r="D347" s="155"/>
      <c r="H347" s="156"/>
      <c r="I347" s="157">
        <v>1600</v>
      </c>
      <c r="J347" s="155"/>
      <c r="K347" s="182">
        <v>40507005</v>
      </c>
    </row>
    <row r="348" spans="1:16" x14ac:dyDescent="0.2">
      <c r="A348" s="156"/>
      <c r="B348" s="157">
        <v>7400</v>
      </c>
      <c r="C348" s="155"/>
      <c r="D348" s="191">
        <v>187182.99</v>
      </c>
      <c r="H348" s="161"/>
      <c r="I348" s="157">
        <v>1610</v>
      </c>
      <c r="J348" s="155"/>
      <c r="K348" s="158">
        <v>40507005</v>
      </c>
    </row>
    <row r="349" spans="1:16" x14ac:dyDescent="0.2">
      <c r="A349" s="161"/>
      <c r="B349" s="157">
        <v>7430</v>
      </c>
      <c r="C349" s="155"/>
      <c r="D349" s="158">
        <v>187182.99</v>
      </c>
      <c r="E349" s="59">
        <f>ROUND(D349/1000,0)</f>
        <v>187</v>
      </c>
      <c r="H349" s="166"/>
      <c r="I349" s="157">
        <v>161002</v>
      </c>
      <c r="J349" s="155"/>
      <c r="K349" s="158">
        <v>40507005</v>
      </c>
      <c r="L349" s="31">
        <f>ROUND(K349/1000,0)</f>
        <v>40507</v>
      </c>
    </row>
    <row r="350" spans="1:16" x14ac:dyDescent="0.2">
      <c r="A350" s="166"/>
      <c r="B350" s="157">
        <v>743001</v>
      </c>
      <c r="C350" s="155"/>
      <c r="D350" s="158">
        <v>187182.99</v>
      </c>
      <c r="H350" s="159"/>
      <c r="I350" s="154" t="s">
        <v>142</v>
      </c>
      <c r="J350" s="155"/>
      <c r="K350" s="158">
        <v>40507005</v>
      </c>
    </row>
    <row r="351" spans="1:16" x14ac:dyDescent="0.2">
      <c r="A351" s="159"/>
      <c r="B351" s="154" t="s">
        <v>142</v>
      </c>
      <c r="C351" s="158">
        <v>212137.49</v>
      </c>
      <c r="D351" s="158">
        <v>187182.99</v>
      </c>
      <c r="H351" s="159"/>
      <c r="I351" s="154" t="s">
        <v>143</v>
      </c>
      <c r="J351" s="155"/>
      <c r="K351" s="155"/>
    </row>
    <row r="352" spans="1:16" ht="22.5" x14ac:dyDescent="0.2">
      <c r="A352" s="159"/>
      <c r="B352" s="154" t="s">
        <v>143</v>
      </c>
      <c r="C352" s="155"/>
      <c r="D352" s="155"/>
      <c r="H352" s="154" t="s">
        <v>388</v>
      </c>
      <c r="I352" s="154" t="s">
        <v>141</v>
      </c>
      <c r="J352" s="155"/>
      <c r="K352" s="155"/>
    </row>
    <row r="353" spans="1:12" ht="22.5" x14ac:dyDescent="0.2">
      <c r="A353" s="173" t="s">
        <v>423</v>
      </c>
      <c r="B353" s="173" t="s">
        <v>141</v>
      </c>
      <c r="C353" s="174"/>
      <c r="D353" s="174"/>
      <c r="H353" s="156"/>
      <c r="I353" s="157">
        <v>1000</v>
      </c>
      <c r="J353" s="183">
        <v>11100000</v>
      </c>
      <c r="K353" s="155"/>
    </row>
    <row r="354" spans="1:12" x14ac:dyDescent="0.2">
      <c r="A354" s="156"/>
      <c r="B354" s="157">
        <v>3300</v>
      </c>
      <c r="C354" s="155"/>
      <c r="D354" s="158">
        <v>18546340.73</v>
      </c>
      <c r="H354" s="161"/>
      <c r="I354" s="157">
        <v>1030</v>
      </c>
      <c r="J354" s="158">
        <v>11100000</v>
      </c>
      <c r="K354" s="155"/>
      <c r="L354" s="184">
        <f>ROUND(J354/1000,0)</f>
        <v>11100</v>
      </c>
    </row>
    <row r="355" spans="1:12" x14ac:dyDescent="0.2">
      <c r="A355" s="161"/>
      <c r="B355" s="157">
        <v>3310</v>
      </c>
      <c r="C355" s="155"/>
      <c r="D355" s="158">
        <v>18546340.73</v>
      </c>
      <c r="E355" s="31">
        <f>ROUND(D355/1000,0)</f>
        <v>18546</v>
      </c>
      <c r="H355" s="159"/>
      <c r="I355" s="154" t="s">
        <v>142</v>
      </c>
      <c r="J355" s="158">
        <v>11100000</v>
      </c>
      <c r="K355" s="155"/>
    </row>
    <row r="356" spans="1:12" x14ac:dyDescent="0.2">
      <c r="A356" s="159"/>
      <c r="B356" s="154" t="s">
        <v>142</v>
      </c>
      <c r="C356" s="155"/>
      <c r="D356" s="158">
        <v>18546340.73</v>
      </c>
      <c r="H356" s="159"/>
      <c r="I356" s="154" t="s">
        <v>143</v>
      </c>
      <c r="J356" s="155"/>
      <c r="K356" s="155"/>
    </row>
    <row r="357" spans="1:12" ht="22.5" x14ac:dyDescent="0.2">
      <c r="A357" s="159"/>
      <c r="B357" s="154" t="s">
        <v>143</v>
      </c>
      <c r="C357" s="155"/>
      <c r="D357" s="155"/>
      <c r="H357" s="154" t="s">
        <v>388</v>
      </c>
      <c r="I357" s="154" t="s">
        <v>141</v>
      </c>
      <c r="J357" s="155"/>
      <c r="K357" s="155"/>
    </row>
    <row r="358" spans="1:12" ht="22.5" x14ac:dyDescent="0.2">
      <c r="A358" s="173" t="s">
        <v>407</v>
      </c>
      <c r="B358" s="173" t="s">
        <v>141</v>
      </c>
      <c r="C358" s="174"/>
      <c r="D358" s="174"/>
      <c r="H358" s="156"/>
      <c r="I358" s="157">
        <v>1600</v>
      </c>
      <c r="J358" s="182">
        <v>1774110986.2099998</v>
      </c>
      <c r="K358" s="155"/>
    </row>
    <row r="359" spans="1:12" x14ac:dyDescent="0.2">
      <c r="A359" s="156"/>
      <c r="B359" s="157">
        <v>3300</v>
      </c>
      <c r="C359" s="155"/>
      <c r="D359" s="158">
        <v>13925340</v>
      </c>
      <c r="H359" s="161"/>
      <c r="I359" s="157">
        <v>1610</v>
      </c>
      <c r="J359" s="158">
        <v>1774110986.2099998</v>
      </c>
      <c r="K359" s="155"/>
    </row>
    <row r="360" spans="1:12" x14ac:dyDescent="0.2">
      <c r="A360" s="161"/>
      <c r="B360" s="157">
        <v>3310</v>
      </c>
      <c r="C360" s="155"/>
      <c r="D360" s="158">
        <v>13925340</v>
      </c>
      <c r="E360" s="31">
        <f>ROUND(D360/1000,0)</f>
        <v>13925</v>
      </c>
      <c r="H360" s="166"/>
      <c r="I360" s="157">
        <v>161002</v>
      </c>
      <c r="J360" s="158">
        <v>1774110986.2099998</v>
      </c>
      <c r="K360" s="155"/>
      <c r="L360" s="31">
        <f>ROUND(J360/1000,0)</f>
        <v>1774111</v>
      </c>
    </row>
    <row r="361" spans="1:12" x14ac:dyDescent="0.2">
      <c r="A361" s="159"/>
      <c r="B361" s="154" t="s">
        <v>142</v>
      </c>
      <c r="C361" s="155"/>
      <c r="D361" s="158">
        <v>13925340</v>
      </c>
      <c r="H361" s="156"/>
      <c r="I361" s="157">
        <v>3300</v>
      </c>
      <c r="J361" s="158">
        <v>85429000</v>
      </c>
      <c r="K361" s="155"/>
    </row>
    <row r="362" spans="1:12" x14ac:dyDescent="0.2">
      <c r="A362" s="159"/>
      <c r="B362" s="154" t="s">
        <v>143</v>
      </c>
      <c r="C362" s="155"/>
      <c r="D362" s="155"/>
      <c r="H362" s="161"/>
      <c r="I362" s="157">
        <v>3330</v>
      </c>
      <c r="J362" s="158">
        <v>85429000</v>
      </c>
      <c r="K362" s="155"/>
      <c r="L362" s="31">
        <f>ROUND(J362/1000,0)</f>
        <v>85429</v>
      </c>
    </row>
    <row r="363" spans="1:12" x14ac:dyDescent="0.2">
      <c r="A363" s="154" t="s">
        <v>417</v>
      </c>
      <c r="B363" s="154" t="s">
        <v>141</v>
      </c>
      <c r="C363" s="155"/>
      <c r="D363" s="155"/>
      <c r="H363" s="159"/>
      <c r="I363" s="154" t="s">
        <v>142</v>
      </c>
      <c r="J363" s="158">
        <v>1859539986.2099998</v>
      </c>
      <c r="K363" s="155"/>
    </row>
    <row r="364" spans="1:12" x14ac:dyDescent="0.2">
      <c r="A364" s="156"/>
      <c r="B364" s="157">
        <v>1000</v>
      </c>
      <c r="C364" s="181">
        <v>28905630</v>
      </c>
      <c r="D364" s="155"/>
      <c r="H364" s="159"/>
      <c r="I364" s="154" t="s">
        <v>143</v>
      </c>
      <c r="J364" s="155"/>
      <c r="K364" s="155"/>
    </row>
    <row r="365" spans="1:12" ht="22.5" x14ac:dyDescent="0.2">
      <c r="A365" s="161"/>
      <c r="B365" s="157">
        <v>1020</v>
      </c>
      <c r="C365" s="158">
        <v>28905630</v>
      </c>
      <c r="D365" s="155"/>
      <c r="E365" s="48">
        <f>ROUND(C365/1000,0)</f>
        <v>28906</v>
      </c>
      <c r="H365" s="154" t="s">
        <v>417</v>
      </c>
      <c r="I365" s="154" t="s">
        <v>141</v>
      </c>
      <c r="J365" s="155"/>
      <c r="K365" s="155"/>
    </row>
    <row r="366" spans="1:12" x14ac:dyDescent="0.2">
      <c r="A366" s="159"/>
      <c r="B366" s="154" t="s">
        <v>142</v>
      </c>
      <c r="C366" s="158">
        <v>28905630</v>
      </c>
      <c r="D366" s="155"/>
      <c r="H366" s="156"/>
      <c r="I366" s="157">
        <v>1600</v>
      </c>
      <c r="J366" s="182">
        <v>47077338.240000002</v>
      </c>
      <c r="K366" s="155"/>
      <c r="L366" s="31">
        <f>ROUND(J366/1000,0)</f>
        <v>47077</v>
      </c>
    </row>
    <row r="367" spans="1:12" x14ac:dyDescent="0.2">
      <c r="A367" s="159"/>
      <c r="B367" s="154" t="s">
        <v>143</v>
      </c>
      <c r="C367" s="155"/>
      <c r="D367" s="155"/>
      <c r="H367" s="161"/>
      <c r="I367" s="157">
        <v>1610</v>
      </c>
      <c r="J367" s="158">
        <v>47077338.240000002</v>
      </c>
      <c r="K367" s="155"/>
    </row>
    <row r="368" spans="1:12" x14ac:dyDescent="0.2">
      <c r="A368" s="160"/>
      <c r="B368" s="151" t="s">
        <v>142</v>
      </c>
      <c r="C368" s="152">
        <v>29117767.489999998</v>
      </c>
      <c r="D368" s="152">
        <v>32658863.719999999</v>
      </c>
      <c r="H368" s="166"/>
      <c r="I368" s="157">
        <v>161002</v>
      </c>
      <c r="J368" s="158">
        <v>47077338.240000002</v>
      </c>
      <c r="K368" s="155"/>
    </row>
    <row r="369" spans="1:16" x14ac:dyDescent="0.2">
      <c r="A369" s="160"/>
      <c r="B369" s="151" t="s">
        <v>143</v>
      </c>
      <c r="C369" s="152">
        <v>19608.75</v>
      </c>
      <c r="D369" s="153"/>
      <c r="H369" s="159"/>
      <c r="I369" s="154" t="s">
        <v>142</v>
      </c>
      <c r="J369" s="158">
        <v>47077338.240000002</v>
      </c>
      <c r="K369" s="155"/>
    </row>
    <row r="370" spans="1:16" x14ac:dyDescent="0.2">
      <c r="A370" s="163"/>
      <c r="B370" s="148" t="s">
        <v>142</v>
      </c>
      <c r="C370" s="149">
        <v>29117767.489999998</v>
      </c>
      <c r="D370" s="149">
        <v>32658863.719999999</v>
      </c>
      <c r="H370" s="159"/>
      <c r="I370" s="154" t="s">
        <v>143</v>
      </c>
      <c r="J370" s="155"/>
      <c r="K370" s="155"/>
    </row>
    <row r="371" spans="1:16" x14ac:dyDescent="0.2">
      <c r="A371" s="163"/>
      <c r="B371" s="148" t="s">
        <v>143</v>
      </c>
      <c r="C371" s="149">
        <v>19608.75</v>
      </c>
      <c r="D371" s="150"/>
      <c r="H371" s="160"/>
      <c r="I371" s="151" t="s">
        <v>142</v>
      </c>
      <c r="J371" s="152">
        <v>1917717324.4499998</v>
      </c>
      <c r="K371" s="152">
        <v>1916959518.3100002</v>
      </c>
    </row>
    <row r="372" spans="1:16" x14ac:dyDescent="0.2">
      <c r="A372" s="172"/>
      <c r="B372" s="169" t="s">
        <v>142</v>
      </c>
      <c r="C372" s="170">
        <v>2922239780.71</v>
      </c>
      <c r="D372" s="170">
        <v>2931242233.2600002</v>
      </c>
      <c r="H372" s="160"/>
      <c r="I372" s="151" t="s">
        <v>143</v>
      </c>
      <c r="J372" s="152">
        <v>927501.48</v>
      </c>
      <c r="K372" s="153"/>
    </row>
    <row r="373" spans="1:16" ht="33.75" x14ac:dyDescent="0.2">
      <c r="A373" s="172"/>
      <c r="B373" s="169" t="s">
        <v>143</v>
      </c>
      <c r="C373" s="170">
        <v>2765015.71</v>
      </c>
      <c r="D373" s="171"/>
      <c r="E373" s="31">
        <f>ROUND(C373/1000,0)</f>
        <v>2765</v>
      </c>
      <c r="H373" s="151" t="s">
        <v>418</v>
      </c>
      <c r="I373" s="151" t="s">
        <v>141</v>
      </c>
      <c r="J373" s="153"/>
      <c r="K373" s="153"/>
      <c r="P373" s="31">
        <f>L340</f>
        <v>1649010</v>
      </c>
    </row>
    <row r="374" spans="1:16" ht="22.5" x14ac:dyDescent="0.2">
      <c r="A374" s="165"/>
      <c r="B374" s="165"/>
      <c r="C374" s="165"/>
      <c r="D374" s="165"/>
      <c r="H374" s="154" t="s">
        <v>409</v>
      </c>
      <c r="I374" s="154" t="s">
        <v>141</v>
      </c>
      <c r="J374" s="155"/>
      <c r="K374" s="155"/>
    </row>
    <row r="375" spans="1:16" x14ac:dyDescent="0.2">
      <c r="B375" s="61" t="s">
        <v>437</v>
      </c>
      <c r="C375" s="31">
        <f>E346</f>
        <v>212</v>
      </c>
      <c r="D375" s="31">
        <f>E349</f>
        <v>187</v>
      </c>
      <c r="E375" s="31">
        <f>C375-D375</f>
        <v>25</v>
      </c>
      <c r="H375" s="156"/>
      <c r="I375" s="157">
        <v>1600</v>
      </c>
      <c r="J375" s="155"/>
      <c r="K375" s="182">
        <v>108442894.34999999</v>
      </c>
      <c r="L375" s="31">
        <f>ROUND(K375/1000,0)</f>
        <v>108443</v>
      </c>
    </row>
    <row r="376" spans="1:16" x14ac:dyDescent="0.2">
      <c r="H376" s="161"/>
      <c r="I376" s="157">
        <v>1610</v>
      </c>
      <c r="J376" s="155"/>
      <c r="K376" s="158">
        <v>108442894.34999999</v>
      </c>
    </row>
    <row r="377" spans="1:16" x14ac:dyDescent="0.2">
      <c r="B377" s="192">
        <v>1020</v>
      </c>
      <c r="C377" s="31">
        <f>E365</f>
        <v>28906</v>
      </c>
      <c r="D377" s="31">
        <f>E172</f>
        <v>29049</v>
      </c>
      <c r="E377" s="31">
        <f>C377-D377</f>
        <v>-143</v>
      </c>
      <c r="H377" s="166"/>
      <c r="I377" s="157">
        <v>161002</v>
      </c>
      <c r="J377" s="155"/>
      <c r="K377" s="158">
        <v>108442894.34999999</v>
      </c>
    </row>
    <row r="378" spans="1:16" x14ac:dyDescent="0.2">
      <c r="B378" s="192">
        <v>1030</v>
      </c>
      <c r="C378" s="31">
        <f>E14</f>
        <v>4600</v>
      </c>
      <c r="D378" s="31">
        <f>E167</f>
        <v>5100</v>
      </c>
      <c r="E378" s="31">
        <f t="shared" ref="E378:E383" si="4">C378-D378</f>
        <v>-500</v>
      </c>
      <c r="H378" s="159"/>
      <c r="I378" s="154" t="s">
        <v>142</v>
      </c>
      <c r="J378" s="155"/>
      <c r="K378" s="158">
        <v>108442894.34999999</v>
      </c>
    </row>
    <row r="379" spans="1:16" x14ac:dyDescent="0.2">
      <c r="C379" s="31">
        <f>E183</f>
        <v>95800</v>
      </c>
      <c r="D379" s="31">
        <f>E173</f>
        <v>30000</v>
      </c>
      <c r="E379" s="31">
        <f t="shared" si="4"/>
        <v>65800</v>
      </c>
      <c r="H379" s="159"/>
      <c r="I379" s="154" t="s">
        <v>143</v>
      </c>
      <c r="J379" s="155"/>
      <c r="K379" s="155"/>
    </row>
    <row r="380" spans="1:16" ht="22.5" x14ac:dyDescent="0.2">
      <c r="C380" s="31">
        <f>E279+E284</f>
        <v>48500</v>
      </c>
      <c r="D380" s="31">
        <f>E274</f>
        <v>13000</v>
      </c>
      <c r="E380" s="31">
        <f t="shared" si="4"/>
        <v>35500</v>
      </c>
      <c r="H380" s="154" t="s">
        <v>419</v>
      </c>
      <c r="I380" s="154" t="s">
        <v>141</v>
      </c>
      <c r="J380" s="155"/>
      <c r="K380" s="155"/>
    </row>
    <row r="381" spans="1:16" x14ac:dyDescent="0.2">
      <c r="C381" s="31">
        <f>E299</f>
        <v>30000</v>
      </c>
      <c r="D381" s="31">
        <f>E292</f>
        <v>130800</v>
      </c>
      <c r="E381" s="31">
        <f t="shared" si="4"/>
        <v>-100800</v>
      </c>
      <c r="H381" s="156"/>
      <c r="I381" s="157">
        <v>1600</v>
      </c>
      <c r="J381" s="155"/>
      <c r="K381" s="182">
        <v>40507005</v>
      </c>
      <c r="L381" s="31">
        <f>ROUND(K381/1000,0)</f>
        <v>40507</v>
      </c>
    </row>
    <row r="382" spans="1:16" x14ac:dyDescent="0.2">
      <c r="E382" s="31">
        <f t="shared" si="4"/>
        <v>0</v>
      </c>
      <c r="H382" s="161"/>
      <c r="I382" s="157">
        <v>1610</v>
      </c>
      <c r="J382" s="155"/>
      <c r="K382" s="158">
        <v>40507005</v>
      </c>
    </row>
    <row r="383" spans="1:16" x14ac:dyDescent="0.2">
      <c r="C383" s="31">
        <f>SUM(C377:C382)</f>
        <v>207806</v>
      </c>
      <c r="D383" s="31">
        <f>SUM(D377:D382)</f>
        <v>207949</v>
      </c>
      <c r="E383" s="31">
        <f t="shared" si="4"/>
        <v>-143</v>
      </c>
      <c r="F383" s="31">
        <f>-E383</f>
        <v>143</v>
      </c>
      <c r="H383" s="166"/>
      <c r="I383" s="157">
        <v>161002</v>
      </c>
      <c r="J383" s="155"/>
      <c r="K383" s="158">
        <v>40507005</v>
      </c>
    </row>
    <row r="384" spans="1:16" x14ac:dyDescent="0.2">
      <c r="H384" s="159"/>
      <c r="I384" s="154" t="s">
        <v>142</v>
      </c>
      <c r="J384" s="155"/>
      <c r="K384" s="158">
        <v>40507005</v>
      </c>
    </row>
    <row r="385" spans="2:16" x14ac:dyDescent="0.2">
      <c r="B385" s="61" t="s">
        <v>442</v>
      </c>
      <c r="C385" s="31">
        <f>E335</f>
        <v>2383987</v>
      </c>
      <c r="D385" s="31">
        <f>E318</f>
        <v>2318016</v>
      </c>
      <c r="H385" s="159"/>
      <c r="I385" s="154" t="s">
        <v>143</v>
      </c>
      <c r="J385" s="155"/>
      <c r="K385" s="155"/>
    </row>
    <row r="386" spans="2:16" ht="22.5" x14ac:dyDescent="0.2">
      <c r="C386" s="31">
        <f>E329</f>
        <v>46005</v>
      </c>
      <c r="D386" s="31">
        <f>E323</f>
        <v>112005</v>
      </c>
      <c r="H386" s="154" t="s">
        <v>388</v>
      </c>
      <c r="I386" s="154" t="s">
        <v>141</v>
      </c>
      <c r="J386" s="155"/>
      <c r="K386" s="155"/>
      <c r="O386" s="64"/>
      <c r="P386" s="64">
        <f>K381</f>
        <v>40507005</v>
      </c>
    </row>
    <row r="387" spans="2:16" x14ac:dyDescent="0.2">
      <c r="C387" s="31">
        <f>E309</f>
        <v>84005</v>
      </c>
      <c r="D387" s="31">
        <f>E294</f>
        <v>112155</v>
      </c>
      <c r="H387" s="156"/>
      <c r="I387" s="157">
        <v>1600</v>
      </c>
      <c r="J387" s="182">
        <v>108442894.34999999</v>
      </c>
      <c r="K387" s="155"/>
      <c r="L387" s="31">
        <f>ROUND(J387/1000,0)</f>
        <v>108443</v>
      </c>
      <c r="O387" s="64"/>
      <c r="P387" s="64"/>
    </row>
    <row r="388" spans="2:16" x14ac:dyDescent="0.2">
      <c r="C388" s="31">
        <f>E302</f>
        <v>28000</v>
      </c>
      <c r="H388" s="161"/>
      <c r="I388" s="157">
        <v>1610</v>
      </c>
      <c r="J388" s="158">
        <v>108442894.34999999</v>
      </c>
      <c r="K388" s="155"/>
      <c r="O388" s="64">
        <f>J366</f>
        <v>47077338.240000002</v>
      </c>
      <c r="P388" s="64">
        <f>K343</f>
        <v>108442894.34999999</v>
      </c>
    </row>
    <row r="389" spans="2:16" x14ac:dyDescent="0.2">
      <c r="H389" s="166"/>
      <c r="I389" s="157">
        <v>161002</v>
      </c>
      <c r="J389" s="158">
        <v>108442894.34999999</v>
      </c>
      <c r="K389" s="155"/>
      <c r="O389" s="64">
        <f>J360</f>
        <v>1774110986.2099998</v>
      </c>
      <c r="P389" s="64"/>
    </row>
    <row r="390" spans="2:16" x14ac:dyDescent="0.2">
      <c r="C390" s="31">
        <f>SUM(C385:C389)</f>
        <v>2541997</v>
      </c>
      <c r="D390" s="31">
        <f>SUM(D385:D389)</f>
        <v>2542176</v>
      </c>
      <c r="E390" s="31">
        <f>C392-D392</f>
        <v>-993</v>
      </c>
      <c r="H390" s="159"/>
      <c r="I390" s="154" t="s">
        <v>142</v>
      </c>
      <c r="J390" s="158">
        <v>108442894.34999999</v>
      </c>
      <c r="K390" s="155"/>
      <c r="P390" s="64">
        <f>K340</f>
        <v>1649009618.96</v>
      </c>
    </row>
    <row r="391" spans="2:16" x14ac:dyDescent="0.2">
      <c r="C391" s="61">
        <v>-814</v>
      </c>
      <c r="H391" s="159"/>
      <c r="I391" s="154" t="s">
        <v>143</v>
      </c>
      <c r="J391" s="155"/>
      <c r="K391" s="155"/>
      <c r="O391" s="64">
        <f>SUM(O386:O390)</f>
        <v>1821188324.4499998</v>
      </c>
      <c r="P391" s="64">
        <f>SUM(P386:P390)</f>
        <v>1797959518.3099999</v>
      </c>
    </row>
    <row r="392" spans="2:16" ht="22.5" x14ac:dyDescent="0.2">
      <c r="C392" s="31">
        <f>C390+C391</f>
        <v>2541183</v>
      </c>
      <c r="D392" s="31">
        <f>D390</f>
        <v>2542176</v>
      </c>
      <c r="H392" s="154" t="s">
        <v>417</v>
      </c>
      <c r="I392" s="154" t="s">
        <v>141</v>
      </c>
      <c r="J392" s="155"/>
      <c r="K392" s="155"/>
      <c r="O392" s="31">
        <f>ROUND(O391/1000,0)</f>
        <v>1821188</v>
      </c>
      <c r="P392" s="31">
        <f>ROUND(P391/1000,0)</f>
        <v>1797960</v>
      </c>
    </row>
    <row r="393" spans="2:16" x14ac:dyDescent="0.2">
      <c r="H393" s="156"/>
      <c r="I393" s="157">
        <v>1600</v>
      </c>
      <c r="J393" s="182">
        <v>40507005</v>
      </c>
      <c r="K393" s="155"/>
      <c r="L393" s="31">
        <f>ROUND(J393/1000,0)</f>
        <v>40507</v>
      </c>
      <c r="P393" s="31">
        <f>O392-P392</f>
        <v>23228</v>
      </c>
    </row>
    <row r="394" spans="2:16" x14ac:dyDescent="0.2">
      <c r="C394" s="61">
        <f>-C391</f>
        <v>814</v>
      </c>
      <c r="H394" s="161"/>
      <c r="I394" s="157">
        <v>1610</v>
      </c>
      <c r="J394" s="158">
        <v>40507005</v>
      </c>
      <c r="K394" s="155"/>
    </row>
    <row r="395" spans="2:16" x14ac:dyDescent="0.2">
      <c r="H395" s="166"/>
      <c r="I395" s="157">
        <v>161002</v>
      </c>
      <c r="J395" s="158">
        <v>40507005</v>
      </c>
      <c r="K395" s="155"/>
    </row>
    <row r="396" spans="2:16" x14ac:dyDescent="0.2">
      <c r="H396" s="159"/>
      <c r="I396" s="154" t="s">
        <v>142</v>
      </c>
      <c r="J396" s="158">
        <v>40507005</v>
      </c>
      <c r="K396" s="155"/>
    </row>
    <row r="397" spans="2:16" x14ac:dyDescent="0.2">
      <c r="H397" s="159"/>
      <c r="I397" s="154" t="s">
        <v>143</v>
      </c>
      <c r="J397" s="155"/>
      <c r="K397" s="155"/>
    </row>
    <row r="398" spans="2:16" x14ac:dyDescent="0.2">
      <c r="H398" s="160"/>
      <c r="I398" s="151" t="s">
        <v>142</v>
      </c>
      <c r="J398" s="152">
        <v>148949899.34999999</v>
      </c>
      <c r="K398" s="152">
        <v>148949899.34999999</v>
      </c>
    </row>
    <row r="399" spans="2:16" x14ac:dyDescent="0.2">
      <c r="H399" s="160"/>
      <c r="I399" s="151" t="s">
        <v>143</v>
      </c>
      <c r="J399" s="153"/>
      <c r="K399" s="153"/>
    </row>
    <row r="400" spans="2:16" x14ac:dyDescent="0.2">
      <c r="H400" s="163"/>
      <c r="I400" s="148" t="s">
        <v>142</v>
      </c>
      <c r="J400" s="149">
        <v>2252174630.52</v>
      </c>
      <c r="K400" s="149">
        <v>2254859740.98</v>
      </c>
    </row>
    <row r="401" spans="8:12" x14ac:dyDescent="0.2">
      <c r="H401" s="163"/>
      <c r="I401" s="148" t="s">
        <v>143</v>
      </c>
      <c r="J401" s="149">
        <v>4658983.07</v>
      </c>
      <c r="K401" s="150"/>
    </row>
    <row r="402" spans="8:12" x14ac:dyDescent="0.2">
      <c r="H402" s="148" t="s">
        <v>420</v>
      </c>
      <c r="I402" s="148" t="s">
        <v>141</v>
      </c>
      <c r="J402" s="149">
        <v>4718689.07</v>
      </c>
      <c r="K402" s="150"/>
    </row>
    <row r="403" spans="8:12" ht="22.5" x14ac:dyDescent="0.2">
      <c r="H403" s="151" t="s">
        <v>429</v>
      </c>
      <c r="I403" s="151" t="s">
        <v>141</v>
      </c>
      <c r="J403" s="152">
        <v>1549489.5</v>
      </c>
      <c r="K403" s="153"/>
    </row>
    <row r="404" spans="8:12" x14ac:dyDescent="0.2">
      <c r="H404" s="154" t="s">
        <v>422</v>
      </c>
      <c r="I404" s="154" t="s">
        <v>141</v>
      </c>
      <c r="J404" s="155"/>
      <c r="K404" s="155"/>
    </row>
    <row r="405" spans="8:12" x14ac:dyDescent="0.2">
      <c r="H405" s="156"/>
      <c r="I405" s="157">
        <v>6200</v>
      </c>
      <c r="J405" s="181">
        <v>512730.5</v>
      </c>
      <c r="K405" s="155"/>
      <c r="L405" s="31">
        <f>ROUND(J405/1000,0)</f>
        <v>513</v>
      </c>
    </row>
    <row r="406" spans="8:12" x14ac:dyDescent="0.2">
      <c r="H406" s="161"/>
      <c r="I406" s="157">
        <v>6250</v>
      </c>
      <c r="J406" s="158">
        <v>512730.5</v>
      </c>
      <c r="K406" s="155"/>
    </row>
    <row r="407" spans="8:12" x14ac:dyDescent="0.2">
      <c r="H407" s="166"/>
      <c r="I407" s="157">
        <v>625001</v>
      </c>
      <c r="J407" s="158">
        <v>512730.5</v>
      </c>
      <c r="K407" s="155"/>
    </row>
    <row r="408" spans="8:12" x14ac:dyDescent="0.2">
      <c r="H408" s="156"/>
      <c r="I408" s="157">
        <v>7400</v>
      </c>
      <c r="J408" s="155"/>
      <c r="K408" s="181">
        <v>98276.5</v>
      </c>
      <c r="L408" s="31">
        <f>ROUND(K408/1000,0)</f>
        <v>98</v>
      </c>
    </row>
    <row r="409" spans="8:12" x14ac:dyDescent="0.2">
      <c r="H409" s="161"/>
      <c r="I409" s="157">
        <v>7430</v>
      </c>
      <c r="J409" s="155"/>
      <c r="K409" s="158">
        <v>98276.5</v>
      </c>
    </row>
    <row r="410" spans="8:12" x14ac:dyDescent="0.2">
      <c r="H410" s="166"/>
      <c r="I410" s="157">
        <v>743001</v>
      </c>
      <c r="J410" s="155"/>
      <c r="K410" s="158">
        <v>98276.5</v>
      </c>
    </row>
    <row r="411" spans="8:12" x14ac:dyDescent="0.2">
      <c r="H411" s="159"/>
      <c r="I411" s="154" t="s">
        <v>142</v>
      </c>
      <c r="J411" s="158">
        <v>512730.5</v>
      </c>
      <c r="K411" s="158">
        <v>98276.5</v>
      </c>
    </row>
    <row r="412" spans="8:12" x14ac:dyDescent="0.2">
      <c r="H412" s="159"/>
      <c r="I412" s="154" t="s">
        <v>143</v>
      </c>
      <c r="J412" s="155"/>
      <c r="K412" s="155"/>
    </row>
    <row r="413" spans="8:12" ht="22.5" x14ac:dyDescent="0.2">
      <c r="H413" s="173" t="s">
        <v>406</v>
      </c>
      <c r="I413" s="173" t="s">
        <v>141</v>
      </c>
      <c r="J413" s="174"/>
      <c r="K413" s="174"/>
      <c r="L413" s="175"/>
    </row>
    <row r="414" spans="8:12" x14ac:dyDescent="0.2">
      <c r="H414" s="156"/>
      <c r="I414" s="157">
        <v>3300</v>
      </c>
      <c r="J414" s="155"/>
      <c r="K414" s="158">
        <v>2281060</v>
      </c>
    </row>
    <row r="415" spans="8:12" x14ac:dyDescent="0.2">
      <c r="H415" s="161"/>
      <c r="I415" s="157">
        <v>3310</v>
      </c>
      <c r="J415" s="155"/>
      <c r="K415" s="158">
        <v>2281060</v>
      </c>
    </row>
    <row r="416" spans="8:12" x14ac:dyDescent="0.2">
      <c r="H416" s="159"/>
      <c r="I416" s="154" t="s">
        <v>142</v>
      </c>
      <c r="J416" s="155"/>
      <c r="K416" s="158">
        <v>2281060</v>
      </c>
      <c r="L416" s="31">
        <f>ROUND(K416/1000,0)</f>
        <v>2281</v>
      </c>
    </row>
    <row r="417" spans="8:16" x14ac:dyDescent="0.2">
      <c r="H417" s="159"/>
      <c r="I417" s="154" t="s">
        <v>143</v>
      </c>
      <c r="J417" s="155"/>
      <c r="K417" s="155"/>
    </row>
    <row r="418" spans="8:16" ht="22.5" x14ac:dyDescent="0.2">
      <c r="H418" s="154" t="s">
        <v>417</v>
      </c>
      <c r="I418" s="154" t="s">
        <v>141</v>
      </c>
      <c r="J418" s="155"/>
      <c r="K418" s="155"/>
    </row>
    <row r="419" spans="8:16" x14ac:dyDescent="0.2">
      <c r="H419" s="156"/>
      <c r="I419" s="157">
        <v>1000</v>
      </c>
      <c r="J419" s="183">
        <v>3025520</v>
      </c>
      <c r="K419" s="155"/>
      <c r="L419" s="184">
        <f>ROUND(J419/1000,0)</f>
        <v>3026</v>
      </c>
    </row>
    <row r="420" spans="8:16" x14ac:dyDescent="0.2">
      <c r="H420" s="161"/>
      <c r="I420" s="157">
        <v>1030</v>
      </c>
      <c r="J420" s="158">
        <v>3025520</v>
      </c>
      <c r="K420" s="155"/>
    </row>
    <row r="421" spans="8:16" x14ac:dyDescent="0.2">
      <c r="H421" s="159"/>
      <c r="I421" s="154" t="s">
        <v>142</v>
      </c>
      <c r="J421" s="158">
        <v>3025520</v>
      </c>
      <c r="K421" s="155"/>
    </row>
    <row r="422" spans="8:16" x14ac:dyDescent="0.2">
      <c r="H422" s="159"/>
      <c r="I422" s="154" t="s">
        <v>143</v>
      </c>
      <c r="J422" s="155"/>
      <c r="K422" s="155"/>
    </row>
    <row r="423" spans="8:16" x14ac:dyDescent="0.2">
      <c r="H423" s="160"/>
      <c r="I423" s="151" t="s">
        <v>142</v>
      </c>
      <c r="J423" s="152">
        <v>3538250.5</v>
      </c>
      <c r="K423" s="152">
        <v>2379336.5</v>
      </c>
    </row>
    <row r="424" spans="8:16" x14ac:dyDescent="0.2">
      <c r="H424" s="160"/>
      <c r="I424" s="151" t="s">
        <v>143</v>
      </c>
      <c r="J424" s="152">
        <v>2708403.5</v>
      </c>
      <c r="K424" s="153"/>
    </row>
    <row r="425" spans="8:16" ht="22.5" x14ac:dyDescent="0.2">
      <c r="H425" s="151" t="s">
        <v>421</v>
      </c>
      <c r="I425" s="151" t="s">
        <v>141</v>
      </c>
      <c r="J425" s="152">
        <v>3169199.57</v>
      </c>
      <c r="K425" s="153"/>
    </row>
    <row r="426" spans="8:16" x14ac:dyDescent="0.2">
      <c r="H426" s="154" t="s">
        <v>422</v>
      </c>
      <c r="I426" s="154" t="s">
        <v>141</v>
      </c>
      <c r="J426" s="155"/>
      <c r="K426" s="155"/>
    </row>
    <row r="427" spans="8:16" x14ac:dyDescent="0.2">
      <c r="H427" s="156"/>
      <c r="I427" s="157">
        <v>6200</v>
      </c>
      <c r="J427" s="181">
        <v>254095.08</v>
      </c>
      <c r="K427" s="155"/>
      <c r="L427" s="31">
        <f>ROUND(J427/1000,0)</f>
        <v>254</v>
      </c>
    </row>
    <row r="428" spans="8:16" x14ac:dyDescent="0.2">
      <c r="H428" s="161"/>
      <c r="I428" s="157">
        <v>6250</v>
      </c>
      <c r="J428" s="158">
        <v>254095.08</v>
      </c>
      <c r="K428" s="155"/>
      <c r="O428" s="61" t="s">
        <v>437</v>
      </c>
    </row>
    <row r="429" spans="8:16" x14ac:dyDescent="0.2">
      <c r="H429" s="166"/>
      <c r="I429" s="157">
        <v>625001</v>
      </c>
      <c r="J429" s="158">
        <v>254095.08</v>
      </c>
      <c r="K429" s="155"/>
    </row>
    <row r="430" spans="8:16" x14ac:dyDescent="0.2">
      <c r="H430" s="156"/>
      <c r="I430" s="157">
        <v>7400</v>
      </c>
      <c r="J430" s="155"/>
      <c r="K430" s="181">
        <v>173563.42</v>
      </c>
      <c r="L430" s="31">
        <f>ROUND(K430/1000,0)</f>
        <v>174</v>
      </c>
      <c r="O430" s="64">
        <f>J427-K431</f>
        <v>80531.659999999974</v>
      </c>
      <c r="P430" s="31">
        <f>ROUND(O430/1000,0)</f>
        <v>81</v>
      </c>
    </row>
    <row r="431" spans="8:16" x14ac:dyDescent="0.2">
      <c r="H431" s="161"/>
      <c r="I431" s="157">
        <v>7430</v>
      </c>
      <c r="J431" s="155"/>
      <c r="K431" s="158">
        <v>173563.42</v>
      </c>
      <c r="O431" s="64">
        <f>J407-K410</f>
        <v>414454</v>
      </c>
      <c r="P431" s="31">
        <f>ROUND(O431/1000,0)</f>
        <v>414</v>
      </c>
    </row>
    <row r="432" spans="8:16" x14ac:dyDescent="0.2">
      <c r="H432" s="166"/>
      <c r="I432" s="157">
        <v>743001</v>
      </c>
      <c r="J432" s="155"/>
      <c r="K432" s="158">
        <v>173563.42</v>
      </c>
      <c r="O432" s="64">
        <f>J11</f>
        <v>21075</v>
      </c>
      <c r="P432" s="31">
        <f>ROUND(O432/1000,0)</f>
        <v>21</v>
      </c>
    </row>
    <row r="433" spans="8:16" x14ac:dyDescent="0.2">
      <c r="H433" s="159"/>
      <c r="I433" s="154" t="s">
        <v>142</v>
      </c>
      <c r="J433" s="158">
        <v>254095.08</v>
      </c>
      <c r="K433" s="158">
        <v>173563.42</v>
      </c>
      <c r="O433" s="64">
        <f>O430+O431+O432</f>
        <v>516060.66</v>
      </c>
      <c r="P433" s="31">
        <f>ROUND(O433/1000,0)</f>
        <v>516</v>
      </c>
    </row>
    <row r="434" spans="8:16" x14ac:dyDescent="0.2">
      <c r="H434" s="159"/>
      <c r="I434" s="154" t="s">
        <v>143</v>
      </c>
      <c r="J434" s="155"/>
      <c r="K434" s="155"/>
    </row>
    <row r="435" spans="8:16" ht="33.75" x14ac:dyDescent="0.2">
      <c r="H435" s="173" t="s">
        <v>423</v>
      </c>
      <c r="I435" s="173" t="s">
        <v>141</v>
      </c>
      <c r="J435" s="174"/>
      <c r="K435" s="174"/>
    </row>
    <row r="436" spans="8:16" x14ac:dyDescent="0.2">
      <c r="H436" s="156"/>
      <c r="I436" s="157">
        <v>3300</v>
      </c>
      <c r="J436" s="155"/>
      <c r="K436" s="158">
        <v>7785313.9199999999</v>
      </c>
      <c r="L436" s="31">
        <f>ROUND(K436/1000,0)</f>
        <v>7785</v>
      </c>
    </row>
    <row r="437" spans="8:16" x14ac:dyDescent="0.2">
      <c r="H437" s="161"/>
      <c r="I437" s="157">
        <v>3310</v>
      </c>
      <c r="J437" s="155"/>
      <c r="K437" s="158">
        <v>7785313.9199999999</v>
      </c>
    </row>
    <row r="438" spans="8:16" x14ac:dyDescent="0.2">
      <c r="H438" s="159"/>
      <c r="I438" s="154" t="s">
        <v>142</v>
      </c>
      <c r="J438" s="155"/>
      <c r="K438" s="158">
        <v>7785313.9199999999</v>
      </c>
    </row>
    <row r="439" spans="8:16" x14ac:dyDescent="0.2">
      <c r="H439" s="159"/>
      <c r="I439" s="154" t="s">
        <v>143</v>
      </c>
      <c r="J439" s="155"/>
      <c r="K439" s="155"/>
    </row>
    <row r="440" spans="8:16" ht="22.5" x14ac:dyDescent="0.2">
      <c r="H440" s="154" t="s">
        <v>419</v>
      </c>
      <c r="I440" s="154" t="s">
        <v>141</v>
      </c>
      <c r="J440" s="155"/>
      <c r="K440" s="155"/>
    </row>
    <row r="441" spans="8:16" x14ac:dyDescent="0.2">
      <c r="H441" s="156"/>
      <c r="I441" s="157">
        <v>1000</v>
      </c>
      <c r="J441" s="155"/>
      <c r="K441" s="183">
        <v>3025520</v>
      </c>
      <c r="L441" s="184">
        <f>ROUND(K441/1000,0)</f>
        <v>3026</v>
      </c>
    </row>
    <row r="442" spans="8:16" x14ac:dyDescent="0.2">
      <c r="H442" s="161"/>
      <c r="I442" s="157">
        <v>1030</v>
      </c>
      <c r="J442" s="155"/>
      <c r="K442" s="158">
        <v>3025520</v>
      </c>
    </row>
    <row r="443" spans="8:16" x14ac:dyDescent="0.2">
      <c r="H443" s="159"/>
      <c r="I443" s="154" t="s">
        <v>142</v>
      </c>
      <c r="J443" s="155"/>
      <c r="K443" s="158">
        <v>3025520</v>
      </c>
    </row>
    <row r="444" spans="8:16" x14ac:dyDescent="0.2">
      <c r="H444" s="159"/>
      <c r="I444" s="154" t="s">
        <v>143</v>
      </c>
      <c r="J444" s="155"/>
      <c r="K444" s="155"/>
    </row>
    <row r="445" spans="8:16" ht="22.5" x14ac:dyDescent="0.2">
      <c r="H445" s="154" t="s">
        <v>417</v>
      </c>
      <c r="I445" s="154" t="s">
        <v>141</v>
      </c>
      <c r="J445" s="155"/>
      <c r="K445" s="155"/>
    </row>
    <row r="446" spans="8:16" x14ac:dyDescent="0.2">
      <c r="H446" s="156"/>
      <c r="I446" s="157">
        <v>1000</v>
      </c>
      <c r="J446" s="183">
        <v>8175100</v>
      </c>
      <c r="K446" s="155"/>
      <c r="L446" s="184">
        <f>ROUND(J446/1000,0)</f>
        <v>8175</v>
      </c>
    </row>
    <row r="447" spans="8:16" x14ac:dyDescent="0.2">
      <c r="H447" s="161"/>
      <c r="I447" s="157">
        <v>1020</v>
      </c>
      <c r="J447" s="158">
        <v>8175100</v>
      </c>
      <c r="K447" s="155"/>
    </row>
    <row r="448" spans="8:16" x14ac:dyDescent="0.2">
      <c r="H448" s="159"/>
      <c r="I448" s="154" t="s">
        <v>142</v>
      </c>
      <c r="J448" s="158">
        <v>8175100</v>
      </c>
      <c r="K448" s="155"/>
    </row>
    <row r="449" spans="8:14" x14ac:dyDescent="0.2">
      <c r="H449" s="159"/>
      <c r="I449" s="154" t="s">
        <v>143</v>
      </c>
      <c r="J449" s="155"/>
      <c r="K449" s="155"/>
    </row>
    <row r="450" spans="8:14" x14ac:dyDescent="0.2">
      <c r="H450" s="160"/>
      <c r="I450" s="151" t="s">
        <v>142</v>
      </c>
      <c r="J450" s="152">
        <v>8429195.0800000001</v>
      </c>
      <c r="K450" s="152">
        <v>10984397.34</v>
      </c>
    </row>
    <row r="451" spans="8:14" x14ac:dyDescent="0.2">
      <c r="H451" s="160"/>
      <c r="I451" s="151" t="s">
        <v>143</v>
      </c>
      <c r="J451" s="152">
        <v>613997.31000000006</v>
      </c>
      <c r="K451" s="153"/>
    </row>
    <row r="452" spans="8:14" x14ac:dyDescent="0.2">
      <c r="H452" s="163"/>
      <c r="I452" s="148" t="s">
        <v>142</v>
      </c>
      <c r="J452" s="149">
        <v>11967445.58</v>
      </c>
      <c r="K452" s="149">
        <v>13363733.84</v>
      </c>
    </row>
    <row r="453" spans="8:14" x14ac:dyDescent="0.2">
      <c r="H453" s="163"/>
      <c r="I453" s="148" t="s">
        <v>143</v>
      </c>
      <c r="J453" s="149">
        <v>3322400.81</v>
      </c>
      <c r="K453" s="150"/>
    </row>
    <row r="454" spans="8:14" x14ac:dyDescent="0.2">
      <c r="H454" s="164"/>
      <c r="I454" s="145" t="s">
        <v>142</v>
      </c>
      <c r="J454" s="146">
        <v>2267841001.0999999</v>
      </c>
      <c r="K454" s="146">
        <v>2271922399.8200002</v>
      </c>
    </row>
    <row r="455" spans="8:14" x14ac:dyDescent="0.2">
      <c r="H455" s="164"/>
      <c r="I455" s="145" t="s">
        <v>143</v>
      </c>
      <c r="J455" s="146">
        <v>7981383.8799999999</v>
      </c>
      <c r="K455" s="147"/>
    </row>
    <row r="457" spans="8:14" x14ac:dyDescent="0.2">
      <c r="J457" s="31">
        <f>ROUND(J455/1000,0)</f>
        <v>7981</v>
      </c>
    </row>
    <row r="461" spans="8:14" x14ac:dyDescent="0.2">
      <c r="J461" s="765">
        <v>1020</v>
      </c>
      <c r="K461" s="765"/>
      <c r="M461" s="765">
        <v>1030</v>
      </c>
      <c r="N461" s="765"/>
    </row>
    <row r="462" spans="8:14" x14ac:dyDescent="0.2">
      <c r="J462" s="31">
        <f>L446</f>
        <v>8175</v>
      </c>
      <c r="K462" s="31">
        <f>L212</f>
        <v>12105</v>
      </c>
      <c r="M462" s="31">
        <f>L419</f>
        <v>3026</v>
      </c>
      <c r="N462" s="31">
        <f>L441</f>
        <v>3026</v>
      </c>
    </row>
    <row r="463" spans="8:14" x14ac:dyDescent="0.2">
      <c r="J463" s="31">
        <f>L21</f>
        <v>3678</v>
      </c>
      <c r="M463" s="31">
        <f>L354</f>
        <v>11100</v>
      </c>
      <c r="N463" s="31">
        <f>L337</f>
        <v>79000</v>
      </c>
    </row>
    <row r="464" spans="8:14" x14ac:dyDescent="0.2">
      <c r="M464" s="31">
        <f>L319</f>
        <v>64000</v>
      </c>
      <c r="N464" s="31">
        <f>L332</f>
        <v>40000</v>
      </c>
    </row>
    <row r="465" spans="10:14" x14ac:dyDescent="0.2">
      <c r="J465" s="31">
        <f>J462+J463</f>
        <v>11853</v>
      </c>
      <c r="K465" s="31">
        <f>K462+K463</f>
        <v>12105</v>
      </c>
      <c r="M465" s="31">
        <f>L228+L223</f>
        <v>80000</v>
      </c>
      <c r="N465" s="31">
        <f>L207</f>
        <v>41000</v>
      </c>
    </row>
    <row r="466" spans="10:14" x14ac:dyDescent="0.2">
      <c r="J466" s="31">
        <f>-K466</f>
        <v>252</v>
      </c>
      <c r="K466" s="31">
        <f>J465-K465</f>
        <v>-252</v>
      </c>
      <c r="M466" s="31">
        <f>L38</f>
        <v>4900</v>
      </c>
    </row>
    <row r="467" spans="10:14" x14ac:dyDescent="0.2">
      <c r="J467" s="31">
        <f>P433</f>
        <v>516</v>
      </c>
      <c r="M467" s="31">
        <f>SUM(M462:M466)</f>
        <v>163026</v>
      </c>
      <c r="N467" s="31">
        <f>SUM(N462:N466)</f>
        <v>163026</v>
      </c>
    </row>
    <row r="468" spans="10:14" x14ac:dyDescent="0.2">
      <c r="K468" s="31">
        <f>J467+K466</f>
        <v>264</v>
      </c>
    </row>
  </sheetData>
  <mergeCells count="10">
    <mergeCell ref="O335:P335"/>
    <mergeCell ref="O329:P329"/>
    <mergeCell ref="I1:I4"/>
    <mergeCell ref="J1:J4"/>
    <mergeCell ref="K1:K4"/>
    <mergeCell ref="B1:B4"/>
    <mergeCell ref="C1:C4"/>
    <mergeCell ref="D1:D4"/>
    <mergeCell ref="J461:K461"/>
    <mergeCell ref="M461:N461"/>
  </mergeCells>
  <pageMargins left="0.7" right="0.7" top="0.75" bottom="0.75" header="0.3" footer="0.3"/>
  <pageSetup paperSize="9"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328D-05AA-4FB7-B6F1-87D6ACA646C6}">
  <dimension ref="A1:X376"/>
  <sheetViews>
    <sheetView topLeftCell="B112" workbookViewId="0">
      <selection activeCell="N132" sqref="N132"/>
    </sheetView>
  </sheetViews>
  <sheetFormatPr defaultRowHeight="15" x14ac:dyDescent="0.25"/>
  <cols>
    <col min="1" max="1" width="42.140625" style="61" customWidth="1"/>
    <col min="2" max="2" width="21.42578125" style="61" customWidth="1"/>
    <col min="3" max="4" width="13.140625" style="61" bestFit="1" customWidth="1"/>
    <col min="5" max="6" width="9.140625" style="61"/>
    <col min="7" max="10" width="0" style="61" hidden="1" customWidth="1"/>
    <col min="11" max="11" width="47.42578125" hidden="1" customWidth="1"/>
    <col min="12" max="12" width="53.140625" hidden="1" customWidth="1"/>
    <col min="14" max="14" width="47.42578125" customWidth="1"/>
    <col min="15" max="15" width="16.85546875" customWidth="1"/>
    <col min="16" max="17" width="11.7109375" bestFit="1" customWidth="1"/>
    <col min="21" max="22" width="13.5703125" bestFit="1" customWidth="1"/>
  </cols>
  <sheetData>
    <row r="1" spans="1:23" x14ac:dyDescent="0.25">
      <c r="A1" s="338" t="s">
        <v>137</v>
      </c>
      <c r="B1" s="771" t="s">
        <v>138</v>
      </c>
      <c r="C1" s="771" t="s">
        <v>139</v>
      </c>
      <c r="D1" s="771" t="s">
        <v>140</v>
      </c>
      <c r="N1" s="378" t="s">
        <v>137</v>
      </c>
      <c r="O1" s="769" t="s">
        <v>138</v>
      </c>
      <c r="P1" s="769" t="s">
        <v>139</v>
      </c>
      <c r="Q1" s="769" t="s">
        <v>140</v>
      </c>
    </row>
    <row r="2" spans="1:23" x14ac:dyDescent="0.25">
      <c r="A2" s="338" t="s">
        <v>383</v>
      </c>
      <c r="B2" s="772"/>
      <c r="C2" s="772"/>
      <c r="D2" s="772"/>
      <c r="K2" s="33">
        <f>F7</f>
        <v>521</v>
      </c>
      <c r="N2" s="378" t="s">
        <v>384</v>
      </c>
      <c r="O2" s="770"/>
      <c r="P2" s="770"/>
      <c r="Q2" s="770"/>
    </row>
    <row r="3" spans="1:23" x14ac:dyDescent="0.25">
      <c r="A3" s="338" t="s">
        <v>384</v>
      </c>
      <c r="B3" s="773"/>
      <c r="C3" s="773"/>
      <c r="D3" s="773"/>
      <c r="K3" s="33">
        <f>F82</f>
        <v>525</v>
      </c>
      <c r="L3" s="31"/>
      <c r="N3" s="379">
        <v>1030</v>
      </c>
      <c r="O3" s="380" t="s">
        <v>141</v>
      </c>
      <c r="P3" s="381">
        <v>7981383.8799999999</v>
      </c>
      <c r="Q3" s="382"/>
      <c r="R3" s="31">
        <f>ROUND(P3/1000,0)</f>
        <v>7981</v>
      </c>
      <c r="U3" s="43"/>
    </row>
    <row r="4" spans="1:23" ht="22.5" x14ac:dyDescent="0.25">
      <c r="A4" s="340" t="s">
        <v>534</v>
      </c>
      <c r="B4" s="367" t="s">
        <v>141</v>
      </c>
      <c r="C4" s="342">
        <v>2765015.71</v>
      </c>
      <c r="D4" s="341"/>
      <c r="E4" s="31">
        <f>ROUND(C4/1000,0)</f>
        <v>2765</v>
      </c>
      <c r="K4" s="33">
        <f>F114</f>
        <v>217</v>
      </c>
      <c r="L4" s="33"/>
      <c r="N4" s="383" t="s">
        <v>422</v>
      </c>
      <c r="O4" s="383" t="s">
        <v>141</v>
      </c>
      <c r="P4" s="384"/>
      <c r="Q4" s="384"/>
    </row>
    <row r="5" spans="1:23" x14ac:dyDescent="0.25">
      <c r="A5" s="339" t="s">
        <v>385</v>
      </c>
      <c r="B5" s="339" t="s">
        <v>141</v>
      </c>
      <c r="C5" s="342">
        <v>2745406.96</v>
      </c>
      <c r="D5" s="341"/>
      <c r="E5" s="31">
        <f>ROUND(C5/1000,0)</f>
        <v>2745</v>
      </c>
      <c r="K5" s="33">
        <f>H117+H121</f>
        <v>369</v>
      </c>
      <c r="N5" s="385"/>
      <c r="O5" s="386">
        <v>6200</v>
      </c>
      <c r="P5" s="387">
        <v>251503.32</v>
      </c>
      <c r="Q5" s="388"/>
      <c r="R5" s="31">
        <f>ROUND(P5/1000,0)</f>
        <v>252</v>
      </c>
    </row>
    <row r="6" spans="1:23" x14ac:dyDescent="0.25">
      <c r="A6" s="368" t="s">
        <v>390</v>
      </c>
      <c r="B6" s="368" t="s">
        <v>141</v>
      </c>
      <c r="C6" s="369"/>
      <c r="D6" s="369"/>
      <c r="K6" s="33">
        <f>F121</f>
        <v>23</v>
      </c>
      <c r="N6" s="389"/>
      <c r="O6" s="386">
        <v>6250</v>
      </c>
      <c r="P6" s="387">
        <v>251503.32</v>
      </c>
      <c r="Q6" s="388"/>
    </row>
    <row r="7" spans="1:23" x14ac:dyDescent="0.25">
      <c r="A7" s="370"/>
      <c r="B7" s="343" t="s">
        <v>535</v>
      </c>
      <c r="C7" s="344"/>
      <c r="D7" s="345">
        <v>520575</v>
      </c>
      <c r="F7" s="59">
        <f>ROUND(D7/1000,0)</f>
        <v>521</v>
      </c>
      <c r="K7" s="33">
        <f>F135+F140+F146</f>
        <v>203</v>
      </c>
      <c r="N7" s="385"/>
      <c r="O7" s="386">
        <v>7400</v>
      </c>
      <c r="P7" s="388"/>
      <c r="Q7" s="387">
        <v>328575.73</v>
      </c>
      <c r="S7" s="31">
        <f>ROUND(Q7/1000,0)</f>
        <v>329</v>
      </c>
    </row>
    <row r="8" spans="1:23" x14ac:dyDescent="0.25">
      <c r="A8" s="371"/>
      <c r="B8" s="343" t="s">
        <v>536</v>
      </c>
      <c r="C8" s="344"/>
      <c r="D8" s="345">
        <v>520575</v>
      </c>
      <c r="K8" s="33">
        <f>SUM(K2:K7)</f>
        <v>1858</v>
      </c>
      <c r="N8" s="389"/>
      <c r="O8" s="386">
        <v>7430</v>
      </c>
      <c r="P8" s="388"/>
      <c r="Q8" s="387">
        <v>328575.73</v>
      </c>
      <c r="S8" s="306">
        <f>S7-R5</f>
        <v>77</v>
      </c>
    </row>
    <row r="9" spans="1:23" x14ac:dyDescent="0.25">
      <c r="A9" s="372"/>
      <c r="B9" s="343" t="s">
        <v>537</v>
      </c>
      <c r="C9" s="344"/>
      <c r="D9" s="345">
        <v>520575</v>
      </c>
      <c r="N9" s="390"/>
      <c r="O9" s="383" t="s">
        <v>142</v>
      </c>
      <c r="P9" s="391">
        <v>251503.32</v>
      </c>
      <c r="Q9" s="391">
        <v>328575.73</v>
      </c>
    </row>
    <row r="10" spans="1:23" x14ac:dyDescent="0.25">
      <c r="A10" s="373"/>
      <c r="B10" s="368" t="s">
        <v>142</v>
      </c>
      <c r="C10" s="369"/>
      <c r="D10" s="374">
        <v>520575</v>
      </c>
      <c r="F10" s="31"/>
      <c r="N10" s="390"/>
      <c r="O10" s="383" t="s">
        <v>143</v>
      </c>
      <c r="P10" s="384"/>
      <c r="Q10" s="384"/>
    </row>
    <row r="11" spans="1:23" ht="22.5" x14ac:dyDescent="0.25">
      <c r="A11" s="373"/>
      <c r="B11" s="368" t="s">
        <v>143</v>
      </c>
      <c r="C11" s="369"/>
      <c r="D11" s="369"/>
      <c r="N11" s="383" t="s">
        <v>390</v>
      </c>
      <c r="O11" s="383" t="s">
        <v>141</v>
      </c>
      <c r="P11" s="384"/>
      <c r="Q11" s="384"/>
    </row>
    <row r="12" spans="1:23" x14ac:dyDescent="0.25">
      <c r="A12" s="368" t="s">
        <v>387</v>
      </c>
      <c r="B12" s="368" t="s">
        <v>141</v>
      </c>
      <c r="C12" s="369"/>
      <c r="D12" s="369"/>
      <c r="N12" s="385"/>
      <c r="O12" s="386">
        <v>1600</v>
      </c>
      <c r="P12" s="388"/>
      <c r="Q12" s="387">
        <v>1208400</v>
      </c>
      <c r="S12" s="31">
        <f>ROUND(Q12/1000,0)</f>
        <v>1208</v>
      </c>
      <c r="T12" s="305">
        <v>1060</v>
      </c>
      <c r="U12" t="s">
        <v>590</v>
      </c>
      <c r="W12" s="393">
        <f>S12-T12</f>
        <v>148</v>
      </c>
    </row>
    <row r="13" spans="1:23" x14ac:dyDescent="0.25">
      <c r="A13" s="370"/>
      <c r="B13" s="343" t="s">
        <v>540</v>
      </c>
      <c r="C13" s="344"/>
      <c r="D13" s="345">
        <v>36787485.460000001</v>
      </c>
      <c r="N13" s="389"/>
      <c r="O13" s="386">
        <v>1610</v>
      </c>
      <c r="P13" s="388"/>
      <c r="Q13" s="387">
        <v>1208400</v>
      </c>
    </row>
    <row r="14" spans="1:23" x14ac:dyDescent="0.25">
      <c r="A14" s="371"/>
      <c r="B14" s="343" t="s">
        <v>541</v>
      </c>
      <c r="C14" s="344"/>
      <c r="D14" s="345">
        <v>36787485.460000001</v>
      </c>
      <c r="N14" s="385"/>
      <c r="O14" s="386">
        <v>3300</v>
      </c>
      <c r="P14" s="388"/>
      <c r="Q14" s="387">
        <v>2325250</v>
      </c>
      <c r="S14" s="31">
        <f>ROUND(Q14/1000,0)</f>
        <v>2325</v>
      </c>
      <c r="T14" s="305">
        <v>2296</v>
      </c>
      <c r="U14" t="s">
        <v>436</v>
      </c>
      <c r="V14" s="393">
        <f>S14-T14</f>
        <v>29</v>
      </c>
    </row>
    <row r="15" spans="1:23" x14ac:dyDescent="0.25">
      <c r="A15" s="372"/>
      <c r="B15" s="343" t="s">
        <v>542</v>
      </c>
      <c r="C15" s="344"/>
      <c r="D15" s="345">
        <v>36787485.460000001</v>
      </c>
      <c r="F15" s="83">
        <f>ROUND(D15/1000,0)</f>
        <v>36787</v>
      </c>
      <c r="N15" s="390"/>
      <c r="O15" s="383" t="s">
        <v>142</v>
      </c>
      <c r="P15" s="384"/>
      <c r="Q15" s="391">
        <v>3533650</v>
      </c>
    </row>
    <row r="16" spans="1:23" x14ac:dyDescent="0.25">
      <c r="A16" s="370"/>
      <c r="B16" s="343" t="s">
        <v>538</v>
      </c>
      <c r="C16" s="344"/>
      <c r="D16" s="345">
        <v>17754649.120000001</v>
      </c>
      <c r="F16" s="175"/>
      <c r="N16" s="390"/>
      <c r="O16" s="383" t="s">
        <v>143</v>
      </c>
      <c r="P16" s="384"/>
      <c r="Q16" s="384"/>
    </row>
    <row r="17" spans="1:24" ht="22.5" x14ac:dyDescent="0.25">
      <c r="A17" s="371"/>
      <c r="B17" s="343" t="s">
        <v>543</v>
      </c>
      <c r="C17" s="344"/>
      <c r="D17" s="345">
        <v>17754649.120000001</v>
      </c>
      <c r="F17" s="83">
        <f>ROUND(D17/1000,0)</f>
        <v>17755</v>
      </c>
      <c r="N17" s="383" t="s">
        <v>387</v>
      </c>
      <c r="O17" s="383" t="s">
        <v>141</v>
      </c>
      <c r="P17" s="384"/>
      <c r="Q17" s="384"/>
      <c r="X17" s="306">
        <f>W12+V14+S53+S68+V76+S76</f>
        <v>406</v>
      </c>
    </row>
    <row r="18" spans="1:24" x14ac:dyDescent="0.25">
      <c r="A18" s="373"/>
      <c r="B18" s="368" t="s">
        <v>142</v>
      </c>
      <c r="C18" s="369"/>
      <c r="D18" s="374">
        <v>54542134.579999998</v>
      </c>
      <c r="N18" s="385"/>
      <c r="O18" s="386">
        <v>3300</v>
      </c>
      <c r="P18" s="388"/>
      <c r="Q18" s="387">
        <v>28655156.289999999</v>
      </c>
      <c r="S18" s="83">
        <f>ROUND(Q18/1000,0)</f>
        <v>28655</v>
      </c>
    </row>
    <row r="19" spans="1:24" x14ac:dyDescent="0.25">
      <c r="A19" s="373"/>
      <c r="B19" s="368" t="s">
        <v>143</v>
      </c>
      <c r="C19" s="369"/>
      <c r="D19" s="369"/>
      <c r="F19" s="31"/>
      <c r="N19" s="390"/>
      <c r="O19" s="383" t="s">
        <v>142</v>
      </c>
      <c r="P19" s="384"/>
      <c r="Q19" s="391">
        <v>28655156.289999999</v>
      </c>
    </row>
    <row r="20" spans="1:24" x14ac:dyDescent="0.25">
      <c r="A20" s="368" t="s">
        <v>585</v>
      </c>
      <c r="B20" s="368" t="s">
        <v>141</v>
      </c>
      <c r="C20" s="369"/>
      <c r="D20" s="369"/>
      <c r="N20" s="390"/>
      <c r="O20" s="383" t="s">
        <v>143</v>
      </c>
      <c r="P20" s="384"/>
      <c r="Q20" s="384"/>
    </row>
    <row r="21" spans="1:24" ht="22.5" x14ac:dyDescent="0.25">
      <c r="A21" s="370"/>
      <c r="B21" s="343" t="s">
        <v>538</v>
      </c>
      <c r="C21" s="344"/>
      <c r="D21" s="345">
        <v>2464000</v>
      </c>
      <c r="F21" s="83">
        <f>ROUND(D21/1000,0)</f>
        <v>2464</v>
      </c>
      <c r="N21" s="383" t="s">
        <v>391</v>
      </c>
      <c r="O21" s="383" t="s">
        <v>141</v>
      </c>
      <c r="P21" s="384"/>
      <c r="Q21" s="384"/>
    </row>
    <row r="22" spans="1:24" x14ac:dyDescent="0.25">
      <c r="A22" s="371"/>
      <c r="B22" s="343" t="s">
        <v>539</v>
      </c>
      <c r="C22" s="344"/>
      <c r="D22" s="345">
        <v>2464000</v>
      </c>
      <c r="N22" s="385"/>
      <c r="O22" s="386">
        <v>1200</v>
      </c>
      <c r="P22" s="388"/>
      <c r="Q22" s="387">
        <v>1500000</v>
      </c>
      <c r="S22" s="83">
        <f>ROUND(Q22/1000,0)</f>
        <v>1500</v>
      </c>
      <c r="T22" t="s">
        <v>589</v>
      </c>
    </row>
    <row r="23" spans="1:24" x14ac:dyDescent="0.25">
      <c r="A23" s="373"/>
      <c r="B23" s="368" t="s">
        <v>142</v>
      </c>
      <c r="C23" s="369"/>
      <c r="D23" s="374">
        <v>2464000</v>
      </c>
      <c r="N23" s="389"/>
      <c r="O23" s="386">
        <v>1250</v>
      </c>
      <c r="P23" s="388"/>
      <c r="Q23" s="387">
        <v>1500000</v>
      </c>
    </row>
    <row r="24" spans="1:24" x14ac:dyDescent="0.25">
      <c r="A24" s="373"/>
      <c r="B24" s="368" t="s">
        <v>143</v>
      </c>
      <c r="C24" s="369"/>
      <c r="D24" s="369"/>
      <c r="N24" s="385"/>
      <c r="O24" s="386">
        <v>1600</v>
      </c>
      <c r="P24" s="388"/>
      <c r="Q24" s="387">
        <v>200000</v>
      </c>
      <c r="S24" s="83">
        <f>ROUND(Q24/1000,0)</f>
        <v>200</v>
      </c>
      <c r="T24" t="s">
        <v>446</v>
      </c>
    </row>
    <row r="25" spans="1:24" x14ac:dyDescent="0.25">
      <c r="A25" s="368" t="s">
        <v>544</v>
      </c>
      <c r="B25" s="368" t="s">
        <v>141</v>
      </c>
      <c r="C25" s="369"/>
      <c r="D25" s="369"/>
      <c r="E25" s="31"/>
      <c r="N25" s="389"/>
      <c r="O25" s="386">
        <v>1610</v>
      </c>
      <c r="P25" s="388"/>
      <c r="Q25" s="387">
        <v>200000</v>
      </c>
    </row>
    <row r="26" spans="1:24" x14ac:dyDescent="0.25">
      <c r="A26" s="370"/>
      <c r="B26" s="343" t="s">
        <v>545</v>
      </c>
      <c r="C26" s="345">
        <v>846412289.88</v>
      </c>
      <c r="D26" s="344"/>
      <c r="E26" s="83">
        <f>ROUND(C26/1000,0)</f>
        <v>846412</v>
      </c>
      <c r="N26" s="390"/>
      <c r="O26" s="383" t="s">
        <v>142</v>
      </c>
      <c r="P26" s="384"/>
      <c r="Q26" s="391">
        <v>1700000</v>
      </c>
    </row>
    <row r="27" spans="1:24" x14ac:dyDescent="0.25">
      <c r="A27" s="371"/>
      <c r="B27" s="343" t="s">
        <v>546</v>
      </c>
      <c r="C27" s="345">
        <v>846412289.88</v>
      </c>
      <c r="D27" s="344"/>
      <c r="N27" s="390"/>
      <c r="O27" s="383" t="s">
        <v>143</v>
      </c>
      <c r="P27" s="384"/>
      <c r="Q27" s="384"/>
    </row>
    <row r="28" spans="1:24" ht="22.5" x14ac:dyDescent="0.25">
      <c r="A28" s="372"/>
      <c r="B28" s="343" t="s">
        <v>547</v>
      </c>
      <c r="C28" s="345">
        <v>846412289.88</v>
      </c>
      <c r="D28" s="344"/>
      <c r="F28" s="31"/>
      <c r="N28" s="383" t="s">
        <v>392</v>
      </c>
      <c r="O28" s="383" t="s">
        <v>141</v>
      </c>
      <c r="P28" s="384"/>
      <c r="Q28" s="384"/>
    </row>
    <row r="29" spans="1:24" x14ac:dyDescent="0.25">
      <c r="A29" s="370"/>
      <c r="B29" s="343" t="s">
        <v>540</v>
      </c>
      <c r="C29" s="345">
        <v>321039.28999999998</v>
      </c>
      <c r="D29" s="344"/>
      <c r="E29" s="83">
        <f>ROUND(C29/1000,0)</f>
        <v>321</v>
      </c>
      <c r="N29" s="385"/>
      <c r="O29" s="386">
        <v>3100</v>
      </c>
      <c r="P29" s="388"/>
      <c r="Q29" s="387">
        <v>7165591.9699999997</v>
      </c>
      <c r="S29" s="83">
        <f>ROUND(Q29/1000,0)</f>
        <v>7166</v>
      </c>
    </row>
    <row r="30" spans="1:24" x14ac:dyDescent="0.25">
      <c r="A30" s="371"/>
      <c r="B30" s="343" t="s">
        <v>548</v>
      </c>
      <c r="C30" s="345">
        <v>321039.28999999998</v>
      </c>
      <c r="D30" s="344"/>
      <c r="N30" s="390"/>
      <c r="O30" s="383" t="s">
        <v>142</v>
      </c>
      <c r="P30" s="384"/>
      <c r="Q30" s="391">
        <v>7165591.9699999997</v>
      </c>
    </row>
    <row r="31" spans="1:24" x14ac:dyDescent="0.25">
      <c r="A31" s="372"/>
      <c r="B31" s="343" t="s">
        <v>549</v>
      </c>
      <c r="C31" s="345">
        <v>321039.28999999998</v>
      </c>
      <c r="D31" s="344"/>
      <c r="N31" s="390"/>
      <c r="O31" s="383" t="s">
        <v>143</v>
      </c>
      <c r="P31" s="384"/>
      <c r="Q31" s="384"/>
    </row>
    <row r="32" spans="1:24" ht="22.5" x14ac:dyDescent="0.25">
      <c r="A32" s="373"/>
      <c r="B32" s="368" t="s">
        <v>142</v>
      </c>
      <c r="C32" s="374">
        <v>846733329.16999996</v>
      </c>
      <c r="D32" s="369"/>
      <c r="F32" s="31"/>
      <c r="N32" s="383" t="s">
        <v>423</v>
      </c>
      <c r="O32" s="383" t="s">
        <v>141</v>
      </c>
      <c r="P32" s="384"/>
      <c r="Q32" s="384"/>
    </row>
    <row r="33" spans="1:19" x14ac:dyDescent="0.25">
      <c r="A33" s="373"/>
      <c r="B33" s="368" t="s">
        <v>143</v>
      </c>
      <c r="C33" s="369"/>
      <c r="D33" s="369"/>
      <c r="N33" s="385"/>
      <c r="O33" s="386">
        <v>3300</v>
      </c>
      <c r="P33" s="388"/>
      <c r="Q33" s="387">
        <v>10084500</v>
      </c>
      <c r="S33" s="83">
        <f>ROUND(Q33/1000,0)</f>
        <v>10085</v>
      </c>
    </row>
    <row r="34" spans="1:19" x14ac:dyDescent="0.25">
      <c r="A34" s="368" t="s">
        <v>550</v>
      </c>
      <c r="B34" s="368" t="s">
        <v>141</v>
      </c>
      <c r="C34" s="369"/>
      <c r="D34" s="369"/>
      <c r="N34" s="390"/>
      <c r="O34" s="383" t="s">
        <v>142</v>
      </c>
      <c r="P34" s="384"/>
      <c r="Q34" s="391">
        <v>10084500</v>
      </c>
    </row>
    <row r="35" spans="1:19" x14ac:dyDescent="0.25">
      <c r="A35" s="370"/>
      <c r="B35" s="343" t="s">
        <v>545</v>
      </c>
      <c r="C35" s="344"/>
      <c r="D35" s="345">
        <v>816410394.02999997</v>
      </c>
      <c r="F35" s="83">
        <f>ROUND(D35/1000,0)</f>
        <v>816410</v>
      </c>
      <c r="N35" s="390"/>
      <c r="O35" s="383" t="s">
        <v>143</v>
      </c>
      <c r="P35" s="384"/>
      <c r="Q35" s="384"/>
    </row>
    <row r="36" spans="1:19" ht="22.5" x14ac:dyDescent="0.25">
      <c r="A36" s="371"/>
      <c r="B36" s="343" t="s">
        <v>546</v>
      </c>
      <c r="C36" s="344"/>
      <c r="D36" s="345">
        <v>816410394.02999997</v>
      </c>
      <c r="N36" s="383" t="s">
        <v>393</v>
      </c>
      <c r="O36" s="383" t="s">
        <v>141</v>
      </c>
      <c r="P36" s="384"/>
      <c r="Q36" s="384"/>
    </row>
    <row r="37" spans="1:19" x14ac:dyDescent="0.25">
      <c r="A37" s="372"/>
      <c r="B37" s="343" t="s">
        <v>547</v>
      </c>
      <c r="C37" s="344"/>
      <c r="D37" s="345">
        <v>816410394.02999997</v>
      </c>
      <c r="N37" s="385"/>
      <c r="O37" s="386">
        <v>1200</v>
      </c>
      <c r="P37" s="388"/>
      <c r="Q37" s="387">
        <v>16458960</v>
      </c>
      <c r="S37" s="83">
        <f>ROUND(Q37/1000,0)</f>
        <v>16459</v>
      </c>
    </row>
    <row r="38" spans="1:19" x14ac:dyDescent="0.25">
      <c r="A38" s="373"/>
      <c r="B38" s="368" t="s">
        <v>142</v>
      </c>
      <c r="C38" s="369"/>
      <c r="D38" s="374">
        <v>816410394.02999997</v>
      </c>
      <c r="N38" s="385"/>
      <c r="O38" s="386">
        <v>1600</v>
      </c>
      <c r="P38" s="388"/>
      <c r="Q38" s="387">
        <v>108000</v>
      </c>
      <c r="S38" s="83">
        <f>ROUND(Q38/1000,0)</f>
        <v>108</v>
      </c>
    </row>
    <row r="39" spans="1:19" x14ac:dyDescent="0.25">
      <c r="A39" s="373"/>
      <c r="B39" s="368" t="s">
        <v>143</v>
      </c>
      <c r="C39" s="369"/>
      <c r="D39" s="369"/>
      <c r="N39" s="389"/>
      <c r="O39" s="386">
        <v>1610</v>
      </c>
      <c r="P39" s="388"/>
      <c r="Q39" s="387">
        <v>108000</v>
      </c>
      <c r="S39" s="305"/>
    </row>
    <row r="40" spans="1:19" x14ac:dyDescent="0.25">
      <c r="A40" s="368" t="s">
        <v>391</v>
      </c>
      <c r="B40" s="368" t="s">
        <v>141</v>
      </c>
      <c r="C40" s="369"/>
      <c r="D40" s="369"/>
      <c r="N40" s="385"/>
      <c r="O40" s="386">
        <v>3300</v>
      </c>
      <c r="P40" s="388"/>
      <c r="Q40" s="387">
        <v>65441.7</v>
      </c>
      <c r="S40" s="83">
        <f>ROUND(Q40/1000,0)</f>
        <v>65</v>
      </c>
    </row>
    <row r="41" spans="1:19" x14ac:dyDescent="0.25">
      <c r="A41" s="370"/>
      <c r="B41" s="343" t="s">
        <v>540</v>
      </c>
      <c r="C41" s="344"/>
      <c r="D41" s="345">
        <v>470000</v>
      </c>
      <c r="N41" s="390"/>
      <c r="O41" s="383" t="s">
        <v>142</v>
      </c>
      <c r="P41" s="384"/>
      <c r="Q41" s="391">
        <v>16632401.699999999</v>
      </c>
    </row>
    <row r="42" spans="1:19" x14ac:dyDescent="0.25">
      <c r="A42" s="371"/>
      <c r="B42" s="343" t="s">
        <v>541</v>
      </c>
      <c r="C42" s="344"/>
      <c r="D42" s="345">
        <v>470000</v>
      </c>
      <c r="N42" s="390"/>
      <c r="O42" s="383" t="s">
        <v>143</v>
      </c>
      <c r="P42" s="384"/>
      <c r="Q42" s="384"/>
    </row>
    <row r="43" spans="1:19" ht="22.5" x14ac:dyDescent="0.25">
      <c r="A43" s="372"/>
      <c r="B43" s="343" t="s">
        <v>551</v>
      </c>
      <c r="C43" s="344"/>
      <c r="D43" s="345">
        <v>470000</v>
      </c>
      <c r="F43" s="83">
        <f>ROUND(D43/1000,0)</f>
        <v>470</v>
      </c>
      <c r="N43" s="383" t="s">
        <v>394</v>
      </c>
      <c r="O43" s="383" t="s">
        <v>141</v>
      </c>
      <c r="P43" s="384"/>
      <c r="Q43" s="384"/>
    </row>
    <row r="44" spans="1:19" x14ac:dyDescent="0.25">
      <c r="A44" s="370"/>
      <c r="B44" s="343" t="s">
        <v>535</v>
      </c>
      <c r="C44" s="344"/>
      <c r="D44" s="345">
        <v>331200</v>
      </c>
      <c r="N44" s="385"/>
      <c r="O44" s="386">
        <v>3300</v>
      </c>
      <c r="P44" s="388"/>
      <c r="Q44" s="387">
        <v>1539508.61</v>
      </c>
      <c r="S44" s="83">
        <f>ROUND(Q44/1000,0)</f>
        <v>1540</v>
      </c>
    </row>
    <row r="45" spans="1:19" x14ac:dyDescent="0.25">
      <c r="A45" s="371"/>
      <c r="B45" s="343" t="s">
        <v>536</v>
      </c>
      <c r="C45" s="344"/>
      <c r="D45" s="345">
        <v>331200</v>
      </c>
      <c r="N45" s="390"/>
      <c r="O45" s="383" t="s">
        <v>142</v>
      </c>
      <c r="P45" s="384"/>
      <c r="Q45" s="391">
        <v>1539508.61</v>
      </c>
    </row>
    <row r="46" spans="1:19" x14ac:dyDescent="0.25">
      <c r="A46" s="372"/>
      <c r="B46" s="343" t="s">
        <v>537</v>
      </c>
      <c r="C46" s="344"/>
      <c r="D46" s="345">
        <v>331200</v>
      </c>
      <c r="F46" s="83">
        <f>ROUND(D46/1000,0)</f>
        <v>331</v>
      </c>
      <c r="N46" s="390"/>
      <c r="O46" s="383" t="s">
        <v>143</v>
      </c>
      <c r="P46" s="384"/>
      <c r="Q46" s="384"/>
    </row>
    <row r="47" spans="1:19" ht="22.5" x14ac:dyDescent="0.25">
      <c r="A47" s="373"/>
      <c r="B47" s="368" t="s">
        <v>142</v>
      </c>
      <c r="C47" s="369"/>
      <c r="D47" s="374">
        <v>801200</v>
      </c>
      <c r="N47" s="383" t="s">
        <v>395</v>
      </c>
      <c r="O47" s="383" t="s">
        <v>141</v>
      </c>
      <c r="P47" s="384"/>
      <c r="Q47" s="384"/>
    </row>
    <row r="48" spans="1:19" x14ac:dyDescent="0.25">
      <c r="A48" s="373"/>
      <c r="B48" s="368" t="s">
        <v>143</v>
      </c>
      <c r="C48" s="369"/>
      <c r="D48" s="369"/>
      <c r="F48" s="31"/>
      <c r="N48" s="385"/>
      <c r="O48" s="386">
        <v>1600</v>
      </c>
      <c r="P48" s="388"/>
      <c r="Q48" s="387">
        <v>393000</v>
      </c>
      <c r="S48" s="83">
        <f>ROUND(Q48/1000,0)</f>
        <v>393</v>
      </c>
    </row>
    <row r="49" spans="1:19" x14ac:dyDescent="0.25">
      <c r="A49" s="368" t="s">
        <v>392</v>
      </c>
      <c r="B49" s="368" t="s">
        <v>141</v>
      </c>
      <c r="C49" s="369"/>
      <c r="D49" s="369"/>
      <c r="F49" s="31"/>
      <c r="N49" s="389"/>
      <c r="O49" s="386">
        <v>1610</v>
      </c>
      <c r="P49" s="388"/>
      <c r="Q49" s="387">
        <v>393000</v>
      </c>
    </row>
    <row r="50" spans="1:19" x14ac:dyDescent="0.25">
      <c r="A50" s="370"/>
      <c r="B50" s="343" t="s">
        <v>552</v>
      </c>
      <c r="C50" s="344"/>
      <c r="D50" s="345">
        <v>11854309.699999999</v>
      </c>
      <c r="N50" s="390"/>
      <c r="O50" s="383" t="s">
        <v>142</v>
      </c>
      <c r="P50" s="384"/>
      <c r="Q50" s="391">
        <v>393000</v>
      </c>
    </row>
    <row r="51" spans="1:19" x14ac:dyDescent="0.25">
      <c r="A51" s="371"/>
      <c r="B51" s="343" t="s">
        <v>553</v>
      </c>
      <c r="C51" s="344"/>
      <c r="D51" s="345">
        <v>6403891.4299999997</v>
      </c>
      <c r="N51" s="390"/>
      <c r="O51" s="383" t="s">
        <v>143</v>
      </c>
      <c r="P51" s="384"/>
      <c r="Q51" s="384"/>
    </row>
    <row r="52" spans="1:19" ht="22.5" x14ac:dyDescent="0.25">
      <c r="A52" s="371"/>
      <c r="B52" s="343" t="s">
        <v>554</v>
      </c>
      <c r="C52" s="344"/>
      <c r="D52" s="345">
        <v>5450418.2699999996</v>
      </c>
      <c r="N52" s="383" t="s">
        <v>396</v>
      </c>
      <c r="O52" s="383" t="s">
        <v>141</v>
      </c>
      <c r="P52" s="384"/>
      <c r="Q52" s="384"/>
    </row>
    <row r="53" spans="1:19" x14ac:dyDescent="0.25">
      <c r="A53" s="373"/>
      <c r="B53" s="368" t="s">
        <v>142</v>
      </c>
      <c r="C53" s="369"/>
      <c r="D53" s="374">
        <v>11854309.699999999</v>
      </c>
      <c r="F53" s="83">
        <f>ROUND(D53/1000,0)</f>
        <v>11854</v>
      </c>
      <c r="N53" s="385"/>
      <c r="O53" s="386">
        <v>1600</v>
      </c>
      <c r="P53" s="388"/>
      <c r="Q53" s="387">
        <v>67708</v>
      </c>
      <c r="S53" s="59">
        <f>ROUND(Q53/1000,0)</f>
        <v>68</v>
      </c>
    </row>
    <row r="54" spans="1:19" x14ac:dyDescent="0.25">
      <c r="A54" s="373"/>
      <c r="B54" s="368" t="s">
        <v>143</v>
      </c>
      <c r="C54" s="369"/>
      <c r="D54" s="369"/>
      <c r="N54" s="389"/>
      <c r="O54" s="386">
        <v>1610</v>
      </c>
      <c r="P54" s="388"/>
      <c r="Q54" s="387">
        <v>67708</v>
      </c>
    </row>
    <row r="55" spans="1:19" x14ac:dyDescent="0.25">
      <c r="A55" s="368" t="s">
        <v>393</v>
      </c>
      <c r="B55" s="368" t="s">
        <v>141</v>
      </c>
      <c r="C55" s="369"/>
      <c r="D55" s="369"/>
      <c r="F55" s="31"/>
      <c r="N55" s="390"/>
      <c r="O55" s="383" t="s">
        <v>142</v>
      </c>
      <c r="P55" s="384"/>
      <c r="Q55" s="391">
        <v>67708</v>
      </c>
    </row>
    <row r="56" spans="1:19" x14ac:dyDescent="0.25">
      <c r="A56" s="370"/>
      <c r="B56" s="343" t="s">
        <v>535</v>
      </c>
      <c r="C56" s="344"/>
      <c r="D56" s="345">
        <v>5463235.1799999997</v>
      </c>
      <c r="N56" s="390"/>
      <c r="O56" s="383" t="s">
        <v>143</v>
      </c>
      <c r="P56" s="384"/>
      <c r="Q56" s="384"/>
    </row>
    <row r="57" spans="1:19" ht="22.5" x14ac:dyDescent="0.25">
      <c r="A57" s="371"/>
      <c r="B57" s="343" t="s">
        <v>536</v>
      </c>
      <c r="C57" s="344"/>
      <c r="D57" s="345">
        <v>5463235.1799999997</v>
      </c>
      <c r="F57" s="31"/>
      <c r="N57" s="383" t="s">
        <v>398</v>
      </c>
      <c r="O57" s="383" t="s">
        <v>141</v>
      </c>
      <c r="P57" s="384"/>
      <c r="Q57" s="384"/>
    </row>
    <row r="58" spans="1:19" x14ac:dyDescent="0.25">
      <c r="A58" s="372"/>
      <c r="B58" s="343" t="s">
        <v>537</v>
      </c>
      <c r="C58" s="344"/>
      <c r="D58" s="345">
        <v>5463235.1799999997</v>
      </c>
      <c r="N58" s="385"/>
      <c r="O58" s="386">
        <v>3300</v>
      </c>
      <c r="P58" s="388"/>
      <c r="Q58" s="387">
        <v>3776</v>
      </c>
      <c r="S58" s="83">
        <f>ROUND(Q58/1000,0)</f>
        <v>4</v>
      </c>
    </row>
    <row r="59" spans="1:19" x14ac:dyDescent="0.25">
      <c r="A59" s="370"/>
      <c r="B59" s="343" t="s">
        <v>538</v>
      </c>
      <c r="C59" s="344"/>
      <c r="D59" s="345">
        <v>54000</v>
      </c>
      <c r="N59" s="390"/>
      <c r="O59" s="383" t="s">
        <v>142</v>
      </c>
      <c r="P59" s="384"/>
      <c r="Q59" s="391">
        <v>3776</v>
      </c>
    </row>
    <row r="60" spans="1:19" x14ac:dyDescent="0.25">
      <c r="A60" s="371"/>
      <c r="B60" s="343" t="s">
        <v>539</v>
      </c>
      <c r="C60" s="344"/>
      <c r="D60" s="345">
        <v>54000</v>
      </c>
      <c r="N60" s="390"/>
      <c r="O60" s="383" t="s">
        <v>143</v>
      </c>
      <c r="P60" s="384"/>
      <c r="Q60" s="384"/>
    </row>
    <row r="61" spans="1:19" ht="22.5" x14ac:dyDescent="0.25">
      <c r="A61" s="373"/>
      <c r="B61" s="368" t="s">
        <v>142</v>
      </c>
      <c r="C61" s="369"/>
      <c r="D61" s="374">
        <v>5517235.1799999997</v>
      </c>
      <c r="F61" s="83">
        <f>ROUND(D61/1000,0)</f>
        <v>5517</v>
      </c>
      <c r="N61" s="383" t="s">
        <v>399</v>
      </c>
      <c r="O61" s="383" t="s">
        <v>141</v>
      </c>
      <c r="P61" s="384"/>
      <c r="Q61" s="384"/>
    </row>
    <row r="62" spans="1:19" x14ac:dyDescent="0.25">
      <c r="A62" s="373"/>
      <c r="B62" s="368" t="s">
        <v>143</v>
      </c>
      <c r="C62" s="369"/>
      <c r="D62" s="369"/>
      <c r="F62" s="31"/>
      <c r="N62" s="385"/>
      <c r="O62" s="386">
        <v>1600</v>
      </c>
      <c r="P62" s="388"/>
      <c r="Q62" s="387">
        <v>950597</v>
      </c>
      <c r="S62" s="83">
        <f>ROUND(Q62/1000,0)</f>
        <v>951</v>
      </c>
    </row>
    <row r="63" spans="1:19" ht="22.5" x14ac:dyDescent="0.25">
      <c r="A63" s="368" t="s">
        <v>394</v>
      </c>
      <c r="B63" s="368" t="s">
        <v>141</v>
      </c>
      <c r="C63" s="369"/>
      <c r="D63" s="369"/>
      <c r="N63" s="389"/>
      <c r="O63" s="386">
        <v>1610</v>
      </c>
      <c r="P63" s="388"/>
      <c r="Q63" s="387">
        <v>950597</v>
      </c>
    </row>
    <row r="64" spans="1:19" x14ac:dyDescent="0.25">
      <c r="A64" s="370"/>
      <c r="B64" s="343" t="s">
        <v>538</v>
      </c>
      <c r="C64" s="344"/>
      <c r="D64" s="345">
        <v>1586883.07</v>
      </c>
      <c r="F64" s="83">
        <f>ROUND(D64/1000,0)</f>
        <v>1587</v>
      </c>
      <c r="N64" s="385"/>
      <c r="O64" s="386">
        <v>3300</v>
      </c>
      <c r="P64" s="388"/>
      <c r="Q64" s="387">
        <v>1141786.3999999999</v>
      </c>
      <c r="S64" s="83">
        <f>ROUND(Q64/1000,0)</f>
        <v>1142</v>
      </c>
    </row>
    <row r="65" spans="1:23" x14ac:dyDescent="0.25">
      <c r="A65" s="371"/>
      <c r="B65" s="343" t="s">
        <v>539</v>
      </c>
      <c r="C65" s="344"/>
      <c r="D65" s="345">
        <v>1586883.07</v>
      </c>
      <c r="N65" s="390"/>
      <c r="O65" s="383" t="s">
        <v>142</v>
      </c>
      <c r="P65" s="384"/>
      <c r="Q65" s="391">
        <v>2092383.4</v>
      </c>
    </row>
    <row r="66" spans="1:23" x14ac:dyDescent="0.25">
      <c r="A66" s="373"/>
      <c r="B66" s="368" t="s">
        <v>142</v>
      </c>
      <c r="C66" s="369"/>
      <c r="D66" s="374">
        <v>1586883.07</v>
      </c>
      <c r="N66" s="390"/>
      <c r="O66" s="383" t="s">
        <v>143</v>
      </c>
      <c r="P66" s="384"/>
      <c r="Q66" s="384"/>
    </row>
    <row r="67" spans="1:23" ht="22.5" x14ac:dyDescent="0.25">
      <c r="A67" s="373"/>
      <c r="B67" s="368" t="s">
        <v>143</v>
      </c>
      <c r="C67" s="369"/>
      <c r="D67" s="369"/>
      <c r="F67" s="31"/>
      <c r="N67" s="383" t="s">
        <v>400</v>
      </c>
      <c r="O67" s="383" t="s">
        <v>141</v>
      </c>
      <c r="P67" s="384"/>
      <c r="Q67" s="384"/>
    </row>
    <row r="68" spans="1:23" ht="22.5" x14ac:dyDescent="0.25">
      <c r="A68" s="368" t="s">
        <v>395</v>
      </c>
      <c r="B68" s="368" t="s">
        <v>141</v>
      </c>
      <c r="C68" s="369"/>
      <c r="D68" s="369"/>
      <c r="N68" s="385"/>
      <c r="O68" s="386">
        <v>3300</v>
      </c>
      <c r="P68" s="388"/>
      <c r="Q68" s="387">
        <v>9447.5</v>
      </c>
      <c r="S68" s="59">
        <f>ROUND(Q68/1000,0)</f>
        <v>9</v>
      </c>
    </row>
    <row r="69" spans="1:23" x14ac:dyDescent="0.25">
      <c r="A69" s="370"/>
      <c r="B69" s="343" t="s">
        <v>535</v>
      </c>
      <c r="C69" s="344"/>
      <c r="D69" s="345">
        <v>3462389</v>
      </c>
      <c r="F69" s="31"/>
      <c r="N69" s="390"/>
      <c r="O69" s="383" t="s">
        <v>142</v>
      </c>
      <c r="P69" s="384"/>
      <c r="Q69" s="391">
        <v>9447.5</v>
      </c>
    </row>
    <row r="70" spans="1:23" x14ac:dyDescent="0.25">
      <c r="A70" s="371"/>
      <c r="B70" s="343" t="s">
        <v>536</v>
      </c>
      <c r="C70" s="344"/>
      <c r="D70" s="345">
        <v>3462389</v>
      </c>
      <c r="N70" s="390"/>
      <c r="O70" s="383" t="s">
        <v>143</v>
      </c>
      <c r="P70" s="384"/>
      <c r="Q70" s="384"/>
    </row>
    <row r="71" spans="1:23" ht="22.5" x14ac:dyDescent="0.25">
      <c r="A71" s="372"/>
      <c r="B71" s="343" t="s">
        <v>537</v>
      </c>
      <c r="C71" s="344"/>
      <c r="D71" s="345">
        <v>3462389</v>
      </c>
      <c r="N71" s="383" t="s">
        <v>401</v>
      </c>
      <c r="O71" s="383" t="s">
        <v>141</v>
      </c>
      <c r="P71" s="384"/>
      <c r="Q71" s="384"/>
    </row>
    <row r="72" spans="1:23" x14ac:dyDescent="0.25">
      <c r="A72" s="370"/>
      <c r="B72" s="343" t="s">
        <v>538</v>
      </c>
      <c r="C72" s="344"/>
      <c r="D72" s="345">
        <v>31500</v>
      </c>
      <c r="N72" s="385"/>
      <c r="O72" s="386">
        <v>3300</v>
      </c>
      <c r="P72" s="388"/>
      <c r="Q72" s="387">
        <v>5884835.5999999996</v>
      </c>
      <c r="S72" s="31">
        <f>ROUND(Q72/1000,0)</f>
        <v>5885</v>
      </c>
      <c r="T72" s="305">
        <v>3687</v>
      </c>
      <c r="U72" t="s">
        <v>587</v>
      </c>
      <c r="V72" s="33">
        <f>S72-T72</f>
        <v>2198</v>
      </c>
    </row>
    <row r="73" spans="1:23" x14ac:dyDescent="0.25">
      <c r="A73" s="371"/>
      <c r="B73" s="343" t="s">
        <v>539</v>
      </c>
      <c r="C73" s="344"/>
      <c r="D73" s="345">
        <v>31500</v>
      </c>
      <c r="N73" s="390"/>
      <c r="O73" s="383" t="s">
        <v>142</v>
      </c>
      <c r="P73" s="384"/>
      <c r="Q73" s="391">
        <v>5884835.5999999996</v>
      </c>
      <c r="V73" s="305">
        <v>560</v>
      </c>
    </row>
    <row r="74" spans="1:23" x14ac:dyDescent="0.25">
      <c r="A74" s="373"/>
      <c r="B74" s="368" t="s">
        <v>142</v>
      </c>
      <c r="C74" s="369"/>
      <c r="D74" s="374">
        <v>3493889</v>
      </c>
      <c r="F74" s="83">
        <f>ROUND(D74/1000,0)</f>
        <v>3494</v>
      </c>
      <c r="N74" s="390"/>
      <c r="O74" s="383" t="s">
        <v>143</v>
      </c>
      <c r="P74" s="384"/>
      <c r="Q74" s="384"/>
      <c r="V74" s="33">
        <f>V72-V73</f>
        <v>1638</v>
      </c>
    </row>
    <row r="75" spans="1:23" ht="22.5" x14ac:dyDescent="0.25">
      <c r="A75" s="373"/>
      <c r="B75" s="368" t="s">
        <v>143</v>
      </c>
      <c r="C75" s="369"/>
      <c r="D75" s="369"/>
      <c r="N75" s="383" t="s">
        <v>555</v>
      </c>
      <c r="O75" s="383" t="s">
        <v>141</v>
      </c>
      <c r="P75" s="384"/>
      <c r="Q75" s="384"/>
      <c r="V75" s="305">
        <v>1624</v>
      </c>
      <c r="W75" t="s">
        <v>588</v>
      </c>
    </row>
    <row r="76" spans="1:23" x14ac:dyDescent="0.25">
      <c r="A76" s="368" t="s">
        <v>396</v>
      </c>
      <c r="B76" s="368" t="s">
        <v>141</v>
      </c>
      <c r="C76" s="369"/>
      <c r="D76" s="369"/>
      <c r="N76" s="385"/>
      <c r="O76" s="386">
        <v>1600</v>
      </c>
      <c r="P76" s="388"/>
      <c r="Q76" s="387">
        <v>138050</v>
      </c>
      <c r="S76" s="59">
        <f>ROUND(Q76/1000,0)</f>
        <v>138</v>
      </c>
      <c r="V76" s="393">
        <f>V74-V75</f>
        <v>14</v>
      </c>
    </row>
    <row r="77" spans="1:23" x14ac:dyDescent="0.25">
      <c r="A77" s="370"/>
      <c r="B77" s="343" t="s">
        <v>535</v>
      </c>
      <c r="C77" s="344"/>
      <c r="D77" s="345">
        <v>367960</v>
      </c>
      <c r="F77" s="31"/>
      <c r="N77" s="389"/>
      <c r="O77" s="386">
        <v>1610</v>
      </c>
      <c r="P77" s="388"/>
      <c r="Q77" s="387">
        <v>138050</v>
      </c>
    </row>
    <row r="78" spans="1:23" x14ac:dyDescent="0.25">
      <c r="A78" s="371"/>
      <c r="B78" s="343" t="s">
        <v>536</v>
      </c>
      <c r="C78" s="344"/>
      <c r="D78" s="345">
        <v>367960</v>
      </c>
      <c r="N78" s="390"/>
      <c r="O78" s="383" t="s">
        <v>142</v>
      </c>
      <c r="P78" s="384"/>
      <c r="Q78" s="391">
        <v>138050</v>
      </c>
    </row>
    <row r="79" spans="1:23" x14ac:dyDescent="0.25">
      <c r="A79" s="372"/>
      <c r="B79" s="343" t="s">
        <v>537</v>
      </c>
      <c r="C79" s="344"/>
      <c r="D79" s="345">
        <v>367960</v>
      </c>
      <c r="N79" s="390"/>
      <c r="O79" s="383" t="s">
        <v>143</v>
      </c>
      <c r="P79" s="384"/>
      <c r="Q79" s="384"/>
    </row>
    <row r="80" spans="1:23" ht="22.5" x14ac:dyDescent="0.25">
      <c r="A80" s="370"/>
      <c r="B80" s="343" t="s">
        <v>538</v>
      </c>
      <c r="C80" s="344"/>
      <c r="D80" s="345">
        <v>157293</v>
      </c>
      <c r="N80" s="383" t="s">
        <v>415</v>
      </c>
      <c r="O80" s="383" t="s">
        <v>141</v>
      </c>
      <c r="P80" s="384"/>
      <c r="Q80" s="384"/>
    </row>
    <row r="81" spans="1:19" x14ac:dyDescent="0.25">
      <c r="A81" s="371"/>
      <c r="B81" s="343" t="s">
        <v>539</v>
      </c>
      <c r="C81" s="344"/>
      <c r="D81" s="345">
        <v>157293</v>
      </c>
      <c r="N81" s="385"/>
      <c r="O81" s="386">
        <v>1600</v>
      </c>
      <c r="P81" s="388"/>
      <c r="Q81" s="387">
        <v>10000</v>
      </c>
      <c r="S81" s="83">
        <f>ROUND(Q81/1000,0)</f>
        <v>10</v>
      </c>
    </row>
    <row r="82" spans="1:19" x14ac:dyDescent="0.25">
      <c r="A82" s="373"/>
      <c r="B82" s="368" t="s">
        <v>142</v>
      </c>
      <c r="C82" s="369"/>
      <c r="D82" s="374">
        <v>525253</v>
      </c>
      <c r="F82" s="59">
        <f>ROUND(D82/1000,0)</f>
        <v>525</v>
      </c>
      <c r="N82" s="389"/>
      <c r="O82" s="386">
        <v>1610</v>
      </c>
      <c r="P82" s="388"/>
      <c r="Q82" s="387">
        <v>10000</v>
      </c>
    </row>
    <row r="83" spans="1:19" x14ac:dyDescent="0.25">
      <c r="A83" s="373"/>
      <c r="B83" s="368" t="s">
        <v>143</v>
      </c>
      <c r="C83" s="369"/>
      <c r="D83" s="369"/>
      <c r="N83" s="390"/>
      <c r="O83" s="383" t="s">
        <v>142</v>
      </c>
      <c r="P83" s="384"/>
      <c r="Q83" s="391">
        <v>10000</v>
      </c>
    </row>
    <row r="84" spans="1:19" ht="22.5" x14ac:dyDescent="0.25">
      <c r="A84" s="368" t="s">
        <v>397</v>
      </c>
      <c r="B84" s="368" t="s">
        <v>141</v>
      </c>
      <c r="C84" s="369"/>
      <c r="D84" s="369"/>
      <c r="N84" s="390"/>
      <c r="O84" s="383" t="s">
        <v>143</v>
      </c>
      <c r="P84" s="384"/>
      <c r="Q84" s="384"/>
    </row>
    <row r="85" spans="1:19" ht="22.5" x14ac:dyDescent="0.25">
      <c r="A85" s="370"/>
      <c r="B85" s="343" t="s">
        <v>535</v>
      </c>
      <c r="C85" s="344"/>
      <c r="D85" s="345">
        <v>824695</v>
      </c>
      <c r="F85" s="31"/>
      <c r="N85" s="383" t="s">
        <v>405</v>
      </c>
      <c r="O85" s="383" t="s">
        <v>141</v>
      </c>
      <c r="P85" s="384"/>
      <c r="Q85" s="384"/>
    </row>
    <row r="86" spans="1:19" x14ac:dyDescent="0.25">
      <c r="A86" s="371"/>
      <c r="B86" s="343" t="s">
        <v>536</v>
      </c>
      <c r="C86" s="344"/>
      <c r="D86" s="345">
        <v>824695</v>
      </c>
      <c r="N86" s="385"/>
      <c r="O86" s="386">
        <v>1600</v>
      </c>
      <c r="P86" s="388"/>
      <c r="Q86" s="387">
        <v>270000.59999999998</v>
      </c>
      <c r="S86" s="83">
        <f>ROUND(Q86/1000,0)</f>
        <v>270</v>
      </c>
    </row>
    <row r="87" spans="1:19" x14ac:dyDescent="0.25">
      <c r="A87" s="372"/>
      <c r="B87" s="343" t="s">
        <v>537</v>
      </c>
      <c r="C87" s="344"/>
      <c r="D87" s="345">
        <v>824695</v>
      </c>
      <c r="N87" s="389"/>
      <c r="O87" s="386">
        <v>1610</v>
      </c>
      <c r="P87" s="388"/>
      <c r="Q87" s="387">
        <v>270000.59999999998</v>
      </c>
    </row>
    <row r="88" spans="1:19" x14ac:dyDescent="0.25">
      <c r="A88" s="370"/>
      <c r="B88" s="343" t="s">
        <v>538</v>
      </c>
      <c r="C88" s="344"/>
      <c r="D88" s="345">
        <v>181166</v>
      </c>
      <c r="N88" s="390"/>
      <c r="O88" s="383" t="s">
        <v>142</v>
      </c>
      <c r="P88" s="384"/>
      <c r="Q88" s="391">
        <v>270000.59999999998</v>
      </c>
    </row>
    <row r="89" spans="1:19" x14ac:dyDescent="0.25">
      <c r="A89" s="371"/>
      <c r="B89" s="343" t="s">
        <v>539</v>
      </c>
      <c r="C89" s="344"/>
      <c r="D89" s="345">
        <v>181166</v>
      </c>
      <c r="N89" s="390"/>
      <c r="O89" s="383" t="s">
        <v>143</v>
      </c>
      <c r="P89" s="384"/>
      <c r="Q89" s="384"/>
    </row>
    <row r="90" spans="1:19" ht="22.5" x14ac:dyDescent="0.25">
      <c r="A90" s="373"/>
      <c r="B90" s="368" t="s">
        <v>142</v>
      </c>
      <c r="C90" s="369"/>
      <c r="D90" s="374">
        <v>1005861</v>
      </c>
      <c r="F90" s="83">
        <f>ROUND(D90/1000,0)</f>
        <v>1006</v>
      </c>
      <c r="N90" s="383" t="s">
        <v>406</v>
      </c>
      <c r="O90" s="383" t="s">
        <v>141</v>
      </c>
      <c r="P90" s="384"/>
      <c r="Q90" s="384"/>
    </row>
    <row r="91" spans="1:19" x14ac:dyDescent="0.25">
      <c r="A91" s="373"/>
      <c r="B91" s="368" t="s">
        <v>143</v>
      </c>
      <c r="C91" s="369"/>
      <c r="D91" s="369"/>
      <c r="N91" s="385"/>
      <c r="O91" s="386">
        <v>1600</v>
      </c>
      <c r="P91" s="388"/>
      <c r="Q91" s="387">
        <v>423479.75</v>
      </c>
      <c r="S91" s="31"/>
    </row>
    <row r="92" spans="1:19" x14ac:dyDescent="0.25">
      <c r="A92" s="368" t="s">
        <v>398</v>
      </c>
      <c r="B92" s="368" t="s">
        <v>141</v>
      </c>
      <c r="C92" s="369"/>
      <c r="D92" s="369"/>
      <c r="N92" s="389"/>
      <c r="O92" s="386">
        <v>1610</v>
      </c>
      <c r="P92" s="388"/>
      <c r="Q92" s="387">
        <v>423479.75</v>
      </c>
    </row>
    <row r="93" spans="1:19" x14ac:dyDescent="0.25">
      <c r="A93" s="370"/>
      <c r="B93" s="343" t="s">
        <v>535</v>
      </c>
      <c r="C93" s="344"/>
      <c r="D93" s="345">
        <v>6126</v>
      </c>
      <c r="F93" s="31"/>
      <c r="N93" s="385"/>
      <c r="O93" s="386">
        <v>3300</v>
      </c>
      <c r="P93" s="388"/>
      <c r="Q93" s="387">
        <v>10439819.890000001</v>
      </c>
      <c r="S93" s="31"/>
    </row>
    <row r="94" spans="1:19" x14ac:dyDescent="0.25">
      <c r="A94" s="371"/>
      <c r="B94" s="343" t="s">
        <v>536</v>
      </c>
      <c r="C94" s="344"/>
      <c r="D94" s="345">
        <v>6126</v>
      </c>
      <c r="N94" s="389"/>
      <c r="O94" s="386">
        <v>3380</v>
      </c>
      <c r="P94" s="388"/>
      <c r="Q94" s="387">
        <v>7598918.29</v>
      </c>
      <c r="S94" s="31"/>
    </row>
    <row r="95" spans="1:19" x14ac:dyDescent="0.25">
      <c r="A95" s="372"/>
      <c r="B95" s="343" t="s">
        <v>537</v>
      </c>
      <c r="C95" s="344"/>
      <c r="D95" s="345">
        <v>6126</v>
      </c>
      <c r="N95" s="390"/>
      <c r="O95" s="383" t="s">
        <v>142</v>
      </c>
      <c r="P95" s="384"/>
      <c r="Q95" s="391">
        <v>10863299.640000001</v>
      </c>
      <c r="S95" s="83">
        <f>ROUND(Q95/1000,0)</f>
        <v>10863</v>
      </c>
    </row>
    <row r="96" spans="1:19" x14ac:dyDescent="0.25">
      <c r="A96" s="370"/>
      <c r="B96" s="343" t="s">
        <v>538</v>
      </c>
      <c r="C96" s="344"/>
      <c r="D96" s="345">
        <v>119750</v>
      </c>
      <c r="N96" s="390"/>
      <c r="O96" s="383" t="s">
        <v>143</v>
      </c>
      <c r="P96" s="384"/>
      <c r="Q96" s="384"/>
    </row>
    <row r="97" spans="1:19" ht="22.5" x14ac:dyDescent="0.25">
      <c r="A97" s="371"/>
      <c r="B97" s="343" t="s">
        <v>539</v>
      </c>
      <c r="C97" s="344"/>
      <c r="D97" s="345">
        <v>119750</v>
      </c>
      <c r="N97" s="383" t="s">
        <v>407</v>
      </c>
      <c r="O97" s="383" t="s">
        <v>141</v>
      </c>
      <c r="P97" s="384"/>
      <c r="Q97" s="384"/>
    </row>
    <row r="98" spans="1:19" x14ac:dyDescent="0.25">
      <c r="A98" s="373"/>
      <c r="B98" s="368" t="s">
        <v>142</v>
      </c>
      <c r="C98" s="369"/>
      <c r="D98" s="374">
        <v>125876</v>
      </c>
      <c r="F98" s="83">
        <f>ROUND(D98/1000,0)</f>
        <v>126</v>
      </c>
      <c r="N98" s="385"/>
      <c r="O98" s="386">
        <v>3300</v>
      </c>
      <c r="P98" s="388"/>
      <c r="Q98" s="387">
        <v>250020</v>
      </c>
      <c r="S98" s="83">
        <f>ROUND(Q98/1000,0)</f>
        <v>250</v>
      </c>
    </row>
    <row r="99" spans="1:19" x14ac:dyDescent="0.25">
      <c r="A99" s="373"/>
      <c r="B99" s="368" t="s">
        <v>143</v>
      </c>
      <c r="C99" s="369"/>
      <c r="D99" s="369"/>
      <c r="N99" s="390"/>
      <c r="O99" s="383" t="s">
        <v>142</v>
      </c>
      <c r="P99" s="384"/>
      <c r="Q99" s="391">
        <v>250020</v>
      </c>
    </row>
    <row r="100" spans="1:19" x14ac:dyDescent="0.25">
      <c r="A100" s="368" t="s">
        <v>399</v>
      </c>
      <c r="B100" s="368" t="s">
        <v>141</v>
      </c>
      <c r="C100" s="369"/>
      <c r="D100" s="369"/>
      <c r="F100" s="31"/>
      <c r="N100" s="390"/>
      <c r="O100" s="383" t="s">
        <v>143</v>
      </c>
      <c r="P100" s="384"/>
      <c r="Q100" s="384"/>
    </row>
    <row r="101" spans="1:19" ht="22.5" x14ac:dyDescent="0.25">
      <c r="A101" s="370"/>
      <c r="B101" s="343" t="s">
        <v>535</v>
      </c>
      <c r="C101" s="344"/>
      <c r="D101" s="345">
        <v>4143416</v>
      </c>
      <c r="N101" s="383" t="s">
        <v>408</v>
      </c>
      <c r="O101" s="383" t="s">
        <v>141</v>
      </c>
      <c r="P101" s="384"/>
      <c r="Q101" s="384"/>
    </row>
    <row r="102" spans="1:19" x14ac:dyDescent="0.25">
      <c r="A102" s="371"/>
      <c r="B102" s="343" t="s">
        <v>536</v>
      </c>
      <c r="C102" s="344"/>
      <c r="D102" s="345">
        <v>4143416</v>
      </c>
      <c r="F102" s="31"/>
      <c r="N102" s="385"/>
      <c r="O102" s="386">
        <v>1200</v>
      </c>
      <c r="P102" s="387">
        <v>29269633.32</v>
      </c>
      <c r="Q102" s="388"/>
      <c r="R102" s="31">
        <f>ROUND(P102/1000,0)</f>
        <v>29270</v>
      </c>
    </row>
    <row r="103" spans="1:19" x14ac:dyDescent="0.25">
      <c r="A103" s="372"/>
      <c r="B103" s="343" t="s">
        <v>537</v>
      </c>
      <c r="C103" s="344"/>
      <c r="D103" s="345">
        <v>4143416</v>
      </c>
      <c r="N103" s="389"/>
      <c r="O103" s="386">
        <v>1270</v>
      </c>
      <c r="P103" s="387">
        <v>7911568.7999999998</v>
      </c>
      <c r="Q103" s="388"/>
      <c r="R103" s="31">
        <f>ROUND(P103/1000,0)</f>
        <v>7912</v>
      </c>
    </row>
    <row r="104" spans="1:19" x14ac:dyDescent="0.25">
      <c r="A104" s="370"/>
      <c r="B104" s="343" t="s">
        <v>538</v>
      </c>
      <c r="C104" s="344"/>
      <c r="D104" s="345">
        <v>1200000</v>
      </c>
      <c r="N104" s="390"/>
      <c r="O104" s="383" t="s">
        <v>142</v>
      </c>
      <c r="P104" s="391">
        <v>29269633.32</v>
      </c>
      <c r="Q104" s="384"/>
      <c r="R104" s="83">
        <f>ROUND(P104/1000,0)</f>
        <v>29270</v>
      </c>
    </row>
    <row r="105" spans="1:19" x14ac:dyDescent="0.25">
      <c r="A105" s="371"/>
      <c r="B105" s="343" t="s">
        <v>539</v>
      </c>
      <c r="C105" s="344"/>
      <c r="D105" s="345">
        <v>1200000</v>
      </c>
      <c r="N105" s="390"/>
      <c r="O105" s="383" t="s">
        <v>143</v>
      </c>
      <c r="P105" s="384"/>
      <c r="Q105" s="384"/>
    </row>
    <row r="106" spans="1:19" ht="22.5" x14ac:dyDescent="0.25">
      <c r="A106" s="373"/>
      <c r="B106" s="368" t="s">
        <v>142</v>
      </c>
      <c r="C106" s="369"/>
      <c r="D106" s="374">
        <v>5343416</v>
      </c>
      <c r="F106" s="83">
        <f>ROUND(D106/1000,0)</f>
        <v>5343</v>
      </c>
      <c r="N106" s="383" t="s">
        <v>51</v>
      </c>
      <c r="O106" s="383" t="s">
        <v>141</v>
      </c>
      <c r="P106" s="384"/>
      <c r="Q106" s="384"/>
    </row>
    <row r="107" spans="1:19" x14ac:dyDescent="0.25">
      <c r="A107" s="373"/>
      <c r="B107" s="368" t="s">
        <v>143</v>
      </c>
      <c r="C107" s="369"/>
      <c r="D107" s="369"/>
      <c r="N107" s="385"/>
      <c r="O107" s="386">
        <v>1600</v>
      </c>
      <c r="P107" s="388"/>
      <c r="Q107" s="387">
        <v>2819985</v>
      </c>
      <c r="S107" s="83">
        <f>ROUND(Q107/1000,0)</f>
        <v>2820</v>
      </c>
    </row>
    <row r="108" spans="1:19" x14ac:dyDescent="0.25">
      <c r="A108" s="368" t="s">
        <v>400</v>
      </c>
      <c r="B108" s="368" t="s">
        <v>141</v>
      </c>
      <c r="C108" s="369"/>
      <c r="D108" s="369"/>
      <c r="N108" s="389"/>
      <c r="O108" s="386">
        <v>1610</v>
      </c>
      <c r="P108" s="388"/>
      <c r="Q108" s="387">
        <v>2819985</v>
      </c>
    </row>
    <row r="109" spans="1:19" x14ac:dyDescent="0.25">
      <c r="A109" s="370"/>
      <c r="B109" s="343" t="s">
        <v>535</v>
      </c>
      <c r="C109" s="344"/>
      <c r="D109" s="345">
        <v>22977.919999999998</v>
      </c>
      <c r="F109" s="31"/>
      <c r="N109" s="390"/>
      <c r="O109" s="383" t="s">
        <v>142</v>
      </c>
      <c r="P109" s="384"/>
      <c r="Q109" s="391">
        <v>2819985</v>
      </c>
    </row>
    <row r="110" spans="1:19" x14ac:dyDescent="0.25">
      <c r="A110" s="371"/>
      <c r="B110" s="343" t="s">
        <v>536</v>
      </c>
      <c r="C110" s="344"/>
      <c r="D110" s="345">
        <v>22977.919999999998</v>
      </c>
      <c r="N110" s="390"/>
      <c r="O110" s="383" t="s">
        <v>143</v>
      </c>
      <c r="P110" s="384"/>
      <c r="Q110" s="384"/>
    </row>
    <row r="111" spans="1:19" ht="22.5" x14ac:dyDescent="0.25">
      <c r="A111" s="372"/>
      <c r="B111" s="343" t="s">
        <v>537</v>
      </c>
      <c r="C111" s="344"/>
      <c r="D111" s="345">
        <v>22977.919999999998</v>
      </c>
      <c r="N111" s="383" t="s">
        <v>409</v>
      </c>
      <c r="O111" s="383" t="s">
        <v>141</v>
      </c>
      <c r="P111" s="384"/>
      <c r="Q111" s="384"/>
    </row>
    <row r="112" spans="1:19" x14ac:dyDescent="0.25">
      <c r="A112" s="370"/>
      <c r="B112" s="343" t="s">
        <v>538</v>
      </c>
      <c r="C112" s="344"/>
      <c r="D112" s="345">
        <v>194132.08</v>
      </c>
      <c r="N112" s="385"/>
      <c r="O112" s="386">
        <v>1000</v>
      </c>
      <c r="P112" s="388"/>
      <c r="Q112" s="394">
        <v>30000000</v>
      </c>
      <c r="S112" s="59">
        <f>ROUND(Q112/1000,0)</f>
        <v>30000</v>
      </c>
    </row>
    <row r="113" spans="1:19" x14ac:dyDescent="0.25">
      <c r="A113" s="371"/>
      <c r="B113" s="343" t="s">
        <v>539</v>
      </c>
      <c r="C113" s="344"/>
      <c r="D113" s="345">
        <v>194132.08</v>
      </c>
      <c r="N113" s="390"/>
      <c r="O113" s="383" t="s">
        <v>142</v>
      </c>
      <c r="P113" s="384"/>
      <c r="Q113" s="391">
        <v>30000000</v>
      </c>
    </row>
    <row r="114" spans="1:19" x14ac:dyDescent="0.25">
      <c r="A114" s="373"/>
      <c r="B114" s="368" t="s">
        <v>142</v>
      </c>
      <c r="C114" s="369"/>
      <c r="D114" s="374">
        <v>217110</v>
      </c>
      <c r="F114" s="59">
        <f>ROUND(D114/1000,0)</f>
        <v>217</v>
      </c>
      <c r="G114" s="31"/>
      <c r="N114" s="390"/>
      <c r="O114" s="383" t="s">
        <v>143</v>
      </c>
      <c r="P114" s="384"/>
      <c r="Q114" s="384"/>
    </row>
    <row r="115" spans="1:19" ht="22.5" x14ac:dyDescent="0.25">
      <c r="A115" s="373"/>
      <c r="B115" s="368" t="s">
        <v>143</v>
      </c>
      <c r="C115" s="369"/>
      <c r="D115" s="369"/>
      <c r="N115" s="383" t="s">
        <v>409</v>
      </c>
      <c r="O115" s="383" t="s">
        <v>141</v>
      </c>
      <c r="P115" s="384"/>
      <c r="Q115" s="384"/>
    </row>
    <row r="116" spans="1:19" x14ac:dyDescent="0.25">
      <c r="A116" s="368" t="s">
        <v>401</v>
      </c>
      <c r="B116" s="368" t="s">
        <v>141</v>
      </c>
      <c r="C116" s="369"/>
      <c r="D116" s="369"/>
      <c r="G116" s="61" t="s">
        <v>584</v>
      </c>
      <c r="N116" s="385"/>
      <c r="O116" s="386">
        <v>1000</v>
      </c>
      <c r="P116" s="388"/>
      <c r="Q116" s="394">
        <v>67761088.189999998</v>
      </c>
      <c r="S116" s="59">
        <f>ROUND(Q116/1000,0)</f>
        <v>67761</v>
      </c>
    </row>
    <row r="117" spans="1:19" x14ac:dyDescent="0.25">
      <c r="A117" s="370"/>
      <c r="B117" s="343" t="s">
        <v>535</v>
      </c>
      <c r="C117" s="344"/>
      <c r="D117" s="345">
        <v>1455244.18</v>
      </c>
      <c r="F117" s="31">
        <f>ROUND(D117/1000,0)</f>
        <v>1455</v>
      </c>
      <c r="G117" s="83">
        <v>1086</v>
      </c>
      <c r="H117" s="59">
        <f>F117-G117</f>
        <v>369</v>
      </c>
      <c r="N117" s="385"/>
      <c r="O117" s="386">
        <v>1100</v>
      </c>
      <c r="P117" s="388"/>
      <c r="Q117" s="387">
        <v>130002583.22</v>
      </c>
    </row>
    <row r="118" spans="1:19" x14ac:dyDescent="0.25">
      <c r="A118" s="371"/>
      <c r="B118" s="343" t="s">
        <v>536</v>
      </c>
      <c r="C118" s="344"/>
      <c r="D118" s="345">
        <v>1455244.18</v>
      </c>
      <c r="N118" s="389"/>
      <c r="O118" s="386">
        <v>1150</v>
      </c>
      <c r="P118" s="388"/>
      <c r="Q118" s="387">
        <v>130002583.22</v>
      </c>
      <c r="S118" s="31">
        <f>ROUND(Q118/1000,0)</f>
        <v>130003</v>
      </c>
    </row>
    <row r="119" spans="1:19" x14ac:dyDescent="0.25">
      <c r="A119" s="372"/>
      <c r="B119" s="343" t="s">
        <v>537</v>
      </c>
      <c r="C119" s="344"/>
      <c r="D119" s="345">
        <v>1455244.18</v>
      </c>
      <c r="N119" s="390"/>
      <c r="O119" s="383" t="s">
        <v>142</v>
      </c>
      <c r="P119" s="384"/>
      <c r="Q119" s="391">
        <v>197763671.41</v>
      </c>
    </row>
    <row r="120" spans="1:19" x14ac:dyDescent="0.25">
      <c r="A120" s="370"/>
      <c r="B120" s="343" t="s">
        <v>538</v>
      </c>
      <c r="C120" s="344"/>
      <c r="D120" s="345">
        <v>23000</v>
      </c>
      <c r="N120" s="390"/>
      <c r="O120" s="383" t="s">
        <v>143</v>
      </c>
      <c r="P120" s="384"/>
      <c r="Q120" s="384"/>
    </row>
    <row r="121" spans="1:19" ht="22.5" x14ac:dyDescent="0.25">
      <c r="A121" s="371"/>
      <c r="B121" s="343" t="s">
        <v>539</v>
      </c>
      <c r="C121" s="344"/>
      <c r="D121" s="345">
        <v>23000</v>
      </c>
      <c r="F121" s="59">
        <f>ROUND(D121/1000,0)</f>
        <v>23</v>
      </c>
      <c r="N121" s="383" t="s">
        <v>419</v>
      </c>
      <c r="O121" s="383" t="s">
        <v>141</v>
      </c>
      <c r="P121" s="384"/>
      <c r="Q121" s="384"/>
    </row>
    <row r="122" spans="1:19" x14ac:dyDescent="0.25">
      <c r="A122" s="373"/>
      <c r="B122" s="368" t="s">
        <v>142</v>
      </c>
      <c r="C122" s="369"/>
      <c r="D122" s="374">
        <v>1478244.18</v>
      </c>
      <c r="F122" s="31">
        <f>ROUND(D122/1000,0)</f>
        <v>1478</v>
      </c>
      <c r="N122" s="385"/>
      <c r="O122" s="386">
        <v>3300</v>
      </c>
      <c r="P122" s="388"/>
      <c r="Q122" s="387">
        <v>20000396.079999998</v>
      </c>
      <c r="S122" s="83">
        <f>ROUND(Q122/1000,0)</f>
        <v>20000</v>
      </c>
    </row>
    <row r="123" spans="1:19" x14ac:dyDescent="0.25">
      <c r="A123" s="373"/>
      <c r="B123" s="368" t="s">
        <v>143</v>
      </c>
      <c r="C123" s="369"/>
      <c r="D123" s="369"/>
      <c r="N123" s="390"/>
      <c r="O123" s="383" t="s">
        <v>142</v>
      </c>
      <c r="P123" s="384"/>
      <c r="Q123" s="391">
        <v>20000396.079999998</v>
      </c>
    </row>
    <row r="124" spans="1:19" x14ac:dyDescent="0.25">
      <c r="A124" s="368" t="s">
        <v>402</v>
      </c>
      <c r="B124" s="368" t="s">
        <v>141</v>
      </c>
      <c r="C124" s="369"/>
      <c r="D124" s="369"/>
      <c r="N124" s="390"/>
      <c r="O124" s="383" t="s">
        <v>143</v>
      </c>
      <c r="P124" s="384"/>
      <c r="Q124" s="384"/>
    </row>
    <row r="125" spans="1:19" ht="22.5" x14ac:dyDescent="0.25">
      <c r="A125" s="370"/>
      <c r="B125" s="343" t="s">
        <v>535</v>
      </c>
      <c r="C125" s="344"/>
      <c r="D125" s="345">
        <v>111880</v>
      </c>
      <c r="F125" s="31"/>
      <c r="N125" s="383" t="s">
        <v>361</v>
      </c>
      <c r="O125" s="383" t="s">
        <v>141</v>
      </c>
      <c r="P125" s="384"/>
      <c r="Q125" s="384"/>
    </row>
    <row r="126" spans="1:19" x14ac:dyDescent="0.25">
      <c r="A126" s="371"/>
      <c r="B126" s="343" t="s">
        <v>536</v>
      </c>
      <c r="C126" s="344"/>
      <c r="D126" s="345">
        <v>111880</v>
      </c>
      <c r="N126" s="385"/>
      <c r="O126" s="386">
        <v>1600</v>
      </c>
      <c r="P126" s="388"/>
      <c r="Q126" s="387">
        <v>1059801.3600000001</v>
      </c>
      <c r="S126" s="83">
        <f>ROUND(Q126/1000,0)</f>
        <v>1060</v>
      </c>
    </row>
    <row r="127" spans="1:19" x14ac:dyDescent="0.25">
      <c r="A127" s="372"/>
      <c r="B127" s="343" t="s">
        <v>537</v>
      </c>
      <c r="C127" s="344"/>
      <c r="D127" s="345">
        <v>111880</v>
      </c>
      <c r="N127" s="389"/>
      <c r="O127" s="386">
        <v>1610</v>
      </c>
      <c r="P127" s="388"/>
      <c r="Q127" s="387">
        <v>1059801.3600000001</v>
      </c>
    </row>
    <row r="128" spans="1:19" x14ac:dyDescent="0.25">
      <c r="A128" s="370"/>
      <c r="B128" s="343" t="s">
        <v>538</v>
      </c>
      <c r="C128" s="344"/>
      <c r="D128" s="345">
        <v>78000</v>
      </c>
      <c r="N128" s="390"/>
      <c r="O128" s="383" t="s">
        <v>142</v>
      </c>
      <c r="P128" s="384"/>
      <c r="Q128" s="391">
        <v>1059801.3600000001</v>
      </c>
    </row>
    <row r="129" spans="1:22" x14ac:dyDescent="0.25">
      <c r="A129" s="371"/>
      <c r="B129" s="343" t="s">
        <v>539</v>
      </c>
      <c r="C129" s="344"/>
      <c r="D129" s="345">
        <v>78000</v>
      </c>
      <c r="N129" s="390"/>
      <c r="O129" s="383" t="s">
        <v>143</v>
      </c>
      <c r="P129" s="384"/>
      <c r="Q129" s="384"/>
    </row>
    <row r="130" spans="1:22" ht="22.5" x14ac:dyDescent="0.25">
      <c r="A130" s="373"/>
      <c r="B130" s="368" t="s">
        <v>142</v>
      </c>
      <c r="C130" s="369"/>
      <c r="D130" s="374">
        <v>189880</v>
      </c>
      <c r="F130" s="83">
        <f>ROUND(D130/1000,0)</f>
        <v>190</v>
      </c>
      <c r="N130" s="383" t="s">
        <v>344</v>
      </c>
      <c r="O130" s="383" t="s">
        <v>141</v>
      </c>
      <c r="P130" s="384"/>
      <c r="Q130" s="384"/>
    </row>
    <row r="131" spans="1:22" x14ac:dyDescent="0.25">
      <c r="A131" s="373"/>
      <c r="B131" s="368" t="s">
        <v>143</v>
      </c>
      <c r="C131" s="369"/>
      <c r="D131" s="369"/>
      <c r="N131" s="385"/>
      <c r="O131" s="386">
        <v>1200</v>
      </c>
      <c r="P131" s="387">
        <v>8189979</v>
      </c>
      <c r="Q131" s="388"/>
      <c r="R131" s="31">
        <f>ROUND(P131/1000,0)</f>
        <v>8190</v>
      </c>
      <c r="S131" s="305">
        <v>8000</v>
      </c>
      <c r="T131" t="s">
        <v>586</v>
      </c>
      <c r="U131" s="306">
        <f>R131-S131+R133</f>
        <v>701</v>
      </c>
    </row>
    <row r="132" spans="1:22" x14ac:dyDescent="0.25">
      <c r="A132" s="368" t="s">
        <v>403</v>
      </c>
      <c r="B132" s="368" t="s">
        <v>141</v>
      </c>
      <c r="C132" s="369"/>
      <c r="D132" s="369"/>
      <c r="N132" s="389"/>
      <c r="O132" s="386">
        <v>1250</v>
      </c>
      <c r="P132" s="387">
        <v>8189979</v>
      </c>
      <c r="Q132" s="388"/>
    </row>
    <row r="133" spans="1:22" x14ac:dyDescent="0.25">
      <c r="A133" s="370"/>
      <c r="B133" s="343" t="s">
        <v>538</v>
      </c>
      <c r="C133" s="344"/>
      <c r="D133" s="345">
        <v>10980</v>
      </c>
      <c r="N133" s="385"/>
      <c r="O133" s="386">
        <v>1600</v>
      </c>
      <c r="P133" s="387">
        <v>510600</v>
      </c>
      <c r="Q133" s="388"/>
      <c r="R133" s="31">
        <f>ROUND(P133/1000,0)</f>
        <v>511</v>
      </c>
    </row>
    <row r="134" spans="1:22" x14ac:dyDescent="0.25">
      <c r="A134" s="371"/>
      <c r="B134" s="343" t="s">
        <v>539</v>
      </c>
      <c r="C134" s="344"/>
      <c r="D134" s="345">
        <v>10980</v>
      </c>
      <c r="N134" s="389"/>
      <c r="O134" s="386">
        <v>1610</v>
      </c>
      <c r="P134" s="387">
        <v>510600</v>
      </c>
      <c r="Q134" s="388"/>
    </row>
    <row r="135" spans="1:22" x14ac:dyDescent="0.25">
      <c r="A135" s="373"/>
      <c r="B135" s="368" t="s">
        <v>142</v>
      </c>
      <c r="C135" s="369"/>
      <c r="D135" s="374">
        <v>10980</v>
      </c>
      <c r="F135" s="59">
        <f>ROUND(D135/1000,0)</f>
        <v>11</v>
      </c>
      <c r="N135" s="390"/>
      <c r="O135" s="383" t="s">
        <v>142</v>
      </c>
      <c r="P135" s="391">
        <v>8700579</v>
      </c>
      <c r="Q135" s="384"/>
    </row>
    <row r="136" spans="1:22" x14ac:dyDescent="0.25">
      <c r="A136" s="373"/>
      <c r="B136" s="368" t="s">
        <v>143</v>
      </c>
      <c r="C136" s="369"/>
      <c r="D136" s="369"/>
      <c r="N136" s="390"/>
      <c r="O136" s="383" t="s">
        <v>143</v>
      </c>
      <c r="P136" s="384"/>
      <c r="Q136" s="384"/>
    </row>
    <row r="137" spans="1:22" ht="22.5" x14ac:dyDescent="0.25">
      <c r="A137" s="368" t="s">
        <v>555</v>
      </c>
      <c r="B137" s="368" t="s">
        <v>141</v>
      </c>
      <c r="C137" s="369"/>
      <c r="D137" s="369"/>
      <c r="N137" s="383" t="s">
        <v>388</v>
      </c>
      <c r="O137" s="383" t="s">
        <v>141</v>
      </c>
      <c r="P137" s="384"/>
      <c r="Q137" s="384"/>
    </row>
    <row r="138" spans="1:22" x14ac:dyDescent="0.25">
      <c r="A138" s="370"/>
      <c r="B138" s="343" t="s">
        <v>538</v>
      </c>
      <c r="C138" s="344"/>
      <c r="D138" s="345">
        <v>172639</v>
      </c>
      <c r="N138" s="385"/>
      <c r="O138" s="386">
        <v>1000</v>
      </c>
      <c r="P138" s="394">
        <v>30000000</v>
      </c>
      <c r="Q138" s="388"/>
      <c r="R138" s="59">
        <f>ROUND(P138/1000,0)</f>
        <v>30000</v>
      </c>
    </row>
    <row r="139" spans="1:22" x14ac:dyDescent="0.25">
      <c r="A139" s="371"/>
      <c r="B139" s="343" t="s">
        <v>539</v>
      </c>
      <c r="C139" s="344"/>
      <c r="D139" s="345">
        <v>172639</v>
      </c>
      <c r="N139" s="390"/>
      <c r="O139" s="383" t="s">
        <v>142</v>
      </c>
      <c r="P139" s="391">
        <v>30000000</v>
      </c>
      <c r="Q139" s="384"/>
    </row>
    <row r="140" spans="1:22" x14ac:dyDescent="0.25">
      <c r="A140" s="373"/>
      <c r="B140" s="368" t="s">
        <v>142</v>
      </c>
      <c r="C140" s="369"/>
      <c r="D140" s="374">
        <v>172639</v>
      </c>
      <c r="F140" s="59">
        <f>ROUND(D140/1000,0)</f>
        <v>173</v>
      </c>
      <c r="N140" s="390"/>
      <c r="O140" s="383" t="s">
        <v>143</v>
      </c>
      <c r="P140" s="384"/>
      <c r="Q140" s="384"/>
    </row>
    <row r="141" spans="1:22" ht="22.5" x14ac:dyDescent="0.25">
      <c r="A141" s="373"/>
      <c r="B141" s="368" t="s">
        <v>143</v>
      </c>
      <c r="C141" s="369"/>
      <c r="D141" s="369"/>
      <c r="N141" s="383" t="s">
        <v>388</v>
      </c>
      <c r="O141" s="383" t="s">
        <v>141</v>
      </c>
      <c r="P141" s="384"/>
      <c r="Q141" s="384"/>
    </row>
    <row r="142" spans="1:22" x14ac:dyDescent="0.25">
      <c r="A142" s="368" t="s">
        <v>404</v>
      </c>
      <c r="B142" s="368" t="s">
        <v>141</v>
      </c>
      <c r="C142" s="369"/>
      <c r="D142" s="369"/>
      <c r="N142" s="385"/>
      <c r="O142" s="386">
        <v>1000</v>
      </c>
      <c r="P142" s="394">
        <v>55811343.689999998</v>
      </c>
      <c r="Q142" s="388"/>
      <c r="R142" s="59">
        <f>ROUND(P142/1000,0)</f>
        <v>55811</v>
      </c>
    </row>
    <row r="143" spans="1:22" x14ac:dyDescent="0.25">
      <c r="A143" s="370"/>
      <c r="B143" s="343" t="s">
        <v>535</v>
      </c>
      <c r="C143" s="344"/>
      <c r="D143" s="345">
        <v>18840</v>
      </c>
      <c r="N143" s="385"/>
      <c r="O143" s="386">
        <v>1600</v>
      </c>
      <c r="P143" s="387">
        <v>177066425.43000001</v>
      </c>
      <c r="Q143" s="388"/>
      <c r="R143" s="31">
        <f>ROUND(P143/1000,0)</f>
        <v>177066</v>
      </c>
      <c r="U143" s="33">
        <f>R138</f>
        <v>30000</v>
      </c>
      <c r="V143" s="33">
        <f>S112</f>
        <v>30000</v>
      </c>
    </row>
    <row r="144" spans="1:22" x14ac:dyDescent="0.25">
      <c r="A144" s="371"/>
      <c r="B144" s="343" t="s">
        <v>536</v>
      </c>
      <c r="C144" s="344"/>
      <c r="D144" s="345">
        <v>18840</v>
      </c>
      <c r="N144" s="389"/>
      <c r="O144" s="386">
        <v>1610</v>
      </c>
      <c r="P144" s="387">
        <v>177066425.43000001</v>
      </c>
      <c r="Q144" s="388"/>
      <c r="U144" s="43">
        <f>R142</f>
        <v>55811</v>
      </c>
      <c r="V144" s="33">
        <f>S116</f>
        <v>67761</v>
      </c>
    </row>
    <row r="145" spans="1:22" x14ac:dyDescent="0.25">
      <c r="A145" s="372"/>
      <c r="B145" s="343" t="s">
        <v>537</v>
      </c>
      <c r="C145" s="344"/>
      <c r="D145" s="345">
        <v>18840</v>
      </c>
      <c r="N145" s="385"/>
      <c r="O145" s="386">
        <v>3300</v>
      </c>
      <c r="P145" s="387">
        <v>55000000</v>
      </c>
      <c r="Q145" s="388"/>
      <c r="R145" s="83">
        <f>ROUND(P145/1000,0)</f>
        <v>55000</v>
      </c>
      <c r="U145" s="33">
        <f>R149</f>
        <v>11619</v>
      </c>
    </row>
    <row r="146" spans="1:22" x14ac:dyDescent="0.25">
      <c r="A146" s="373"/>
      <c r="B146" s="368" t="s">
        <v>142</v>
      </c>
      <c r="C146" s="369"/>
      <c r="D146" s="374">
        <v>18840</v>
      </c>
      <c r="F146" s="59">
        <f>ROUND(D146/1000,0)</f>
        <v>19</v>
      </c>
      <c r="N146" s="390"/>
      <c r="O146" s="383" t="s">
        <v>142</v>
      </c>
      <c r="P146" s="391">
        <v>287877769.12</v>
      </c>
      <c r="Q146" s="384"/>
    </row>
    <row r="147" spans="1:22" x14ac:dyDescent="0.25">
      <c r="A147" s="373"/>
      <c r="B147" s="368" t="s">
        <v>143</v>
      </c>
      <c r="C147" s="369"/>
      <c r="D147" s="369"/>
      <c r="L147" s="31"/>
      <c r="N147" s="390"/>
      <c r="O147" s="383" t="s">
        <v>143</v>
      </c>
      <c r="P147" s="384"/>
      <c r="Q147" s="384"/>
      <c r="U147" s="33">
        <f>SUM(U143:U146)</f>
        <v>97430</v>
      </c>
      <c r="V147" s="33">
        <f>SUM(V143:V146)</f>
        <v>97761</v>
      </c>
    </row>
    <row r="148" spans="1:22" ht="22.5" x14ac:dyDescent="0.25">
      <c r="A148" s="368" t="s">
        <v>405</v>
      </c>
      <c r="B148" s="368" t="s">
        <v>141</v>
      </c>
      <c r="C148" s="369"/>
      <c r="D148" s="369"/>
      <c r="L148" s="31"/>
      <c r="N148" s="383" t="s">
        <v>417</v>
      </c>
      <c r="O148" s="383" t="s">
        <v>141</v>
      </c>
      <c r="P148" s="384"/>
      <c r="Q148" s="384"/>
      <c r="V148" s="33">
        <f>V147-U147</f>
        <v>331</v>
      </c>
    </row>
    <row r="149" spans="1:22" x14ac:dyDescent="0.25">
      <c r="A149" s="370"/>
      <c r="B149" s="343" t="s">
        <v>535</v>
      </c>
      <c r="C149" s="344"/>
      <c r="D149" s="345">
        <v>400008.6</v>
      </c>
      <c r="L149" s="31"/>
      <c r="N149" s="385"/>
      <c r="O149" s="386">
        <v>1000</v>
      </c>
      <c r="P149" s="394">
        <v>11619023.5</v>
      </c>
      <c r="Q149" s="388"/>
      <c r="R149" s="59">
        <f>ROUND(P149/1000,0)</f>
        <v>11619</v>
      </c>
    </row>
    <row r="150" spans="1:22" x14ac:dyDescent="0.25">
      <c r="A150" s="371"/>
      <c r="B150" s="343" t="s">
        <v>536</v>
      </c>
      <c r="C150" s="344"/>
      <c r="D150" s="345">
        <v>400008.6</v>
      </c>
      <c r="L150" s="31"/>
      <c r="N150" s="390"/>
      <c r="O150" s="383" t="s">
        <v>142</v>
      </c>
      <c r="P150" s="391">
        <v>11619023.5</v>
      </c>
      <c r="Q150" s="384"/>
      <c r="U150" s="43">
        <f>P146</f>
        <v>287877769.12</v>
      </c>
      <c r="V150" s="43">
        <f>Q119</f>
        <v>197763671.41</v>
      </c>
    </row>
    <row r="151" spans="1:22" x14ac:dyDescent="0.25">
      <c r="A151" s="372"/>
      <c r="B151" s="343" t="s">
        <v>537</v>
      </c>
      <c r="C151" s="344"/>
      <c r="D151" s="345">
        <v>400008.6</v>
      </c>
      <c r="L151" s="31"/>
      <c r="N151" s="390"/>
      <c r="O151" s="383" t="s">
        <v>143</v>
      </c>
      <c r="P151" s="384"/>
      <c r="Q151" s="384"/>
      <c r="U151" s="43">
        <f>P149</f>
        <v>11619023.5</v>
      </c>
      <c r="V151" s="43">
        <f>Q112</f>
        <v>30000000</v>
      </c>
    </row>
    <row r="152" spans="1:22" ht="22.5" x14ac:dyDescent="0.25">
      <c r="A152" s="370"/>
      <c r="B152" s="343" t="s">
        <v>538</v>
      </c>
      <c r="C152" s="344"/>
      <c r="D152" s="345">
        <v>25263.95</v>
      </c>
      <c r="L152" s="31"/>
      <c r="N152" s="383" t="s">
        <v>411</v>
      </c>
      <c r="O152" s="383" t="s">
        <v>141</v>
      </c>
      <c r="P152" s="384"/>
      <c r="Q152" s="384"/>
      <c r="U152" s="43">
        <f>P139</f>
        <v>30000000</v>
      </c>
    </row>
    <row r="153" spans="1:22" x14ac:dyDescent="0.25">
      <c r="A153" s="371"/>
      <c r="B153" s="343" t="s">
        <v>539</v>
      </c>
      <c r="C153" s="344"/>
      <c r="D153" s="345">
        <v>25263.95</v>
      </c>
      <c r="L153" s="31"/>
      <c r="N153" s="385"/>
      <c r="O153" s="386">
        <v>3100</v>
      </c>
      <c r="P153" s="388"/>
      <c r="Q153" s="387">
        <v>1945404.41</v>
      </c>
      <c r="S153" s="83">
        <f>ROUND(Q153/1000,0)</f>
        <v>1945</v>
      </c>
      <c r="U153" s="43">
        <f>SUM(U150:U152)</f>
        <v>329496792.62</v>
      </c>
      <c r="V153" s="43">
        <f>SUM(V150:V152)</f>
        <v>227763671.41</v>
      </c>
    </row>
    <row r="154" spans="1:22" x14ac:dyDescent="0.25">
      <c r="A154" s="373"/>
      <c r="B154" s="368" t="s">
        <v>142</v>
      </c>
      <c r="C154" s="369"/>
      <c r="D154" s="374">
        <v>425272.55</v>
      </c>
      <c r="F154" s="83">
        <f>ROUND(D154/1000,0)</f>
        <v>425</v>
      </c>
      <c r="N154" s="389"/>
      <c r="O154" s="386">
        <v>3110</v>
      </c>
      <c r="P154" s="388"/>
      <c r="Q154" s="387">
        <v>1945404.41</v>
      </c>
    </row>
    <row r="155" spans="1:22" x14ac:dyDescent="0.25">
      <c r="A155" s="373"/>
      <c r="B155" s="368" t="s">
        <v>143</v>
      </c>
      <c r="C155" s="369"/>
      <c r="D155" s="369"/>
      <c r="L155" s="31"/>
      <c r="N155" s="390"/>
      <c r="O155" s="383" t="s">
        <v>142</v>
      </c>
      <c r="P155" s="384"/>
      <c r="Q155" s="391">
        <v>1945404.41</v>
      </c>
      <c r="V155" s="43">
        <f>U153-V153</f>
        <v>101733121.21000001</v>
      </c>
    </row>
    <row r="156" spans="1:22" x14ac:dyDescent="0.25">
      <c r="A156" s="368" t="s">
        <v>406</v>
      </c>
      <c r="B156" s="368" t="s">
        <v>141</v>
      </c>
      <c r="C156" s="369"/>
      <c r="D156" s="369"/>
      <c r="L156" s="31"/>
      <c r="N156" s="390"/>
      <c r="O156" s="383" t="s">
        <v>143</v>
      </c>
      <c r="P156" s="384"/>
      <c r="Q156" s="384"/>
      <c r="V156" s="43">
        <f>'Расчеты к ДДС2021'!P143-'Расчеты к ДДС2021'!Q117</f>
        <v>47063842.210000008</v>
      </c>
    </row>
    <row r="157" spans="1:22" ht="22.5" x14ac:dyDescent="0.25">
      <c r="A157" s="370"/>
      <c r="B157" s="343" t="s">
        <v>535</v>
      </c>
      <c r="C157" s="344"/>
      <c r="D157" s="345">
        <v>733728</v>
      </c>
      <c r="L157" s="31"/>
      <c r="N157" s="383" t="s">
        <v>413</v>
      </c>
      <c r="O157" s="383" t="s">
        <v>141</v>
      </c>
      <c r="P157" s="384"/>
      <c r="Q157" s="384"/>
      <c r="V157" s="43">
        <f>V155-V156</f>
        <v>54669279</v>
      </c>
    </row>
    <row r="158" spans="1:22" x14ac:dyDescent="0.25">
      <c r="A158" s="371"/>
      <c r="B158" s="343" t="s">
        <v>536</v>
      </c>
      <c r="C158" s="344"/>
      <c r="D158" s="345">
        <v>733728</v>
      </c>
      <c r="F158" s="83">
        <f>ROUND(D158/1000,0)</f>
        <v>734</v>
      </c>
      <c r="L158" s="31"/>
      <c r="N158" s="385"/>
      <c r="O158" s="386">
        <v>3200</v>
      </c>
      <c r="P158" s="388"/>
      <c r="Q158" s="387">
        <v>6361956.6200000001</v>
      </c>
      <c r="S158" s="83">
        <f>ROUND(Q158/1000,0)</f>
        <v>6362</v>
      </c>
      <c r="V158" s="43">
        <f>P145</f>
        <v>55000000</v>
      </c>
    </row>
    <row r="159" spans="1:22" ht="14.25" customHeight="1" x14ac:dyDescent="0.25">
      <c r="A159" s="372"/>
      <c r="B159" s="343" t="s">
        <v>537</v>
      </c>
      <c r="C159" s="344"/>
      <c r="D159" s="345">
        <v>733728</v>
      </c>
      <c r="F159" s="31"/>
      <c r="L159" s="31"/>
      <c r="N159" s="389"/>
      <c r="O159" s="386">
        <v>3210</v>
      </c>
      <c r="P159" s="388"/>
      <c r="Q159" s="387">
        <v>1764949</v>
      </c>
      <c r="S159" s="83">
        <f>ROUND(Q159/1000,0)</f>
        <v>1765</v>
      </c>
      <c r="T159">
        <v>4597</v>
      </c>
      <c r="V159" s="43">
        <f>V157-V158</f>
        <v>-330721</v>
      </c>
    </row>
    <row r="160" spans="1:22" x14ac:dyDescent="0.25">
      <c r="A160" s="370"/>
      <c r="B160" s="343" t="s">
        <v>538</v>
      </c>
      <c r="C160" s="344"/>
      <c r="D160" s="345">
        <v>13056675.16</v>
      </c>
      <c r="F160" s="83">
        <f>ROUND(D160/1000,0)</f>
        <v>13057</v>
      </c>
      <c r="L160" s="31"/>
      <c r="N160" s="390"/>
      <c r="O160" s="383" t="s">
        <v>142</v>
      </c>
      <c r="P160" s="384"/>
      <c r="Q160" s="391">
        <v>6361956.6200000001</v>
      </c>
    </row>
    <row r="161" spans="1:18" x14ac:dyDescent="0.25">
      <c r="A161" s="371"/>
      <c r="B161" s="343" t="s">
        <v>539</v>
      </c>
      <c r="C161" s="344"/>
      <c r="D161" s="345">
        <v>986087.24</v>
      </c>
      <c r="F161" s="31"/>
      <c r="N161" s="390"/>
      <c r="O161" s="383" t="s">
        <v>143</v>
      </c>
      <c r="P161" s="384"/>
      <c r="Q161" s="384"/>
    </row>
    <row r="162" spans="1:18" x14ac:dyDescent="0.25">
      <c r="A162" s="371"/>
      <c r="B162" s="343" t="s">
        <v>556</v>
      </c>
      <c r="C162" s="344"/>
      <c r="D162" s="345">
        <v>12070587.92</v>
      </c>
      <c r="F162" s="31"/>
      <c r="N162" s="392"/>
      <c r="O162" s="380" t="s">
        <v>142</v>
      </c>
      <c r="P162" s="381">
        <v>367718508.25999999</v>
      </c>
      <c r="Q162" s="381">
        <v>349573119.92000002</v>
      </c>
    </row>
    <row r="163" spans="1:18" x14ac:dyDescent="0.25">
      <c r="A163" s="372"/>
      <c r="B163" s="343" t="s">
        <v>557</v>
      </c>
      <c r="C163" s="344"/>
      <c r="D163" s="345">
        <v>8116168.7800000003</v>
      </c>
      <c r="N163" s="392"/>
      <c r="O163" s="380" t="s">
        <v>143</v>
      </c>
      <c r="P163" s="381">
        <v>26126772.219999999</v>
      </c>
      <c r="Q163" s="382"/>
      <c r="R163" s="31">
        <f>ROUND(P163/1000,0)</f>
        <v>26127</v>
      </c>
    </row>
    <row r="164" spans="1:18" x14ac:dyDescent="0.25">
      <c r="A164" s="372"/>
      <c r="B164" s="343" t="s">
        <v>558</v>
      </c>
      <c r="C164" s="344"/>
      <c r="D164" s="345">
        <v>327328.89</v>
      </c>
    </row>
    <row r="165" spans="1:18" x14ac:dyDescent="0.25">
      <c r="A165" s="372"/>
      <c r="B165" s="343" t="s">
        <v>559</v>
      </c>
      <c r="C165" s="344"/>
      <c r="D165" s="345">
        <v>3627090.25</v>
      </c>
    </row>
    <row r="166" spans="1:18" x14ac:dyDescent="0.25">
      <c r="A166" s="373"/>
      <c r="B166" s="368" t="s">
        <v>142</v>
      </c>
      <c r="C166" s="369"/>
      <c r="D166" s="374">
        <v>13790403.16</v>
      </c>
      <c r="F166" s="31"/>
    </row>
    <row r="167" spans="1:18" x14ac:dyDescent="0.25">
      <c r="A167" s="373"/>
      <c r="B167" s="368" t="s">
        <v>143</v>
      </c>
      <c r="C167" s="369"/>
      <c r="D167" s="369"/>
    </row>
    <row r="168" spans="1:18" x14ac:dyDescent="0.25">
      <c r="A168" s="368" t="s">
        <v>407</v>
      </c>
      <c r="B168" s="368" t="s">
        <v>141</v>
      </c>
      <c r="C168" s="369"/>
      <c r="D168" s="369"/>
    </row>
    <row r="169" spans="1:18" x14ac:dyDescent="0.25">
      <c r="A169" s="370"/>
      <c r="B169" s="343" t="s">
        <v>535</v>
      </c>
      <c r="C169" s="344"/>
      <c r="D169" s="345">
        <v>262530</v>
      </c>
      <c r="F169" s="83">
        <f>ROUND(D169/1000,0)</f>
        <v>263</v>
      </c>
    </row>
    <row r="170" spans="1:18" x14ac:dyDescent="0.25">
      <c r="A170" s="371"/>
      <c r="B170" s="343" t="s">
        <v>536</v>
      </c>
      <c r="C170" s="344"/>
      <c r="D170" s="345">
        <v>262530</v>
      </c>
    </row>
    <row r="171" spans="1:18" x14ac:dyDescent="0.25">
      <c r="A171" s="372"/>
      <c r="B171" s="343" t="s">
        <v>537</v>
      </c>
      <c r="C171" s="344"/>
      <c r="D171" s="345">
        <v>262530</v>
      </c>
    </row>
    <row r="172" spans="1:18" x14ac:dyDescent="0.25">
      <c r="A172" s="373"/>
      <c r="B172" s="368" t="s">
        <v>142</v>
      </c>
      <c r="C172" s="369"/>
      <c r="D172" s="374">
        <v>262530</v>
      </c>
      <c r="E172" s="31"/>
    </row>
    <row r="173" spans="1:18" x14ac:dyDescent="0.25">
      <c r="A173" s="373"/>
      <c r="B173" s="368" t="s">
        <v>143</v>
      </c>
      <c r="C173" s="369"/>
      <c r="D173" s="369"/>
      <c r="E173" s="31"/>
    </row>
    <row r="174" spans="1:18" ht="22.5" x14ac:dyDescent="0.25">
      <c r="A174" s="368" t="s">
        <v>408</v>
      </c>
      <c r="B174" s="368" t="s">
        <v>141</v>
      </c>
      <c r="C174" s="369"/>
      <c r="D174" s="369"/>
    </row>
    <row r="175" spans="1:18" x14ac:dyDescent="0.25">
      <c r="A175" s="370"/>
      <c r="B175" s="343" t="s">
        <v>540</v>
      </c>
      <c r="C175" s="345">
        <v>22625983.109999999</v>
      </c>
      <c r="D175" s="344"/>
      <c r="E175" s="83">
        <f>ROUND(C175/1000,0)</f>
        <v>22626</v>
      </c>
    </row>
    <row r="176" spans="1:18" x14ac:dyDescent="0.25">
      <c r="A176" s="371"/>
      <c r="B176" s="343" t="s">
        <v>560</v>
      </c>
      <c r="C176" s="345">
        <v>13397349.140000001</v>
      </c>
      <c r="D176" s="344"/>
      <c r="E176" s="31"/>
    </row>
    <row r="177" spans="1:6" x14ac:dyDescent="0.25">
      <c r="A177" s="371"/>
      <c r="B177" s="343" t="s">
        <v>548</v>
      </c>
      <c r="C177" s="345">
        <v>9228633.9700000007</v>
      </c>
      <c r="D177" s="344"/>
    </row>
    <row r="178" spans="1:6" x14ac:dyDescent="0.25">
      <c r="A178" s="372"/>
      <c r="B178" s="343" t="s">
        <v>561</v>
      </c>
      <c r="C178" s="345">
        <v>8827873.3499999996</v>
      </c>
      <c r="D178" s="344"/>
    </row>
    <row r="179" spans="1:6" x14ac:dyDescent="0.25">
      <c r="A179" s="372"/>
      <c r="B179" s="343" t="s">
        <v>562</v>
      </c>
      <c r="C179" s="345">
        <v>400760.62</v>
      </c>
      <c r="D179" s="344"/>
    </row>
    <row r="180" spans="1:6" x14ac:dyDescent="0.25">
      <c r="A180" s="373"/>
      <c r="B180" s="368" t="s">
        <v>142</v>
      </c>
      <c r="C180" s="375">
        <v>22625983.109999999</v>
      </c>
      <c r="D180" s="369"/>
    </row>
    <row r="181" spans="1:6" x14ac:dyDescent="0.25">
      <c r="A181" s="373"/>
      <c r="B181" s="368" t="s">
        <v>143</v>
      </c>
      <c r="C181" s="369"/>
      <c r="D181" s="369"/>
    </row>
    <row r="182" spans="1:6" x14ac:dyDescent="0.25">
      <c r="A182" s="368" t="s">
        <v>51</v>
      </c>
      <c r="B182" s="368" t="s">
        <v>141</v>
      </c>
      <c r="C182" s="369"/>
      <c r="D182" s="369"/>
    </row>
    <row r="183" spans="1:6" x14ac:dyDescent="0.25">
      <c r="A183" s="370"/>
      <c r="B183" s="343" t="s">
        <v>535</v>
      </c>
      <c r="C183" s="344"/>
      <c r="D183" s="345">
        <v>3331601.5</v>
      </c>
      <c r="F183" s="83">
        <f>ROUND(D183/1000,0)</f>
        <v>3332</v>
      </c>
    </row>
    <row r="184" spans="1:6" x14ac:dyDescent="0.25">
      <c r="A184" s="371"/>
      <c r="B184" s="343" t="s">
        <v>536</v>
      </c>
      <c r="C184" s="344"/>
      <c r="D184" s="345">
        <v>3331601.5</v>
      </c>
    </row>
    <row r="185" spans="1:6" x14ac:dyDescent="0.25">
      <c r="A185" s="372"/>
      <c r="B185" s="343" t="s">
        <v>537</v>
      </c>
      <c r="C185" s="344"/>
      <c r="D185" s="345">
        <v>3331601.5</v>
      </c>
    </row>
    <row r="186" spans="1:6" x14ac:dyDescent="0.25">
      <c r="A186" s="373"/>
      <c r="B186" s="368" t="s">
        <v>142</v>
      </c>
      <c r="C186" s="369"/>
      <c r="D186" s="374">
        <v>3331601.5</v>
      </c>
    </row>
    <row r="187" spans="1:6" x14ac:dyDescent="0.25">
      <c r="A187" s="373"/>
      <c r="B187" s="368" t="s">
        <v>143</v>
      </c>
      <c r="C187" s="369"/>
      <c r="D187" s="369"/>
      <c r="F187" s="31"/>
    </row>
    <row r="188" spans="1:6" x14ac:dyDescent="0.25">
      <c r="A188" s="368" t="s">
        <v>409</v>
      </c>
      <c r="B188" s="368" t="s">
        <v>141</v>
      </c>
      <c r="C188" s="369"/>
      <c r="D188" s="369"/>
    </row>
    <row r="189" spans="1:6" x14ac:dyDescent="0.25">
      <c r="A189" s="370"/>
      <c r="B189" s="377" t="s">
        <v>563</v>
      </c>
      <c r="C189" s="376"/>
      <c r="D189" s="375">
        <v>33580000</v>
      </c>
    </row>
    <row r="190" spans="1:6" x14ac:dyDescent="0.25">
      <c r="A190" s="371"/>
      <c r="B190" s="343" t="s">
        <v>534</v>
      </c>
      <c r="C190" s="344"/>
      <c r="D190" s="345">
        <v>33580000</v>
      </c>
    </row>
    <row r="191" spans="1:6" x14ac:dyDescent="0.25">
      <c r="A191" s="373"/>
      <c r="B191" s="368" t="s">
        <v>142</v>
      </c>
      <c r="C191" s="369"/>
      <c r="D191" s="374">
        <v>33580000</v>
      </c>
    </row>
    <row r="192" spans="1:6" x14ac:dyDescent="0.25">
      <c r="A192" s="373"/>
      <c r="B192" s="368" t="s">
        <v>143</v>
      </c>
      <c r="C192" s="369"/>
      <c r="D192" s="369"/>
    </row>
    <row r="193" spans="1:6" x14ac:dyDescent="0.25">
      <c r="A193" s="368" t="s">
        <v>409</v>
      </c>
      <c r="B193" s="368" t="s">
        <v>141</v>
      </c>
      <c r="C193" s="369"/>
      <c r="D193" s="369"/>
      <c r="F193" s="31"/>
    </row>
    <row r="194" spans="1:6" x14ac:dyDescent="0.25">
      <c r="A194" s="370"/>
      <c r="B194" s="377" t="s">
        <v>563</v>
      </c>
      <c r="C194" s="376"/>
      <c r="D194" s="375">
        <v>230173361.31999999</v>
      </c>
      <c r="F194" s="31"/>
    </row>
    <row r="195" spans="1:6" x14ac:dyDescent="0.25">
      <c r="A195" s="371"/>
      <c r="B195" s="343" t="s">
        <v>564</v>
      </c>
      <c r="C195" s="344"/>
      <c r="D195" s="345">
        <v>11769326</v>
      </c>
    </row>
    <row r="196" spans="1:6" x14ac:dyDescent="0.25">
      <c r="A196" s="372"/>
      <c r="B196" s="343" t="s">
        <v>565</v>
      </c>
      <c r="C196" s="344"/>
      <c r="D196" s="345">
        <v>11769326</v>
      </c>
    </row>
    <row r="197" spans="1:6" x14ac:dyDescent="0.25">
      <c r="A197" s="371"/>
      <c r="B197" s="343" t="s">
        <v>534</v>
      </c>
      <c r="C197" s="344"/>
      <c r="D197" s="345">
        <v>218404035.31999999</v>
      </c>
    </row>
    <row r="198" spans="1:6" x14ac:dyDescent="0.25">
      <c r="A198" s="373"/>
      <c r="B198" s="368" t="s">
        <v>142</v>
      </c>
      <c r="C198" s="369"/>
      <c r="D198" s="374">
        <v>230173361.31999999</v>
      </c>
    </row>
    <row r="199" spans="1:6" x14ac:dyDescent="0.25">
      <c r="A199" s="373"/>
      <c r="B199" s="368" t="s">
        <v>143</v>
      </c>
      <c r="C199" s="369"/>
      <c r="D199" s="369"/>
      <c r="E199" s="31"/>
    </row>
    <row r="200" spans="1:6" x14ac:dyDescent="0.25">
      <c r="A200" s="368" t="s">
        <v>344</v>
      </c>
      <c r="B200" s="368" t="s">
        <v>141</v>
      </c>
      <c r="C200" s="369"/>
      <c r="D200" s="369"/>
      <c r="E200" s="31"/>
    </row>
    <row r="201" spans="1:6" x14ac:dyDescent="0.25">
      <c r="A201" s="370"/>
      <c r="B201" s="343" t="s">
        <v>540</v>
      </c>
      <c r="C201" s="345">
        <v>413317.01</v>
      </c>
      <c r="D201" s="344"/>
      <c r="E201" s="83">
        <f>ROUND(C201/1000,0)</f>
        <v>413</v>
      </c>
    </row>
    <row r="202" spans="1:6" x14ac:dyDescent="0.25">
      <c r="A202" s="371"/>
      <c r="B202" s="343" t="s">
        <v>541</v>
      </c>
      <c r="C202" s="345">
        <v>413317.01</v>
      </c>
      <c r="D202" s="344"/>
    </row>
    <row r="203" spans="1:6" x14ac:dyDescent="0.25">
      <c r="A203" s="372"/>
      <c r="B203" s="343" t="s">
        <v>551</v>
      </c>
      <c r="C203" s="345">
        <v>9317.01</v>
      </c>
      <c r="D203" s="344"/>
    </row>
    <row r="204" spans="1:6" x14ac:dyDescent="0.25">
      <c r="A204" s="372"/>
      <c r="B204" s="343" t="s">
        <v>542</v>
      </c>
      <c r="C204" s="345">
        <v>404000</v>
      </c>
      <c r="D204" s="344"/>
      <c r="E204" s="31"/>
    </row>
    <row r="205" spans="1:6" x14ac:dyDescent="0.25">
      <c r="A205" s="370"/>
      <c r="B205" s="343" t="s">
        <v>535</v>
      </c>
      <c r="C205" s="345">
        <v>1230700</v>
      </c>
      <c r="D205" s="344"/>
      <c r="E205" s="83">
        <f>ROUND(C205/1000,0)</f>
        <v>1231</v>
      </c>
    </row>
    <row r="206" spans="1:6" x14ac:dyDescent="0.25">
      <c r="A206" s="371"/>
      <c r="B206" s="343" t="s">
        <v>536</v>
      </c>
      <c r="C206" s="345">
        <v>1230700</v>
      </c>
      <c r="D206" s="344"/>
    </row>
    <row r="207" spans="1:6" x14ac:dyDescent="0.25">
      <c r="A207" s="372"/>
      <c r="B207" s="343" t="s">
        <v>537</v>
      </c>
      <c r="C207" s="345">
        <v>1230700</v>
      </c>
      <c r="D207" s="344"/>
    </row>
    <row r="208" spans="1:6" x14ac:dyDescent="0.25">
      <c r="A208" s="373"/>
      <c r="B208" s="368" t="s">
        <v>142</v>
      </c>
      <c r="C208" s="374">
        <v>1644017.01</v>
      </c>
      <c r="D208" s="369"/>
    </row>
    <row r="209" spans="1:6" x14ac:dyDescent="0.25">
      <c r="A209" s="373"/>
      <c r="B209" s="368" t="s">
        <v>143</v>
      </c>
      <c r="C209" s="369"/>
      <c r="D209" s="369"/>
      <c r="E209" s="31"/>
    </row>
    <row r="210" spans="1:6" x14ac:dyDescent="0.25">
      <c r="A210" s="368" t="s">
        <v>388</v>
      </c>
      <c r="B210" s="368" t="s">
        <v>141</v>
      </c>
      <c r="C210" s="369"/>
      <c r="D210" s="369"/>
    </row>
    <row r="211" spans="1:6" x14ac:dyDescent="0.25">
      <c r="A211" s="370"/>
      <c r="B211" s="343" t="s">
        <v>563</v>
      </c>
      <c r="C211" s="375">
        <v>33606582.939999998</v>
      </c>
      <c r="D211" s="376"/>
    </row>
    <row r="212" spans="1:6" x14ac:dyDescent="0.25">
      <c r="A212" s="371"/>
      <c r="B212" s="343" t="s">
        <v>534</v>
      </c>
      <c r="C212" s="345">
        <v>33606582.939999998</v>
      </c>
      <c r="D212" s="344"/>
    </row>
    <row r="213" spans="1:6" x14ac:dyDescent="0.25">
      <c r="A213" s="373"/>
      <c r="B213" s="368" t="s">
        <v>142</v>
      </c>
      <c r="C213" s="374">
        <v>33606582.939999998</v>
      </c>
      <c r="D213" s="369"/>
    </row>
    <row r="214" spans="1:6" x14ac:dyDescent="0.25">
      <c r="A214" s="373"/>
      <c r="B214" s="368" t="s">
        <v>143</v>
      </c>
      <c r="C214" s="369"/>
      <c r="D214" s="369"/>
      <c r="E214" s="31"/>
      <c r="F214" s="31"/>
    </row>
    <row r="215" spans="1:6" x14ac:dyDescent="0.25">
      <c r="A215" s="368" t="s">
        <v>388</v>
      </c>
      <c r="B215" s="368" t="s">
        <v>141</v>
      </c>
      <c r="C215" s="369"/>
      <c r="D215" s="369"/>
    </row>
    <row r="216" spans="1:6" x14ac:dyDescent="0.25">
      <c r="A216" s="370"/>
      <c r="B216" s="343" t="s">
        <v>563</v>
      </c>
      <c r="C216" s="375">
        <v>218377452.38</v>
      </c>
      <c r="D216" s="344"/>
    </row>
    <row r="217" spans="1:6" x14ac:dyDescent="0.25">
      <c r="A217" s="371"/>
      <c r="B217" s="343" t="s">
        <v>534</v>
      </c>
      <c r="C217" s="345">
        <v>218377452.38</v>
      </c>
      <c r="D217" s="344"/>
    </row>
    <row r="218" spans="1:6" x14ac:dyDescent="0.25">
      <c r="A218" s="373"/>
      <c r="B218" s="368" t="s">
        <v>142</v>
      </c>
      <c r="C218" s="374">
        <v>218377452.38</v>
      </c>
      <c r="D218" s="369"/>
      <c r="E218" s="83">
        <f>ROUND(C218/1000,0)</f>
        <v>218377</v>
      </c>
    </row>
    <row r="219" spans="1:6" x14ac:dyDescent="0.25">
      <c r="A219" s="373"/>
      <c r="B219" s="368" t="s">
        <v>143</v>
      </c>
      <c r="C219" s="369"/>
      <c r="D219" s="369"/>
    </row>
    <row r="220" spans="1:6" x14ac:dyDescent="0.25">
      <c r="A220" s="368" t="s">
        <v>417</v>
      </c>
      <c r="B220" s="368" t="s">
        <v>141</v>
      </c>
      <c r="C220" s="369"/>
      <c r="D220" s="369"/>
    </row>
    <row r="221" spans="1:6" x14ac:dyDescent="0.25">
      <c r="A221" s="370"/>
      <c r="B221" s="343" t="s">
        <v>538</v>
      </c>
      <c r="C221" s="345">
        <v>79000000</v>
      </c>
      <c r="D221" s="344"/>
      <c r="F221" s="83">
        <f>ROUND(C221/1000,0)</f>
        <v>79000</v>
      </c>
    </row>
    <row r="222" spans="1:6" x14ac:dyDescent="0.25">
      <c r="A222" s="371"/>
      <c r="B222" s="343" t="s">
        <v>566</v>
      </c>
      <c r="C222" s="345">
        <v>79000000</v>
      </c>
      <c r="D222" s="344"/>
    </row>
    <row r="223" spans="1:6" x14ac:dyDescent="0.25">
      <c r="A223" s="373"/>
      <c r="B223" s="368" t="s">
        <v>142</v>
      </c>
      <c r="C223" s="374">
        <v>79000000</v>
      </c>
      <c r="D223" s="369"/>
    </row>
    <row r="224" spans="1:6" x14ac:dyDescent="0.25">
      <c r="A224" s="373"/>
      <c r="B224" s="368" t="s">
        <v>143</v>
      </c>
      <c r="C224" s="369"/>
      <c r="D224" s="369"/>
    </row>
    <row r="225" spans="1:7" ht="22.5" x14ac:dyDescent="0.25">
      <c r="A225" s="368" t="s">
        <v>411</v>
      </c>
      <c r="B225" s="368" t="s">
        <v>141</v>
      </c>
      <c r="C225" s="369"/>
      <c r="D225" s="369"/>
    </row>
    <row r="226" spans="1:7" x14ac:dyDescent="0.25">
      <c r="A226" s="370"/>
      <c r="B226" s="343" t="s">
        <v>552</v>
      </c>
      <c r="C226" s="344"/>
      <c r="D226" s="345">
        <v>116616.89</v>
      </c>
      <c r="F226" s="83">
        <f>ROUND(D226/1000,0)</f>
        <v>117</v>
      </c>
    </row>
    <row r="227" spans="1:7" x14ac:dyDescent="0.25">
      <c r="A227" s="371"/>
      <c r="B227" s="343" t="s">
        <v>567</v>
      </c>
      <c r="C227" s="344"/>
      <c r="D227" s="345">
        <v>116616.89</v>
      </c>
    </row>
    <row r="228" spans="1:7" x14ac:dyDescent="0.25">
      <c r="A228" s="372"/>
      <c r="B228" s="343" t="s">
        <v>568</v>
      </c>
      <c r="C228" s="344"/>
      <c r="D228" s="345">
        <v>116616.89</v>
      </c>
    </row>
    <row r="229" spans="1:7" x14ac:dyDescent="0.25">
      <c r="A229" s="373"/>
      <c r="B229" s="368" t="s">
        <v>142</v>
      </c>
      <c r="C229" s="369"/>
      <c r="D229" s="374">
        <v>116616.89</v>
      </c>
      <c r="F229" s="31"/>
      <c r="G229" s="31"/>
    </row>
    <row r="230" spans="1:7" x14ac:dyDescent="0.25">
      <c r="A230" s="373"/>
      <c r="B230" s="368" t="s">
        <v>143</v>
      </c>
      <c r="C230" s="369"/>
      <c r="D230" s="369"/>
      <c r="F230" s="31"/>
    </row>
    <row r="231" spans="1:7" x14ac:dyDescent="0.25">
      <c r="A231" s="368" t="s">
        <v>569</v>
      </c>
      <c r="B231" s="368" t="s">
        <v>141</v>
      </c>
      <c r="C231" s="369"/>
      <c r="D231" s="369"/>
      <c r="F231" s="31"/>
    </row>
    <row r="232" spans="1:7" x14ac:dyDescent="0.25">
      <c r="A232" s="370"/>
      <c r="B232" s="343" t="s">
        <v>570</v>
      </c>
      <c r="C232" s="344"/>
      <c r="D232" s="345">
        <v>9419118.1799999997</v>
      </c>
      <c r="F232" s="31">
        <f>ROUND(D232/1000,0)</f>
        <v>9419</v>
      </c>
      <c r="G232" s="83">
        <f>F232-F237</f>
        <v>2577</v>
      </c>
    </row>
    <row r="233" spans="1:7" x14ac:dyDescent="0.25">
      <c r="A233" s="371"/>
      <c r="B233" s="343" t="s">
        <v>571</v>
      </c>
      <c r="C233" s="344"/>
      <c r="D233" s="345">
        <v>2577112</v>
      </c>
      <c r="F233" s="31"/>
    </row>
    <row r="234" spans="1:7" x14ac:dyDescent="0.25">
      <c r="A234" s="372"/>
      <c r="B234" s="343" t="s">
        <v>572</v>
      </c>
      <c r="C234" s="344"/>
      <c r="D234" s="345">
        <v>1002021</v>
      </c>
      <c r="F234" s="31"/>
    </row>
    <row r="235" spans="1:7" x14ac:dyDescent="0.25">
      <c r="A235" s="372"/>
      <c r="B235" s="343" t="s">
        <v>573</v>
      </c>
      <c r="C235" s="344"/>
      <c r="D235" s="345">
        <v>796334</v>
      </c>
    </row>
    <row r="236" spans="1:7" x14ac:dyDescent="0.25">
      <c r="A236" s="372"/>
      <c r="B236" s="343" t="s">
        <v>574</v>
      </c>
      <c r="C236" s="344"/>
      <c r="D236" s="345">
        <v>778757</v>
      </c>
    </row>
    <row r="237" spans="1:7" x14ac:dyDescent="0.25">
      <c r="A237" s="371"/>
      <c r="B237" s="343" t="s">
        <v>575</v>
      </c>
      <c r="C237" s="344"/>
      <c r="D237" s="345">
        <v>6842006.1799999997</v>
      </c>
      <c r="F237" s="83">
        <f>ROUND(D237/1000,0)</f>
        <v>6842</v>
      </c>
    </row>
    <row r="238" spans="1:7" x14ac:dyDescent="0.25">
      <c r="A238" s="373"/>
      <c r="B238" s="368" t="s">
        <v>142</v>
      </c>
      <c r="C238" s="369"/>
      <c r="D238" s="374">
        <v>9419118.1799999997</v>
      </c>
      <c r="F238" s="31"/>
    </row>
    <row r="239" spans="1:7" x14ac:dyDescent="0.25">
      <c r="A239" s="373"/>
      <c r="B239" s="368" t="s">
        <v>143</v>
      </c>
      <c r="C239" s="369"/>
      <c r="D239" s="369"/>
    </row>
    <row r="240" spans="1:7" x14ac:dyDescent="0.25">
      <c r="A240" s="368" t="s">
        <v>412</v>
      </c>
      <c r="B240" s="368" t="s">
        <v>141</v>
      </c>
      <c r="C240" s="369"/>
      <c r="D240" s="369"/>
    </row>
    <row r="241" spans="1:6" x14ac:dyDescent="0.25">
      <c r="A241" s="370"/>
      <c r="B241" s="343" t="s">
        <v>552</v>
      </c>
      <c r="C241" s="344"/>
      <c r="D241" s="345">
        <v>54904.68</v>
      </c>
      <c r="F241" s="83">
        <f>ROUND(D241/1000,0)</f>
        <v>55</v>
      </c>
    </row>
    <row r="242" spans="1:6" x14ac:dyDescent="0.25">
      <c r="A242" s="371"/>
      <c r="B242" s="343" t="s">
        <v>576</v>
      </c>
      <c r="C242" s="344"/>
      <c r="D242" s="345">
        <v>54904.68</v>
      </c>
    </row>
    <row r="243" spans="1:6" x14ac:dyDescent="0.25">
      <c r="A243" s="373"/>
      <c r="B243" s="368" t="s">
        <v>142</v>
      </c>
      <c r="C243" s="369"/>
      <c r="D243" s="374">
        <v>54904.68</v>
      </c>
    </row>
    <row r="244" spans="1:6" x14ac:dyDescent="0.25">
      <c r="A244" s="373"/>
      <c r="B244" s="368" t="s">
        <v>143</v>
      </c>
      <c r="C244" s="369"/>
      <c r="D244" s="369"/>
    </row>
    <row r="245" spans="1:6" x14ac:dyDescent="0.25">
      <c r="A245" s="368" t="s">
        <v>577</v>
      </c>
      <c r="B245" s="368" t="s">
        <v>141</v>
      </c>
      <c r="C245" s="369"/>
      <c r="D245" s="369"/>
      <c r="E245" s="31"/>
    </row>
    <row r="246" spans="1:6" x14ac:dyDescent="0.25">
      <c r="A246" s="370"/>
      <c r="B246" s="343" t="s">
        <v>538</v>
      </c>
      <c r="C246" s="345">
        <v>2630748</v>
      </c>
      <c r="D246" s="344"/>
      <c r="E246" s="83">
        <f>ROUND(C246/1000,0)</f>
        <v>2631</v>
      </c>
    </row>
    <row r="247" spans="1:6" x14ac:dyDescent="0.25">
      <c r="A247" s="371"/>
      <c r="B247" s="343" t="s">
        <v>578</v>
      </c>
      <c r="C247" s="345">
        <v>2630748</v>
      </c>
      <c r="D247" s="344"/>
    </row>
    <row r="248" spans="1:6" x14ac:dyDescent="0.25">
      <c r="A248" s="372"/>
      <c r="B248" s="343" t="s">
        <v>579</v>
      </c>
      <c r="C248" s="345">
        <v>2630748</v>
      </c>
      <c r="D248" s="344"/>
    </row>
    <row r="249" spans="1:6" x14ac:dyDescent="0.25">
      <c r="A249" s="373"/>
      <c r="B249" s="368" t="s">
        <v>142</v>
      </c>
      <c r="C249" s="374">
        <v>2630748</v>
      </c>
      <c r="D249" s="369"/>
    </row>
    <row r="250" spans="1:6" x14ac:dyDescent="0.25">
      <c r="A250" s="373"/>
      <c r="B250" s="368" t="s">
        <v>143</v>
      </c>
      <c r="C250" s="369"/>
      <c r="D250" s="369"/>
      <c r="F250" s="31"/>
    </row>
    <row r="251" spans="1:6" x14ac:dyDescent="0.25">
      <c r="A251" s="368" t="s">
        <v>580</v>
      </c>
      <c r="B251" s="368" t="s">
        <v>141</v>
      </c>
      <c r="C251" s="369"/>
      <c r="D251" s="369"/>
    </row>
    <row r="252" spans="1:6" x14ac:dyDescent="0.25">
      <c r="A252" s="370"/>
      <c r="B252" s="343" t="s">
        <v>538</v>
      </c>
      <c r="C252" s="344"/>
      <c r="D252" s="345">
        <v>2630748</v>
      </c>
      <c r="F252" s="83">
        <f>ROUND(D252/1000,0)</f>
        <v>2631</v>
      </c>
    </row>
    <row r="253" spans="1:6" x14ac:dyDescent="0.25">
      <c r="A253" s="371"/>
      <c r="B253" s="343" t="s">
        <v>578</v>
      </c>
      <c r="C253" s="344"/>
      <c r="D253" s="345">
        <v>2630748</v>
      </c>
    </row>
    <row r="254" spans="1:6" x14ac:dyDescent="0.25">
      <c r="A254" s="372"/>
      <c r="B254" s="343" t="s">
        <v>579</v>
      </c>
      <c r="C254" s="344"/>
      <c r="D254" s="345">
        <v>2630748</v>
      </c>
    </row>
    <row r="255" spans="1:6" x14ac:dyDescent="0.25">
      <c r="A255" s="373"/>
      <c r="B255" s="368" t="s">
        <v>142</v>
      </c>
      <c r="C255" s="369"/>
      <c r="D255" s="374">
        <v>2630748</v>
      </c>
    </row>
    <row r="256" spans="1:6" x14ac:dyDescent="0.25">
      <c r="A256" s="373"/>
      <c r="B256" s="368" t="s">
        <v>143</v>
      </c>
      <c r="C256" s="369"/>
      <c r="D256" s="369"/>
    </row>
    <row r="257" spans="1:8" x14ac:dyDescent="0.25">
      <c r="A257" s="340"/>
      <c r="B257" s="339" t="s">
        <v>142</v>
      </c>
      <c r="C257" s="342">
        <v>1204618112.6099999</v>
      </c>
      <c r="D257" s="342">
        <v>1200063276.02</v>
      </c>
    </row>
    <row r="258" spans="1:8" x14ac:dyDescent="0.25">
      <c r="A258" s="340"/>
      <c r="B258" s="339" t="s">
        <v>143</v>
      </c>
      <c r="C258" s="342">
        <v>7300243.5499999998</v>
      </c>
      <c r="D258" s="341"/>
      <c r="E258" s="31"/>
      <c r="G258" s="31"/>
    </row>
    <row r="259" spans="1:8" x14ac:dyDescent="0.25">
      <c r="A259" s="339" t="s">
        <v>420</v>
      </c>
      <c r="B259" s="339" t="s">
        <v>141</v>
      </c>
      <c r="C259" s="342">
        <v>19608.75</v>
      </c>
      <c r="D259" s="341"/>
    </row>
    <row r="260" spans="1:8" x14ac:dyDescent="0.25">
      <c r="A260" s="368" t="s">
        <v>422</v>
      </c>
      <c r="B260" s="368" t="s">
        <v>141</v>
      </c>
      <c r="C260" s="369"/>
      <c r="D260" s="369"/>
    </row>
    <row r="261" spans="1:8" x14ac:dyDescent="0.25">
      <c r="A261" s="370"/>
      <c r="B261" s="343" t="s">
        <v>504</v>
      </c>
      <c r="C261" s="345">
        <v>39552.76</v>
      </c>
      <c r="D261" s="344"/>
      <c r="E261" s="83">
        <f>ROUND(C261/1000,0)</f>
        <v>40</v>
      </c>
    </row>
    <row r="262" spans="1:8" x14ac:dyDescent="0.25">
      <c r="A262" s="371"/>
      <c r="B262" s="343" t="s">
        <v>507</v>
      </c>
      <c r="C262" s="345">
        <v>39552.76</v>
      </c>
      <c r="D262" s="344"/>
    </row>
    <row r="263" spans="1:8" x14ac:dyDescent="0.25">
      <c r="A263" s="372"/>
      <c r="B263" s="343" t="s">
        <v>508</v>
      </c>
      <c r="C263" s="345">
        <v>39552.76</v>
      </c>
      <c r="D263" s="344"/>
    </row>
    <row r="264" spans="1:8" x14ac:dyDescent="0.25">
      <c r="A264" s="370"/>
      <c r="B264" s="343" t="s">
        <v>518</v>
      </c>
      <c r="C264" s="344"/>
      <c r="D264" s="345">
        <v>80990.41</v>
      </c>
      <c r="F264" s="83">
        <f>ROUND(D264/1000,0)</f>
        <v>81</v>
      </c>
      <c r="H264" s="31">
        <f>F264-E261</f>
        <v>41</v>
      </c>
    </row>
    <row r="265" spans="1:8" x14ac:dyDescent="0.25">
      <c r="A265" s="371"/>
      <c r="B265" s="343" t="s">
        <v>519</v>
      </c>
      <c r="C265" s="344"/>
      <c r="D265" s="345">
        <v>80990.41</v>
      </c>
    </row>
    <row r="266" spans="1:8" x14ac:dyDescent="0.25">
      <c r="A266" s="372"/>
      <c r="B266" s="343" t="s">
        <v>520</v>
      </c>
      <c r="C266" s="344"/>
      <c r="D266" s="345">
        <v>80990.41</v>
      </c>
    </row>
    <row r="267" spans="1:8" x14ac:dyDescent="0.25">
      <c r="A267" s="373"/>
      <c r="B267" s="368" t="s">
        <v>142</v>
      </c>
      <c r="C267" s="374">
        <v>39552.76</v>
      </c>
      <c r="D267" s="374">
        <v>80990.41</v>
      </c>
      <c r="F267" s="31"/>
    </row>
    <row r="268" spans="1:8" x14ac:dyDescent="0.25">
      <c r="A268" s="373"/>
      <c r="B268" s="368" t="s">
        <v>143</v>
      </c>
      <c r="C268" s="369"/>
      <c r="D268" s="369"/>
    </row>
    <row r="269" spans="1:8" x14ac:dyDescent="0.25">
      <c r="A269" s="368" t="s">
        <v>423</v>
      </c>
      <c r="B269" s="368" t="s">
        <v>141</v>
      </c>
      <c r="C269" s="369"/>
      <c r="D269" s="369"/>
    </row>
    <row r="270" spans="1:8" x14ac:dyDescent="0.25">
      <c r="A270" s="370"/>
      <c r="B270" s="343" t="s">
        <v>538</v>
      </c>
      <c r="C270" s="344"/>
      <c r="D270" s="345">
        <v>11474393.75</v>
      </c>
    </row>
    <row r="271" spans="1:8" x14ac:dyDescent="0.25">
      <c r="A271" s="371"/>
      <c r="B271" s="343" t="s">
        <v>539</v>
      </c>
      <c r="C271" s="344"/>
      <c r="D271" s="345">
        <v>11474393.75</v>
      </c>
    </row>
    <row r="272" spans="1:8" x14ac:dyDescent="0.25">
      <c r="A272" s="373"/>
      <c r="B272" s="368" t="s">
        <v>142</v>
      </c>
      <c r="C272" s="369"/>
      <c r="D272" s="374">
        <v>11474393.75</v>
      </c>
      <c r="F272" s="83">
        <f>ROUND(D272/1000,0)</f>
        <v>11474</v>
      </c>
    </row>
    <row r="273" spans="1:12" x14ac:dyDescent="0.25">
      <c r="A273" s="373"/>
      <c r="B273" s="368" t="s">
        <v>143</v>
      </c>
      <c r="C273" s="369"/>
      <c r="D273" s="369"/>
    </row>
    <row r="274" spans="1:12" x14ac:dyDescent="0.25">
      <c r="A274" s="368" t="s">
        <v>407</v>
      </c>
      <c r="B274" s="368" t="s">
        <v>141</v>
      </c>
      <c r="C274" s="369"/>
      <c r="D274" s="369"/>
    </row>
    <row r="275" spans="1:12" x14ac:dyDescent="0.25">
      <c r="A275" s="370"/>
      <c r="B275" s="343" t="s">
        <v>535</v>
      </c>
      <c r="C275" s="344"/>
      <c r="D275" s="345">
        <v>143175.65</v>
      </c>
      <c r="F275" s="83">
        <f>ROUND(D275/1000,0)</f>
        <v>143</v>
      </c>
    </row>
    <row r="276" spans="1:12" x14ac:dyDescent="0.25">
      <c r="A276" s="371"/>
      <c r="B276" s="343" t="s">
        <v>536</v>
      </c>
      <c r="C276" s="344"/>
      <c r="D276" s="345">
        <v>143175.65</v>
      </c>
    </row>
    <row r="277" spans="1:12" x14ac:dyDescent="0.25">
      <c r="A277" s="372"/>
      <c r="B277" s="343" t="s">
        <v>537</v>
      </c>
      <c r="C277" s="344"/>
      <c r="D277" s="345">
        <v>143175.65</v>
      </c>
    </row>
    <row r="278" spans="1:12" x14ac:dyDescent="0.25">
      <c r="A278" s="373"/>
      <c r="B278" s="368" t="s">
        <v>142</v>
      </c>
      <c r="C278" s="369"/>
      <c r="D278" s="345">
        <v>143175.65</v>
      </c>
      <c r="E278" s="31"/>
    </row>
    <row r="279" spans="1:12" x14ac:dyDescent="0.25">
      <c r="A279" s="373"/>
      <c r="B279" s="368" t="s">
        <v>143</v>
      </c>
      <c r="C279" s="369"/>
      <c r="D279" s="344"/>
      <c r="E279" s="31"/>
    </row>
    <row r="280" spans="1:12" ht="22.5" x14ac:dyDescent="0.25">
      <c r="A280" s="368" t="s">
        <v>408</v>
      </c>
      <c r="B280" s="368" t="s">
        <v>141</v>
      </c>
      <c r="C280" s="369"/>
      <c r="D280" s="344"/>
    </row>
    <row r="281" spans="1:12" x14ac:dyDescent="0.25">
      <c r="A281" s="370"/>
      <c r="B281" s="343" t="s">
        <v>540</v>
      </c>
      <c r="C281" s="345">
        <v>1118684.1499999999</v>
      </c>
      <c r="D281" s="344"/>
      <c r="E281" s="83">
        <f>ROUND(C281/1000,0)</f>
        <v>1119</v>
      </c>
    </row>
    <row r="282" spans="1:12" x14ac:dyDescent="0.25">
      <c r="A282" s="371"/>
      <c r="B282" s="343" t="s">
        <v>560</v>
      </c>
      <c r="C282" s="345">
        <v>603856.15</v>
      </c>
      <c r="D282" s="344"/>
    </row>
    <row r="283" spans="1:12" x14ac:dyDescent="0.25">
      <c r="A283" s="371"/>
      <c r="B283" s="343" t="s">
        <v>548</v>
      </c>
      <c r="C283" s="345">
        <v>514828</v>
      </c>
      <c r="D283" s="344"/>
    </row>
    <row r="284" spans="1:12" x14ac:dyDescent="0.25">
      <c r="A284" s="372"/>
      <c r="B284" s="343" t="s">
        <v>561</v>
      </c>
      <c r="C284" s="345">
        <v>514828</v>
      </c>
      <c r="D284" s="344"/>
    </row>
    <row r="285" spans="1:12" x14ac:dyDescent="0.25">
      <c r="A285" s="373"/>
      <c r="B285" s="368" t="s">
        <v>142</v>
      </c>
      <c r="C285" s="375">
        <v>1118684.1499999999</v>
      </c>
      <c r="D285" s="344"/>
    </row>
    <row r="286" spans="1:12" x14ac:dyDescent="0.25">
      <c r="A286" s="373"/>
      <c r="B286" s="368" t="s">
        <v>143</v>
      </c>
      <c r="C286" s="369"/>
      <c r="D286" s="344"/>
      <c r="K286" s="43">
        <f>C288</f>
        <v>11506044</v>
      </c>
      <c r="L286" s="43">
        <f>D195</f>
        <v>11769326</v>
      </c>
    </row>
    <row r="287" spans="1:12" x14ac:dyDescent="0.25">
      <c r="A287" s="368" t="s">
        <v>388</v>
      </c>
      <c r="B287" s="368" t="s">
        <v>141</v>
      </c>
      <c r="C287" s="369"/>
      <c r="D287" s="369"/>
      <c r="E287" s="31"/>
      <c r="F287" s="31"/>
      <c r="K287" s="43">
        <f>C297</f>
        <v>210990</v>
      </c>
      <c r="L287" s="43">
        <f>D197</f>
        <v>218404035.31999999</v>
      </c>
    </row>
    <row r="288" spans="1:12" x14ac:dyDescent="0.25">
      <c r="A288" s="370"/>
      <c r="B288" s="343" t="s">
        <v>563</v>
      </c>
      <c r="C288" s="375">
        <v>11506044</v>
      </c>
      <c r="D288" s="376"/>
      <c r="K288" s="43">
        <f>C216</f>
        <v>218377452.38</v>
      </c>
      <c r="L288" s="43">
        <f>D189</f>
        <v>33580000</v>
      </c>
    </row>
    <row r="289" spans="1:12" x14ac:dyDescent="0.25">
      <c r="A289" s="371"/>
      <c r="B289" s="343" t="s">
        <v>564</v>
      </c>
      <c r="C289" s="345">
        <v>11506044</v>
      </c>
      <c r="D289" s="344"/>
      <c r="K289" s="43">
        <f>C211</f>
        <v>33606582.939999998</v>
      </c>
    </row>
    <row r="290" spans="1:12" x14ac:dyDescent="0.25">
      <c r="A290" s="372"/>
      <c r="B290" s="343" t="s">
        <v>565</v>
      </c>
      <c r="C290" s="345">
        <v>11506044</v>
      </c>
      <c r="D290" s="344"/>
      <c r="E290" s="31"/>
    </row>
    <row r="291" spans="1:12" x14ac:dyDescent="0.25">
      <c r="A291" s="370"/>
      <c r="B291" s="343" t="s">
        <v>581</v>
      </c>
      <c r="C291" s="345">
        <v>9623.93</v>
      </c>
      <c r="D291" s="344"/>
    </row>
    <row r="292" spans="1:12" x14ac:dyDescent="0.25">
      <c r="A292" s="371"/>
      <c r="B292" s="343" t="s">
        <v>582</v>
      </c>
      <c r="C292" s="345">
        <v>9623.93</v>
      </c>
      <c r="D292" s="344"/>
    </row>
    <row r="293" spans="1:12" x14ac:dyDescent="0.25">
      <c r="A293" s="372"/>
      <c r="B293" s="343" t="s">
        <v>583</v>
      </c>
      <c r="C293" s="375">
        <v>9623.93</v>
      </c>
      <c r="D293" s="344"/>
      <c r="E293" s="83">
        <f>ROUND(C293/1000,0)</f>
        <v>10</v>
      </c>
      <c r="K293" s="43">
        <f>SUM(K286:K292)</f>
        <v>263701069.31999999</v>
      </c>
      <c r="L293" s="43">
        <f>SUM(L286:L292)</f>
        <v>263753361.31999999</v>
      </c>
    </row>
    <row r="294" spans="1:12" x14ac:dyDescent="0.25">
      <c r="A294" s="373"/>
      <c r="B294" s="368" t="s">
        <v>142</v>
      </c>
      <c r="C294" s="374">
        <v>11515667.93</v>
      </c>
      <c r="D294" s="369"/>
      <c r="L294" s="43">
        <f>L293-K293</f>
        <v>52292</v>
      </c>
    </row>
    <row r="295" spans="1:12" x14ac:dyDescent="0.25">
      <c r="A295" s="373"/>
      <c r="B295" s="368" t="s">
        <v>143</v>
      </c>
      <c r="C295" s="369"/>
      <c r="D295" s="369"/>
      <c r="L295" s="31">
        <f>ROUND(L294/1000,0)</f>
        <v>52</v>
      </c>
    </row>
    <row r="296" spans="1:12" x14ac:dyDescent="0.25">
      <c r="A296" s="368" t="s">
        <v>417</v>
      </c>
      <c r="B296" s="368" t="s">
        <v>141</v>
      </c>
      <c r="C296" s="369"/>
      <c r="D296" s="369"/>
      <c r="E296" s="31"/>
    </row>
    <row r="297" spans="1:12" x14ac:dyDescent="0.25">
      <c r="A297" s="370"/>
      <c r="B297" s="343" t="s">
        <v>563</v>
      </c>
      <c r="C297" s="375">
        <v>210990</v>
      </c>
      <c r="D297" s="376"/>
    </row>
    <row r="298" spans="1:12" x14ac:dyDescent="0.25">
      <c r="A298" s="371"/>
      <c r="B298" s="343" t="s">
        <v>564</v>
      </c>
      <c r="C298" s="345">
        <v>210990</v>
      </c>
      <c r="D298" s="344"/>
    </row>
    <row r="299" spans="1:12" x14ac:dyDescent="0.25">
      <c r="A299" s="372"/>
      <c r="B299" s="343" t="s">
        <v>565</v>
      </c>
      <c r="C299" s="345">
        <v>210990</v>
      </c>
      <c r="D299" s="344"/>
    </row>
    <row r="300" spans="1:12" x14ac:dyDescent="0.25">
      <c r="A300" s="373"/>
      <c r="B300" s="368" t="s">
        <v>142</v>
      </c>
      <c r="C300" s="374">
        <v>210990</v>
      </c>
      <c r="D300" s="369"/>
    </row>
    <row r="301" spans="1:12" x14ac:dyDescent="0.25">
      <c r="A301" s="373"/>
      <c r="B301" s="368" t="s">
        <v>143</v>
      </c>
      <c r="C301" s="369"/>
      <c r="D301" s="369"/>
    </row>
    <row r="302" spans="1:12" x14ac:dyDescent="0.25">
      <c r="A302" s="340"/>
      <c r="B302" s="339" t="s">
        <v>142</v>
      </c>
      <c r="C302" s="342">
        <v>12884894.84</v>
      </c>
      <c r="D302" s="342">
        <v>11698559.810000001</v>
      </c>
      <c r="E302" s="31">
        <f>ROUND(C302/1000,0)</f>
        <v>12885</v>
      </c>
    </row>
    <row r="303" spans="1:12" x14ac:dyDescent="0.25">
      <c r="A303" s="340"/>
      <c r="B303" s="339" t="s">
        <v>143</v>
      </c>
      <c r="C303" s="342">
        <v>1205943.78</v>
      </c>
      <c r="D303" s="341"/>
    </row>
    <row r="304" spans="1:12" x14ac:dyDescent="0.25">
      <c r="A304" s="340"/>
      <c r="B304" s="367" t="s">
        <v>142</v>
      </c>
      <c r="C304" s="342">
        <v>1217503007.4499998</v>
      </c>
      <c r="D304" s="342">
        <v>1211761835.8300002</v>
      </c>
    </row>
    <row r="305" spans="1:5" x14ac:dyDescent="0.25">
      <c r="A305" s="340"/>
      <c r="B305" s="367" t="s">
        <v>143</v>
      </c>
      <c r="C305" s="342">
        <v>8506187.3300000001</v>
      </c>
      <c r="D305" s="341"/>
      <c r="E305" s="31">
        <f>ROUND(C305/1000,0)</f>
        <v>8506</v>
      </c>
    </row>
    <row r="306" spans="1:5" x14ac:dyDescent="0.25">
      <c r="A306" s="366"/>
      <c r="B306" s="366"/>
      <c r="C306" s="366"/>
      <c r="D306" s="366"/>
    </row>
    <row r="307" spans="1:5" x14ac:dyDescent="0.25">
      <c r="A307" s="366"/>
      <c r="B307" s="366"/>
      <c r="C307" s="366"/>
      <c r="D307" s="366"/>
    </row>
    <row r="308" spans="1:5" x14ac:dyDescent="0.25">
      <c r="A308" s="366"/>
      <c r="B308" s="366"/>
      <c r="C308" s="366"/>
      <c r="D308" s="366"/>
    </row>
    <row r="309" spans="1:5" x14ac:dyDescent="0.25">
      <c r="A309" s="366"/>
      <c r="B309" s="366"/>
      <c r="C309" s="366"/>
      <c r="D309" s="366"/>
    </row>
    <row r="310" spans="1:5" x14ac:dyDescent="0.25">
      <c r="A310" s="366"/>
      <c r="B310" s="366"/>
      <c r="C310" s="366"/>
      <c r="D310" s="366"/>
    </row>
    <row r="311" spans="1:5" x14ac:dyDescent="0.25">
      <c r="A311" s="366"/>
      <c r="B311" s="366"/>
      <c r="C311" s="366"/>
      <c r="D311" s="366"/>
    </row>
    <row r="312" spans="1:5" x14ac:dyDescent="0.25">
      <c r="A312" s="366"/>
      <c r="B312" s="366"/>
      <c r="C312" s="366"/>
      <c r="D312" s="366"/>
    </row>
    <row r="313" spans="1:5" x14ac:dyDescent="0.25">
      <c r="A313" s="366"/>
      <c r="B313" s="366"/>
      <c r="C313" s="366"/>
      <c r="D313" s="366"/>
    </row>
    <row r="314" spans="1:5" x14ac:dyDescent="0.25">
      <c r="A314" s="366"/>
      <c r="B314" s="366"/>
      <c r="C314" s="366"/>
      <c r="D314" s="366"/>
    </row>
    <row r="315" spans="1:5" x14ac:dyDescent="0.25">
      <c r="A315" s="366"/>
      <c r="B315" s="366"/>
      <c r="C315" s="366"/>
      <c r="D315" s="366"/>
    </row>
    <row r="316" spans="1:5" x14ac:dyDescent="0.25">
      <c r="A316" s="366"/>
      <c r="B316" s="366"/>
      <c r="C316" s="366"/>
      <c r="D316" s="366"/>
    </row>
    <row r="317" spans="1:5" x14ac:dyDescent="0.25">
      <c r="A317" s="366"/>
      <c r="B317" s="366"/>
      <c r="C317" s="366"/>
      <c r="D317" s="366"/>
    </row>
    <row r="318" spans="1:5" x14ac:dyDescent="0.25">
      <c r="A318" s="366"/>
      <c r="B318" s="366"/>
      <c r="C318" s="366"/>
      <c r="D318" s="366"/>
    </row>
    <row r="319" spans="1:5" x14ac:dyDescent="0.25">
      <c r="A319" s="366"/>
      <c r="B319" s="366"/>
      <c r="C319" s="366"/>
      <c r="D319" s="366"/>
    </row>
    <row r="320" spans="1:5" x14ac:dyDescent="0.25">
      <c r="A320" s="366"/>
      <c r="B320" s="366"/>
      <c r="C320" s="366"/>
      <c r="D320" s="366"/>
    </row>
    <row r="321" spans="1:4" x14ac:dyDescent="0.25">
      <c r="A321" s="366"/>
      <c r="B321" s="366"/>
      <c r="C321" s="366"/>
      <c r="D321" s="366"/>
    </row>
    <row r="322" spans="1:4" x14ac:dyDescent="0.25">
      <c r="A322" s="366"/>
      <c r="B322" s="366"/>
      <c r="C322" s="366"/>
      <c r="D322" s="366"/>
    </row>
    <row r="323" spans="1:4" x14ac:dyDescent="0.25">
      <c r="A323" s="366"/>
      <c r="B323" s="366"/>
      <c r="C323" s="366"/>
      <c r="D323" s="366"/>
    </row>
    <row r="324" spans="1:4" x14ac:dyDescent="0.25">
      <c r="A324" s="366"/>
      <c r="B324" s="366"/>
      <c r="C324" s="366"/>
      <c r="D324" s="366"/>
    </row>
    <row r="325" spans="1:4" x14ac:dyDescent="0.25">
      <c r="A325" s="366"/>
      <c r="B325" s="366"/>
      <c r="C325" s="366"/>
      <c r="D325" s="366"/>
    </row>
    <row r="326" spans="1:4" x14ac:dyDescent="0.25">
      <c r="A326" s="366"/>
      <c r="B326" s="366"/>
      <c r="C326" s="366"/>
      <c r="D326" s="366"/>
    </row>
    <row r="327" spans="1:4" x14ac:dyDescent="0.25">
      <c r="A327" s="366"/>
      <c r="B327" s="366"/>
      <c r="C327" s="366"/>
      <c r="D327" s="366"/>
    </row>
    <row r="328" spans="1:4" x14ac:dyDescent="0.25">
      <c r="A328" s="366"/>
      <c r="B328" s="366"/>
      <c r="C328" s="366"/>
      <c r="D328" s="366"/>
    </row>
    <row r="329" spans="1:4" x14ac:dyDescent="0.25">
      <c r="A329" s="366"/>
      <c r="B329" s="366"/>
      <c r="C329" s="366"/>
      <c r="D329" s="366"/>
    </row>
    <row r="330" spans="1:4" x14ac:dyDescent="0.25">
      <c r="A330" s="366"/>
      <c r="B330" s="366"/>
      <c r="C330" s="366"/>
      <c r="D330" s="366"/>
    </row>
    <row r="331" spans="1:4" x14ac:dyDescent="0.25">
      <c r="A331" s="366"/>
      <c r="B331" s="366"/>
      <c r="C331" s="366"/>
      <c r="D331" s="366"/>
    </row>
    <row r="332" spans="1:4" x14ac:dyDescent="0.25">
      <c r="A332" s="366"/>
      <c r="B332" s="366"/>
      <c r="C332" s="366"/>
      <c r="D332" s="366"/>
    </row>
    <row r="333" spans="1:4" x14ac:dyDescent="0.25">
      <c r="A333" s="366"/>
      <c r="B333" s="366"/>
      <c r="C333" s="366"/>
      <c r="D333" s="366"/>
    </row>
    <row r="334" spans="1:4" x14ac:dyDescent="0.25">
      <c r="A334" s="366"/>
      <c r="B334" s="366"/>
      <c r="C334" s="366"/>
      <c r="D334" s="366"/>
    </row>
    <row r="335" spans="1:4" x14ac:dyDescent="0.25">
      <c r="A335" s="366"/>
      <c r="B335" s="366"/>
      <c r="C335" s="366"/>
      <c r="D335" s="366"/>
    </row>
    <row r="336" spans="1:4" x14ac:dyDescent="0.25">
      <c r="A336" s="366"/>
      <c r="B336" s="366"/>
      <c r="C336" s="366"/>
      <c r="D336" s="366"/>
    </row>
    <row r="337" spans="1:4" x14ac:dyDescent="0.25">
      <c r="A337" s="366"/>
      <c r="B337" s="366"/>
      <c r="C337" s="366"/>
      <c r="D337" s="366"/>
    </row>
    <row r="338" spans="1:4" x14ac:dyDescent="0.25">
      <c r="A338" s="366"/>
      <c r="B338" s="366"/>
      <c r="C338" s="366"/>
      <c r="D338" s="366"/>
    </row>
    <row r="339" spans="1:4" x14ac:dyDescent="0.25">
      <c r="A339" s="366"/>
      <c r="B339" s="366"/>
      <c r="C339" s="366"/>
      <c r="D339" s="366"/>
    </row>
    <row r="340" spans="1:4" x14ac:dyDescent="0.25">
      <c r="A340" s="366"/>
      <c r="B340" s="366"/>
      <c r="C340" s="366"/>
      <c r="D340" s="366"/>
    </row>
    <row r="341" spans="1:4" x14ac:dyDescent="0.25">
      <c r="A341" s="366"/>
      <c r="B341" s="366"/>
      <c r="C341" s="366"/>
      <c r="D341" s="366"/>
    </row>
    <row r="342" spans="1:4" x14ac:dyDescent="0.25">
      <c r="A342" s="366"/>
      <c r="B342" s="366"/>
      <c r="C342" s="366"/>
      <c r="D342" s="366"/>
    </row>
    <row r="343" spans="1:4" x14ac:dyDescent="0.25">
      <c r="A343" s="366"/>
      <c r="B343" s="366"/>
      <c r="C343" s="366"/>
      <c r="D343" s="366"/>
    </row>
    <row r="344" spans="1:4" x14ac:dyDescent="0.25">
      <c r="A344" s="366"/>
      <c r="B344" s="366"/>
      <c r="C344" s="366"/>
      <c r="D344" s="366"/>
    </row>
    <row r="345" spans="1:4" x14ac:dyDescent="0.25">
      <c r="A345" s="366"/>
      <c r="B345" s="366"/>
      <c r="C345" s="366"/>
      <c r="D345" s="366"/>
    </row>
    <row r="346" spans="1:4" x14ac:dyDescent="0.25">
      <c r="A346" s="366"/>
      <c r="B346" s="366"/>
      <c r="C346" s="366"/>
      <c r="D346" s="366"/>
    </row>
    <row r="347" spans="1:4" x14ac:dyDescent="0.25">
      <c r="A347" s="366"/>
      <c r="B347" s="366"/>
      <c r="C347" s="366"/>
      <c r="D347" s="366"/>
    </row>
    <row r="348" spans="1:4" x14ac:dyDescent="0.25">
      <c r="A348" s="366"/>
      <c r="B348" s="366"/>
      <c r="C348" s="366"/>
      <c r="D348" s="366"/>
    </row>
    <row r="349" spans="1:4" x14ac:dyDescent="0.25">
      <c r="A349" s="366"/>
      <c r="B349" s="366"/>
      <c r="C349" s="366"/>
      <c r="D349" s="366"/>
    </row>
    <row r="350" spans="1:4" x14ac:dyDescent="0.25">
      <c r="A350" s="366"/>
      <c r="B350" s="366"/>
      <c r="C350" s="366"/>
      <c r="D350" s="366"/>
    </row>
    <row r="351" spans="1:4" x14ac:dyDescent="0.25">
      <c r="A351" s="366"/>
      <c r="B351" s="366"/>
      <c r="C351" s="366"/>
      <c r="D351" s="366"/>
    </row>
    <row r="352" spans="1:4" x14ac:dyDescent="0.25">
      <c r="A352" s="366"/>
      <c r="B352" s="366"/>
      <c r="C352" s="366"/>
      <c r="D352" s="366"/>
    </row>
    <row r="353" spans="1:4" x14ac:dyDescent="0.25">
      <c r="A353" s="366"/>
      <c r="B353" s="366"/>
      <c r="C353" s="366"/>
      <c r="D353" s="366"/>
    </row>
    <row r="354" spans="1:4" x14ac:dyDescent="0.25">
      <c r="A354" s="366"/>
      <c r="B354" s="366"/>
      <c r="C354" s="366"/>
      <c r="D354" s="366"/>
    </row>
    <row r="355" spans="1:4" x14ac:dyDescent="0.25">
      <c r="A355" s="366"/>
      <c r="B355" s="366"/>
      <c r="C355" s="366"/>
      <c r="D355" s="366"/>
    </row>
    <row r="356" spans="1:4" x14ac:dyDescent="0.25">
      <c r="A356" s="366"/>
      <c r="B356" s="366"/>
      <c r="C356" s="366"/>
      <c r="D356" s="366"/>
    </row>
    <row r="357" spans="1:4" x14ac:dyDescent="0.25">
      <c r="A357" s="366"/>
      <c r="B357" s="366"/>
      <c r="C357" s="366"/>
      <c r="D357" s="366"/>
    </row>
    <row r="358" spans="1:4" x14ac:dyDescent="0.25">
      <c r="A358" s="366"/>
      <c r="B358" s="366"/>
      <c r="C358" s="366"/>
      <c r="D358" s="366"/>
    </row>
    <row r="359" spans="1:4" x14ac:dyDescent="0.25">
      <c r="A359" s="366"/>
      <c r="B359" s="366"/>
      <c r="C359" s="366"/>
      <c r="D359" s="366"/>
    </row>
    <row r="360" spans="1:4" x14ac:dyDescent="0.25">
      <c r="A360" s="366"/>
      <c r="B360" s="366"/>
      <c r="C360" s="366"/>
      <c r="D360" s="366"/>
    </row>
    <row r="361" spans="1:4" x14ac:dyDescent="0.25">
      <c r="A361" s="366"/>
      <c r="B361" s="366"/>
      <c r="C361" s="366"/>
      <c r="D361" s="366"/>
    </row>
    <row r="362" spans="1:4" x14ac:dyDescent="0.25">
      <c r="A362" s="366"/>
      <c r="B362" s="366"/>
      <c r="C362" s="366"/>
      <c r="D362" s="366"/>
    </row>
    <row r="363" spans="1:4" x14ac:dyDescent="0.25">
      <c r="A363" s="366"/>
      <c r="B363" s="366"/>
      <c r="C363" s="366"/>
      <c r="D363" s="366"/>
    </row>
    <row r="364" spans="1:4" x14ac:dyDescent="0.25">
      <c r="A364" s="366"/>
      <c r="B364" s="366"/>
      <c r="C364" s="366"/>
      <c r="D364" s="366"/>
    </row>
    <row r="365" spans="1:4" x14ac:dyDescent="0.25">
      <c r="A365" s="366"/>
      <c r="B365" s="366"/>
      <c r="C365" s="366"/>
      <c r="D365" s="366"/>
    </row>
    <row r="366" spans="1:4" x14ac:dyDescent="0.25">
      <c r="A366" s="366"/>
      <c r="B366" s="366"/>
      <c r="C366" s="366"/>
      <c r="D366" s="366"/>
    </row>
    <row r="367" spans="1:4" x14ac:dyDescent="0.25">
      <c r="A367" s="366"/>
      <c r="B367" s="366"/>
      <c r="C367" s="366"/>
      <c r="D367" s="366"/>
    </row>
    <row r="368" spans="1:4" x14ac:dyDescent="0.25">
      <c r="A368" s="366"/>
      <c r="B368" s="366"/>
      <c r="C368" s="366"/>
      <c r="D368" s="366"/>
    </row>
    <row r="369" spans="1:4" x14ac:dyDescent="0.25">
      <c r="A369" s="366"/>
      <c r="B369" s="366"/>
      <c r="C369" s="366"/>
      <c r="D369" s="366"/>
    </row>
    <row r="370" spans="1:4" x14ac:dyDescent="0.25">
      <c r="A370" s="366"/>
      <c r="B370" s="366"/>
      <c r="C370" s="366"/>
      <c r="D370" s="366"/>
    </row>
    <row r="371" spans="1:4" x14ac:dyDescent="0.25">
      <c r="A371" s="366"/>
      <c r="B371" s="366"/>
      <c r="C371" s="366"/>
      <c r="D371" s="366"/>
    </row>
    <row r="372" spans="1:4" x14ac:dyDescent="0.25">
      <c r="A372" s="366"/>
      <c r="B372" s="366"/>
      <c r="C372" s="366"/>
      <c r="D372" s="366"/>
    </row>
    <row r="373" spans="1:4" x14ac:dyDescent="0.25">
      <c r="A373" s="366"/>
      <c r="B373" s="366"/>
      <c r="C373" s="366"/>
      <c r="D373" s="366"/>
    </row>
    <row r="374" spans="1:4" x14ac:dyDescent="0.25">
      <c r="A374" s="366"/>
      <c r="B374" s="366"/>
      <c r="C374" s="366"/>
      <c r="D374" s="366"/>
    </row>
    <row r="375" spans="1:4" x14ac:dyDescent="0.25">
      <c r="A375" s="366"/>
      <c r="B375" s="366"/>
      <c r="C375" s="366"/>
      <c r="D375" s="366"/>
    </row>
    <row r="376" spans="1:4" x14ac:dyDescent="0.25">
      <c r="A376" s="366"/>
      <c r="B376" s="366"/>
      <c r="C376" s="366"/>
      <c r="D376" s="366"/>
    </row>
  </sheetData>
  <mergeCells count="6">
    <mergeCell ref="Q1:Q2"/>
    <mergeCell ref="B1:B3"/>
    <mergeCell ref="C1:C3"/>
    <mergeCell ref="D1:D3"/>
    <mergeCell ref="O1:O2"/>
    <mergeCell ref="P1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573B-F27B-40F0-AE94-B227D98E04EA}">
  <sheetPr>
    <pageSetUpPr fitToPage="1"/>
  </sheetPr>
  <dimension ref="A1:G32"/>
  <sheetViews>
    <sheetView view="pageBreakPreview" zoomScale="86" zoomScaleNormal="100" zoomScaleSheetLayoutView="86" workbookViewId="0">
      <selection activeCell="D24" sqref="D24"/>
    </sheetView>
  </sheetViews>
  <sheetFormatPr defaultRowHeight="15" x14ac:dyDescent="0.25"/>
  <cols>
    <col min="1" max="1" width="45.5703125" style="346" customWidth="1"/>
    <col min="2" max="2" width="15.85546875" style="346" customWidth="1"/>
    <col min="3" max="3" width="18.5703125" style="346" customWidth="1"/>
    <col min="4" max="4" width="15.85546875" style="346" customWidth="1"/>
    <col min="5" max="5" width="20.85546875" style="346" customWidth="1"/>
    <col min="6" max="6" width="15.85546875" style="361" customWidth="1"/>
    <col min="7" max="16384" width="9.140625" style="346"/>
  </cols>
  <sheetData>
    <row r="1" spans="1:7" x14ac:dyDescent="0.25">
      <c r="A1" s="696" t="s">
        <v>20</v>
      </c>
      <c r="B1" s="696"/>
      <c r="C1" s="696"/>
      <c r="D1" s="696"/>
      <c r="E1" s="696"/>
      <c r="F1" s="696"/>
    </row>
    <row r="2" spans="1:7" x14ac:dyDescent="0.25">
      <c r="A2" s="696" t="s">
        <v>708</v>
      </c>
      <c r="B2" s="696"/>
      <c r="C2" s="696"/>
      <c r="D2" s="696"/>
      <c r="E2" s="696"/>
      <c r="F2" s="696"/>
    </row>
    <row r="3" spans="1:7" x14ac:dyDescent="0.25">
      <c r="A3" s="696" t="s">
        <v>796</v>
      </c>
      <c r="B3" s="696"/>
      <c r="C3" s="696"/>
      <c r="D3" s="696"/>
      <c r="E3" s="696"/>
      <c r="F3" s="696"/>
    </row>
    <row r="5" spans="1:7" ht="60.75" thickBot="1" x14ac:dyDescent="0.3">
      <c r="A5" s="425" t="s">
        <v>336</v>
      </c>
      <c r="B5" s="642" t="s">
        <v>476</v>
      </c>
      <c r="C5" s="642" t="s">
        <v>478</v>
      </c>
      <c r="D5" s="642" t="s">
        <v>477</v>
      </c>
      <c r="E5" s="642" t="s">
        <v>480</v>
      </c>
      <c r="F5" s="643" t="s">
        <v>479</v>
      </c>
    </row>
    <row r="6" spans="1:7" hidden="1" x14ac:dyDescent="0.25">
      <c r="A6" s="347" t="s">
        <v>58</v>
      </c>
      <c r="B6" s="348">
        <v>1587050</v>
      </c>
      <c r="C6" s="348"/>
      <c r="D6" s="348"/>
      <c r="E6" s="349">
        <v>-1137719</v>
      </c>
      <c r="F6" s="350">
        <f t="shared" ref="F6:F15" si="0">SUM(B6:E6)</f>
        <v>449331</v>
      </c>
    </row>
    <row r="7" spans="1:7" ht="15.75" hidden="1" thickBot="1" x14ac:dyDescent="0.3">
      <c r="A7" s="351" t="s">
        <v>59</v>
      </c>
      <c r="B7" s="352">
        <v>0</v>
      </c>
      <c r="C7" s="352"/>
      <c r="D7" s="352"/>
      <c r="E7" s="353">
        <v>111498</v>
      </c>
      <c r="F7" s="353">
        <f t="shared" si="0"/>
        <v>111498</v>
      </c>
    </row>
    <row r="8" spans="1:7" x14ac:dyDescent="0.25">
      <c r="A8" s="347" t="s">
        <v>709</v>
      </c>
      <c r="B8" s="350">
        <v>1732479</v>
      </c>
      <c r="C8" s="350">
        <v>0</v>
      </c>
      <c r="D8" s="350">
        <v>0</v>
      </c>
      <c r="E8" s="349">
        <v>-1130956</v>
      </c>
      <c r="F8" s="350">
        <f t="shared" si="0"/>
        <v>601523</v>
      </c>
    </row>
    <row r="9" spans="1:7" x14ac:dyDescent="0.25">
      <c r="A9" s="351" t="s">
        <v>481</v>
      </c>
      <c r="B9" s="350">
        <v>0</v>
      </c>
      <c r="C9" s="350">
        <v>0</v>
      </c>
      <c r="D9" s="350">
        <v>0</v>
      </c>
      <c r="E9" s="354">
        <f>'ОПиУ 3 кв 2022_2021'!D16</f>
        <v>-285630</v>
      </c>
      <c r="F9" s="355">
        <f t="shared" si="0"/>
        <v>-285630</v>
      </c>
    </row>
    <row r="10" spans="1:7" x14ac:dyDescent="0.25">
      <c r="A10" s="351" t="s">
        <v>52</v>
      </c>
      <c r="B10" s="354">
        <v>256000</v>
      </c>
      <c r="C10" s="350">
        <v>0</v>
      </c>
      <c r="D10" s="350">
        <v>0</v>
      </c>
      <c r="E10" s="349">
        <v>0</v>
      </c>
      <c r="F10" s="355">
        <f t="shared" si="0"/>
        <v>256000</v>
      </c>
    </row>
    <row r="11" spans="1:7" ht="30" x14ac:dyDescent="0.25">
      <c r="A11" s="351" t="s">
        <v>478</v>
      </c>
      <c r="B11" s="350">
        <v>0</v>
      </c>
      <c r="C11" s="354">
        <v>15071</v>
      </c>
      <c r="D11" s="350">
        <v>0</v>
      </c>
      <c r="E11" s="349">
        <v>0</v>
      </c>
      <c r="F11" s="355">
        <f t="shared" si="0"/>
        <v>15071</v>
      </c>
    </row>
    <row r="12" spans="1:7" ht="15.75" thickBot="1" x14ac:dyDescent="0.3">
      <c r="A12" s="351" t="s">
        <v>477</v>
      </c>
      <c r="B12" s="350">
        <v>0</v>
      </c>
      <c r="C12" s="350">
        <v>0</v>
      </c>
      <c r="D12" s="354">
        <v>-10071</v>
      </c>
      <c r="E12" s="349">
        <v>0</v>
      </c>
      <c r="F12" s="355">
        <f t="shared" si="0"/>
        <v>-10071</v>
      </c>
    </row>
    <row r="13" spans="1:7" ht="21" customHeight="1" thickBot="1" x14ac:dyDescent="0.3">
      <c r="A13" s="347" t="s">
        <v>797</v>
      </c>
      <c r="B13" s="357">
        <f>SUM(B8:B12)</f>
        <v>1988479</v>
      </c>
      <c r="C13" s="358">
        <f t="shared" ref="C13:D13" si="1">SUM(C8:C12)</f>
        <v>15071</v>
      </c>
      <c r="D13" s="358">
        <f t="shared" si="1"/>
        <v>-10071</v>
      </c>
      <c r="E13" s="358">
        <f>SUM(E8:E12)</f>
        <v>-1416586</v>
      </c>
      <c r="F13" s="357">
        <f>SUM(F8:F12)</f>
        <v>576893</v>
      </c>
    </row>
    <row r="14" spans="1:7" ht="21" customHeight="1" thickTop="1" x14ac:dyDescent="0.25">
      <c r="A14" s="351" t="s">
        <v>481</v>
      </c>
      <c r="B14" s="349">
        <v>0</v>
      </c>
      <c r="C14" s="349">
        <v>0</v>
      </c>
      <c r="D14" s="349">
        <v>0</v>
      </c>
      <c r="E14" s="354">
        <f>-393832-E9</f>
        <v>-108202</v>
      </c>
      <c r="F14" s="355">
        <f t="shared" si="0"/>
        <v>-108202</v>
      </c>
    </row>
    <row r="15" spans="1:7" ht="21" customHeight="1" thickBot="1" x14ac:dyDescent="0.3">
      <c r="A15" s="351" t="s">
        <v>52</v>
      </c>
      <c r="B15" s="356">
        <v>89000</v>
      </c>
      <c r="C15" s="356">
        <v>0</v>
      </c>
      <c r="D15" s="356">
        <v>0</v>
      </c>
      <c r="E15" s="349">
        <v>0</v>
      </c>
      <c r="F15" s="355">
        <f t="shared" si="0"/>
        <v>89000</v>
      </c>
    </row>
    <row r="16" spans="1:7" ht="16.5" customHeight="1" thickBot="1" x14ac:dyDescent="0.3">
      <c r="A16" s="347" t="s">
        <v>752</v>
      </c>
      <c r="B16" s="357">
        <f>SUM(B13:B15)</f>
        <v>2077479</v>
      </c>
      <c r="C16" s="357">
        <f t="shared" ref="C16:D16" si="2">SUM(C13:C15)</f>
        <v>15071</v>
      </c>
      <c r="D16" s="358">
        <f t="shared" si="2"/>
        <v>-10071</v>
      </c>
      <c r="E16" s="358">
        <f>SUM(E13:E15)</f>
        <v>-1524788</v>
      </c>
      <c r="F16" s="357">
        <f>SUM(F13:F15)</f>
        <v>557691</v>
      </c>
      <c r="G16" s="359"/>
    </row>
    <row r="17" spans="1:7" ht="16.5" customHeight="1" thickTop="1" x14ac:dyDescent="0.25">
      <c r="A17" s="351" t="s">
        <v>481</v>
      </c>
      <c r="B17" s="350">
        <v>0</v>
      </c>
      <c r="C17" s="350">
        <v>0</v>
      </c>
      <c r="D17" s="350">
        <v>0</v>
      </c>
      <c r="E17" s="354">
        <f>'ОПиУ 3 кв 2022_2021'!C18</f>
        <v>69681</v>
      </c>
      <c r="F17" s="355">
        <f>SUM(B17:E17)</f>
        <v>69681</v>
      </c>
    </row>
    <row r="18" spans="1:7" ht="15.75" thickBot="1" x14ac:dyDescent="0.3">
      <c r="A18" s="351" t="s">
        <v>52</v>
      </c>
      <c r="B18" s="360">
        <v>174100</v>
      </c>
      <c r="C18" s="360">
        <v>0</v>
      </c>
      <c r="D18" s="360">
        <v>0</v>
      </c>
      <c r="E18" s="349">
        <v>0</v>
      </c>
      <c r="F18" s="355">
        <f>SUM(B18:E18)</f>
        <v>174100</v>
      </c>
    </row>
    <row r="19" spans="1:7" ht="15" customHeight="1" thickBot="1" x14ac:dyDescent="0.3">
      <c r="A19" s="347" t="s">
        <v>798</v>
      </c>
      <c r="B19" s="357">
        <f>SUM(B16:B18)</f>
        <v>2251579</v>
      </c>
      <c r="C19" s="357">
        <f>SUM(C16:C18)</f>
        <v>15071</v>
      </c>
      <c r="D19" s="358">
        <f>SUM(D16:D18)</f>
        <v>-10071</v>
      </c>
      <c r="E19" s="358">
        <f>SUM(E16:E18)</f>
        <v>-1455107</v>
      </c>
      <c r="F19" s="357">
        <f>SUM(F16:F18)</f>
        <v>801472</v>
      </c>
      <c r="G19" s="359"/>
    </row>
    <row r="20" spans="1:7" ht="15.75" thickTop="1" x14ac:dyDescent="0.25">
      <c r="A20" s="347"/>
      <c r="B20" s="350"/>
      <c r="C20" s="350"/>
      <c r="D20" s="350"/>
      <c r="E20" s="350"/>
      <c r="F20" s="350"/>
      <c r="G20" s="359"/>
    </row>
    <row r="21" spans="1:7" x14ac:dyDescent="0.25">
      <c r="A21" s="424"/>
      <c r="B21" s="423"/>
      <c r="C21" s="423"/>
      <c r="D21" s="423"/>
      <c r="E21" s="423"/>
    </row>
    <row r="22" spans="1:7" ht="15" customHeight="1" x14ac:dyDescent="0.25">
      <c r="A22" s="423"/>
      <c r="B22" s="423"/>
      <c r="C22" s="423"/>
      <c r="D22" s="423"/>
      <c r="E22" s="423"/>
    </row>
    <row r="23" spans="1:7" x14ac:dyDescent="0.25">
      <c r="A23" s="423"/>
      <c r="B23" s="362"/>
      <c r="C23" s="362"/>
      <c r="D23" s="362"/>
      <c r="E23" s="362"/>
    </row>
    <row r="24" spans="1:7" x14ac:dyDescent="0.25">
      <c r="A24" s="423"/>
      <c r="B24" s="362"/>
      <c r="C24" s="362"/>
      <c r="D24" s="362"/>
      <c r="E24" s="362"/>
    </row>
    <row r="25" spans="1:7" x14ac:dyDescent="0.25">
      <c r="A25" s="351" t="s">
        <v>530</v>
      </c>
      <c r="B25" s="426"/>
      <c r="C25" s="426"/>
      <c r="D25" s="426"/>
      <c r="E25" s="426"/>
    </row>
    <row r="26" spans="1:7" x14ac:dyDescent="0.25">
      <c r="A26" s="363" t="s">
        <v>474</v>
      </c>
      <c r="B26" s="423"/>
      <c r="C26" s="423"/>
      <c r="D26" s="423"/>
      <c r="E26" s="362" t="s">
        <v>473</v>
      </c>
    </row>
    <row r="27" spans="1:7" x14ac:dyDescent="0.25">
      <c r="A27" s="424"/>
      <c r="B27" s="423"/>
      <c r="C27" s="423"/>
      <c r="D27" s="423"/>
      <c r="E27" s="362" t="s">
        <v>532</v>
      </c>
      <c r="F27" s="364"/>
    </row>
    <row r="28" spans="1:7" x14ac:dyDescent="0.25">
      <c r="A28" s="697"/>
      <c r="B28" s="697"/>
      <c r="C28" s="697"/>
      <c r="D28" s="697"/>
      <c r="E28" s="697"/>
      <c r="F28" s="365"/>
    </row>
    <row r="29" spans="1:7" x14ac:dyDescent="0.25">
      <c r="A29" s="351" t="s">
        <v>531</v>
      </c>
      <c r="B29" s="426"/>
      <c r="C29" s="426"/>
      <c r="D29" s="426"/>
      <c r="E29" s="426"/>
    </row>
    <row r="30" spans="1:7" x14ac:dyDescent="0.25">
      <c r="A30" s="363" t="s">
        <v>475</v>
      </c>
      <c r="B30" s="423"/>
      <c r="C30" s="423"/>
      <c r="D30" s="423"/>
      <c r="E30" s="362" t="s">
        <v>473</v>
      </c>
    </row>
    <row r="31" spans="1:7" x14ac:dyDescent="0.25">
      <c r="A31" s="424"/>
      <c r="B31" s="423"/>
      <c r="C31" s="423"/>
      <c r="D31" s="423"/>
      <c r="E31" s="362" t="s">
        <v>532</v>
      </c>
    </row>
    <row r="32" spans="1:7" x14ac:dyDescent="0.25">
      <c r="A32" s="423"/>
      <c r="B32" s="423"/>
      <c r="C32" s="423"/>
      <c r="D32" s="423"/>
      <c r="E32" s="423"/>
    </row>
  </sheetData>
  <mergeCells count="4">
    <mergeCell ref="A28:E28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16A0-1424-4D1C-967C-2A87A94C8B3E}">
  <dimension ref="A1:D51"/>
  <sheetViews>
    <sheetView view="pageBreakPreview" topLeftCell="A6" zoomScale="89" zoomScaleNormal="100" zoomScaleSheetLayoutView="89" workbookViewId="0">
      <selection activeCell="D20" sqref="D20"/>
    </sheetView>
  </sheetViews>
  <sheetFormatPr defaultRowHeight="15" x14ac:dyDescent="0.25"/>
  <cols>
    <col min="1" max="1" width="63.42578125" style="639" customWidth="1"/>
    <col min="2" max="2" width="9.140625" style="640"/>
    <col min="3" max="3" width="18.42578125" style="640" customWidth="1"/>
    <col min="4" max="4" width="18.140625" style="639" customWidth="1"/>
    <col min="5" max="16384" width="9.140625" style="639"/>
  </cols>
  <sheetData>
    <row r="1" spans="1:4" x14ac:dyDescent="0.25">
      <c r="A1" s="696" t="s">
        <v>20</v>
      </c>
      <c r="B1" s="696"/>
      <c r="C1" s="696"/>
      <c r="D1" s="696"/>
    </row>
    <row r="2" spans="1:4" x14ac:dyDescent="0.25">
      <c r="A2" s="696" t="s">
        <v>828</v>
      </c>
      <c r="B2" s="696"/>
      <c r="C2" s="696"/>
      <c r="D2" s="696"/>
    </row>
    <row r="3" spans="1:4" x14ac:dyDescent="0.25">
      <c r="A3" s="696" t="s">
        <v>799</v>
      </c>
      <c r="B3" s="696"/>
      <c r="C3" s="696"/>
      <c r="D3" s="696"/>
    </row>
    <row r="4" spans="1:4" x14ac:dyDescent="0.25">
      <c r="A4" s="641"/>
      <c r="B4" s="641"/>
      <c r="C4" s="641"/>
      <c r="D4" s="641"/>
    </row>
    <row r="5" spans="1:4" ht="24.75" customHeight="1" thickBot="1" x14ac:dyDescent="0.3">
      <c r="A5" s="644" t="s">
        <v>47</v>
      </c>
      <c r="B5" s="645" t="s">
        <v>1</v>
      </c>
      <c r="C5" s="646" t="s">
        <v>800</v>
      </c>
      <c r="D5" s="646" t="s">
        <v>801</v>
      </c>
    </row>
    <row r="6" spans="1:4" x14ac:dyDescent="0.25">
      <c r="A6" s="647" t="s">
        <v>802</v>
      </c>
      <c r="B6" s="645" t="s">
        <v>5</v>
      </c>
      <c r="C6" s="645"/>
      <c r="D6" s="648"/>
    </row>
    <row r="7" spans="1:4" x14ac:dyDescent="0.25">
      <c r="A7" s="649" t="s">
        <v>803</v>
      </c>
      <c r="B7" s="645" t="s">
        <v>5</v>
      </c>
      <c r="C7" s="650">
        <v>69681</v>
      </c>
      <c r="D7" s="650">
        <v>-285630</v>
      </c>
    </row>
    <row r="8" spans="1:4" x14ac:dyDescent="0.25">
      <c r="A8" s="649" t="s">
        <v>804</v>
      </c>
      <c r="B8" s="645" t="s">
        <v>5</v>
      </c>
      <c r="C8" s="645"/>
      <c r="D8" s="651"/>
    </row>
    <row r="9" spans="1:4" x14ac:dyDescent="0.25">
      <c r="A9" s="649" t="s">
        <v>6</v>
      </c>
      <c r="B9" s="645">
        <v>5</v>
      </c>
      <c r="C9" s="650">
        <v>-172629</v>
      </c>
      <c r="D9" s="650">
        <v>-1381</v>
      </c>
    </row>
    <row r="10" spans="1:4" x14ac:dyDescent="0.25">
      <c r="A10" s="649" t="s">
        <v>48</v>
      </c>
      <c r="B10" s="645">
        <v>6.13</v>
      </c>
      <c r="C10" s="650">
        <v>6030</v>
      </c>
      <c r="D10" s="648">
        <v>6141</v>
      </c>
    </row>
    <row r="11" spans="1:4" x14ac:dyDescent="0.25">
      <c r="A11" s="649" t="s">
        <v>49</v>
      </c>
      <c r="B11" s="645" t="s">
        <v>5</v>
      </c>
      <c r="C11" s="650">
        <v>50</v>
      </c>
      <c r="D11" s="648">
        <v>159</v>
      </c>
    </row>
    <row r="12" spans="1:4" x14ac:dyDescent="0.25">
      <c r="A12" s="649" t="s">
        <v>805</v>
      </c>
      <c r="B12" s="645" t="s">
        <v>5</v>
      </c>
      <c r="C12" s="648"/>
      <c r="D12" s="648">
        <v>0</v>
      </c>
    </row>
    <row r="13" spans="1:4" ht="15.75" thickBot="1" x14ac:dyDescent="0.3">
      <c r="A13" s="649" t="s">
        <v>806</v>
      </c>
      <c r="B13" s="645" t="s">
        <v>5</v>
      </c>
      <c r="C13" s="652">
        <v>617</v>
      </c>
      <c r="D13" s="652">
        <v>-35</v>
      </c>
    </row>
    <row r="14" spans="1:4" ht="30" x14ac:dyDescent="0.25">
      <c r="A14" s="649" t="s">
        <v>807</v>
      </c>
      <c r="B14" s="645" t="s">
        <v>5</v>
      </c>
      <c r="C14" s="653">
        <v>-96251</v>
      </c>
      <c r="D14" s="653">
        <v>-280746</v>
      </c>
    </row>
    <row r="15" spans="1:4" x14ac:dyDescent="0.25">
      <c r="A15" s="649" t="s">
        <v>808</v>
      </c>
      <c r="B15" s="645" t="s">
        <v>5</v>
      </c>
      <c r="C15" s="650">
        <v>8005</v>
      </c>
      <c r="D15" s="650">
        <v>15995</v>
      </c>
    </row>
    <row r="16" spans="1:4" ht="30" x14ac:dyDescent="0.25">
      <c r="A16" s="649" t="s">
        <v>809</v>
      </c>
      <c r="B16" s="645" t="s">
        <v>5</v>
      </c>
      <c r="C16" s="654">
        <v>-83987</v>
      </c>
      <c r="D16" s="650">
        <v>5963</v>
      </c>
    </row>
    <row r="17" spans="1:4" ht="30" x14ac:dyDescent="0.25">
      <c r="A17" s="649" t="s">
        <v>810</v>
      </c>
      <c r="B17" s="645" t="s">
        <v>5</v>
      </c>
      <c r="C17" s="650">
        <v>-5422</v>
      </c>
      <c r="D17" s="650">
        <v>10801</v>
      </c>
    </row>
    <row r="18" spans="1:4" x14ac:dyDescent="0.25">
      <c r="A18" s="649" t="s">
        <v>811</v>
      </c>
      <c r="B18" s="645" t="s">
        <v>5</v>
      </c>
      <c r="C18" s="650">
        <v>1332</v>
      </c>
      <c r="D18" s="650">
        <v>-975</v>
      </c>
    </row>
    <row r="19" spans="1:4" ht="30.75" thickBot="1" x14ac:dyDescent="0.3">
      <c r="A19" s="649" t="s">
        <v>812</v>
      </c>
      <c r="B19" s="645" t="s">
        <v>5</v>
      </c>
      <c r="C19" s="655">
        <v>-24126</v>
      </c>
      <c r="D19" s="655">
        <v>-7555</v>
      </c>
    </row>
    <row r="20" spans="1:4" ht="30" x14ac:dyDescent="0.25">
      <c r="A20" s="649" t="s">
        <v>813</v>
      </c>
      <c r="B20" s="645" t="s">
        <v>5</v>
      </c>
      <c r="C20" s="653">
        <v>-200449</v>
      </c>
      <c r="D20" s="653">
        <v>-256517</v>
      </c>
    </row>
    <row r="21" spans="1:4" x14ac:dyDescent="0.25">
      <c r="A21" s="649" t="s">
        <v>814</v>
      </c>
      <c r="B21" s="645"/>
      <c r="C21" s="650">
        <v>-132</v>
      </c>
      <c r="D21" s="648">
        <v>1381</v>
      </c>
    </row>
    <row r="22" spans="1:4" ht="15.75" thickBot="1" x14ac:dyDescent="0.3">
      <c r="A22" s="649" t="s">
        <v>815</v>
      </c>
      <c r="B22" s="645" t="s">
        <v>5</v>
      </c>
      <c r="C22" s="645"/>
      <c r="D22" s="648">
        <v>0</v>
      </c>
    </row>
    <row r="23" spans="1:4" ht="29.25" customHeight="1" thickBot="1" x14ac:dyDescent="0.3">
      <c r="A23" s="647" t="s">
        <v>816</v>
      </c>
      <c r="B23" s="645" t="s">
        <v>5</v>
      </c>
      <c r="C23" s="656">
        <v>-200581</v>
      </c>
      <c r="D23" s="656">
        <v>-255136</v>
      </c>
    </row>
    <row r="24" spans="1:4" x14ac:dyDescent="0.25">
      <c r="A24" s="649"/>
      <c r="B24" s="645" t="s">
        <v>5</v>
      </c>
      <c r="C24" s="645"/>
      <c r="D24" s="648"/>
    </row>
    <row r="25" spans="1:4" x14ac:dyDescent="0.25">
      <c r="A25" s="647" t="s">
        <v>817</v>
      </c>
      <c r="B25" s="645" t="s">
        <v>5</v>
      </c>
      <c r="C25" s="645"/>
      <c r="D25" s="648"/>
    </row>
    <row r="26" spans="1:4" x14ac:dyDescent="0.25">
      <c r="A26" s="649" t="s">
        <v>818</v>
      </c>
      <c r="B26" s="645"/>
      <c r="C26" s="650">
        <v>-33</v>
      </c>
      <c r="D26" s="648"/>
    </row>
    <row r="27" spans="1:4" x14ac:dyDescent="0.25">
      <c r="A27" s="649" t="s">
        <v>51</v>
      </c>
      <c r="B27" s="645">
        <v>13</v>
      </c>
      <c r="C27" s="650">
        <v>-1709</v>
      </c>
      <c r="D27" s="650">
        <v>-7255</v>
      </c>
    </row>
    <row r="28" spans="1:4" x14ac:dyDescent="0.25">
      <c r="A28" s="657" t="str">
        <f>'[1]Cf -22'!B40</f>
        <v>Поступления от продажи инвестиций</v>
      </c>
      <c r="B28" s="645"/>
      <c r="C28" s="648">
        <v>36066</v>
      </c>
      <c r="D28" s="648">
        <v>0</v>
      </c>
    </row>
    <row r="29" spans="1:4" ht="15.75" thickBot="1" x14ac:dyDescent="0.3">
      <c r="A29" s="657" t="str">
        <f>'[1]Cf -22'!B41</f>
        <v>Предоставление займов</v>
      </c>
      <c r="B29" s="645" t="s">
        <v>5</v>
      </c>
      <c r="C29" s="650">
        <v>-7120</v>
      </c>
      <c r="D29" s="658">
        <v>0</v>
      </c>
    </row>
    <row r="30" spans="1:4" ht="30.75" thickBot="1" x14ac:dyDescent="0.3">
      <c r="A30" s="647" t="s">
        <v>819</v>
      </c>
      <c r="B30" s="645" t="s">
        <v>5</v>
      </c>
      <c r="C30" s="656">
        <v>27204</v>
      </c>
      <c r="D30" s="656">
        <v>-7255</v>
      </c>
    </row>
    <row r="31" spans="1:4" x14ac:dyDescent="0.25">
      <c r="A31" s="649"/>
      <c r="B31" s="645"/>
      <c r="C31" s="645"/>
      <c r="D31" s="648"/>
    </row>
    <row r="32" spans="1:4" x14ac:dyDescent="0.25">
      <c r="A32" s="647" t="s">
        <v>820</v>
      </c>
      <c r="B32" s="645"/>
      <c r="C32" s="645"/>
      <c r="D32" s="648"/>
    </row>
    <row r="33" spans="1:4" ht="15.75" thickBot="1" x14ac:dyDescent="0.3">
      <c r="A33" s="649" t="s">
        <v>52</v>
      </c>
      <c r="B33" s="645" t="s">
        <v>460</v>
      </c>
      <c r="C33" s="648">
        <v>174100</v>
      </c>
      <c r="D33" s="648">
        <v>256000</v>
      </c>
    </row>
    <row r="34" spans="1:4" ht="15.75" hidden="1" thickBot="1" x14ac:dyDescent="0.3">
      <c r="A34" s="649" t="s">
        <v>53</v>
      </c>
      <c r="B34" s="645" t="s">
        <v>460</v>
      </c>
      <c r="C34" s="645"/>
      <c r="D34" s="648">
        <v>0</v>
      </c>
    </row>
    <row r="35" spans="1:4" ht="15.75" hidden="1" thickBot="1" x14ac:dyDescent="0.3">
      <c r="A35" s="649" t="s">
        <v>54</v>
      </c>
      <c r="B35" s="645" t="s">
        <v>460</v>
      </c>
      <c r="C35" s="645"/>
      <c r="D35" s="648">
        <v>0</v>
      </c>
    </row>
    <row r="36" spans="1:4" ht="15.75" thickBot="1" x14ac:dyDescent="0.3">
      <c r="A36" s="647" t="s">
        <v>821</v>
      </c>
      <c r="B36" s="645" t="s">
        <v>5</v>
      </c>
      <c r="C36" s="659">
        <v>174100</v>
      </c>
      <c r="D36" s="659">
        <v>256000</v>
      </c>
    </row>
    <row r="37" spans="1:4" x14ac:dyDescent="0.25">
      <c r="A37" s="647"/>
      <c r="B37" s="645"/>
      <c r="C37" s="645"/>
      <c r="D37" s="648"/>
    </row>
    <row r="38" spans="1:4" x14ac:dyDescent="0.25">
      <c r="A38" s="649" t="s">
        <v>822</v>
      </c>
      <c r="B38" s="645" t="s">
        <v>5</v>
      </c>
      <c r="C38" s="650">
        <v>723</v>
      </c>
      <c r="D38" s="650">
        <v>-6391</v>
      </c>
    </row>
    <row r="39" spans="1:4" x14ac:dyDescent="0.25">
      <c r="A39" s="649" t="s">
        <v>823</v>
      </c>
      <c r="B39" s="645" t="s">
        <v>5</v>
      </c>
      <c r="C39" s="650">
        <v>-617</v>
      </c>
      <c r="D39" s="650">
        <v>35</v>
      </c>
    </row>
    <row r="40" spans="1:4" ht="15.75" thickBot="1" x14ac:dyDescent="0.3">
      <c r="A40" s="649" t="s">
        <v>824</v>
      </c>
      <c r="B40" s="645"/>
      <c r="C40" s="660">
        <v>8822</v>
      </c>
      <c r="D40" s="648">
        <v>11961</v>
      </c>
    </row>
    <row r="41" spans="1:4" ht="15.75" thickBot="1" x14ac:dyDescent="0.3">
      <c r="A41" s="647" t="s">
        <v>825</v>
      </c>
      <c r="B41" s="645">
        <v>8</v>
      </c>
      <c r="C41" s="661">
        <v>8928</v>
      </c>
      <c r="D41" s="661">
        <v>5605</v>
      </c>
    </row>
    <row r="42" spans="1:4" ht="15.75" thickTop="1" x14ac:dyDescent="0.25">
      <c r="A42" s="647"/>
      <c r="B42" s="645"/>
      <c r="C42" s="662"/>
      <c r="D42" s="662"/>
    </row>
    <row r="43" spans="1:4" x14ac:dyDescent="0.25">
      <c r="A43" s="647"/>
      <c r="B43" s="645"/>
      <c r="C43" s="662"/>
      <c r="D43" s="662"/>
    </row>
    <row r="44" spans="1:4" x14ac:dyDescent="0.25">
      <c r="A44" s="647"/>
      <c r="B44" s="645"/>
      <c r="C44" s="662"/>
      <c r="D44" s="662"/>
    </row>
    <row r="45" spans="1:4" x14ac:dyDescent="0.25">
      <c r="A45" s="647"/>
      <c r="B45" s="645"/>
      <c r="C45" s="662"/>
      <c r="D45" s="662"/>
    </row>
    <row r="46" spans="1:4" x14ac:dyDescent="0.25">
      <c r="A46" s="351" t="s">
        <v>530</v>
      </c>
      <c r="B46" s="426"/>
      <c r="C46" s="426"/>
      <c r="D46" s="362" t="s">
        <v>473</v>
      </c>
    </row>
    <row r="47" spans="1:4" x14ac:dyDescent="0.25">
      <c r="A47" s="363" t="s">
        <v>474</v>
      </c>
      <c r="B47" s="423"/>
      <c r="C47" s="423"/>
      <c r="D47" s="362" t="s">
        <v>532</v>
      </c>
    </row>
    <row r="48" spans="1:4" x14ac:dyDescent="0.25">
      <c r="A48" s="424"/>
      <c r="B48" s="423"/>
      <c r="C48" s="423"/>
      <c r="D48" s="426"/>
    </row>
    <row r="49" spans="1:4" x14ac:dyDescent="0.25">
      <c r="A49" s="426"/>
      <c r="B49" s="426"/>
      <c r="C49" s="426"/>
      <c r="D49" s="426"/>
    </row>
    <row r="50" spans="1:4" x14ac:dyDescent="0.25">
      <c r="A50" s="351" t="s">
        <v>531</v>
      </c>
      <c r="B50" s="426"/>
      <c r="C50" s="426"/>
      <c r="D50" s="362" t="s">
        <v>473</v>
      </c>
    </row>
    <row r="51" spans="1:4" x14ac:dyDescent="0.25">
      <c r="A51" s="363" t="s">
        <v>475</v>
      </c>
      <c r="B51" s="423"/>
      <c r="C51" s="423"/>
      <c r="D51" s="362" t="s">
        <v>532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6B83-C354-42B2-B7DE-8045BD462689}">
  <dimension ref="A1:W159"/>
  <sheetViews>
    <sheetView topLeftCell="A72" workbookViewId="0">
      <selection activeCell="T148" sqref="T148:T157"/>
    </sheetView>
  </sheetViews>
  <sheetFormatPr defaultRowHeight="15" x14ac:dyDescent="0.25"/>
  <cols>
    <col min="3" max="3" width="11.85546875" bestFit="1" customWidth="1"/>
    <col min="4" max="4" width="11.7109375" bestFit="1" customWidth="1"/>
    <col min="10" max="11" width="11.7109375" bestFit="1" customWidth="1"/>
    <col min="12" max="12" width="12.28515625" bestFit="1" customWidth="1"/>
    <col min="13" max="13" width="10.85546875" bestFit="1" customWidth="1"/>
    <col min="18" max="18" width="33.5703125" customWidth="1"/>
    <col min="19" max="19" width="11.7109375" style="61" bestFit="1" customWidth="1"/>
  </cols>
  <sheetData>
    <row r="1" spans="1:23" ht="15" customHeight="1" x14ac:dyDescent="0.25">
      <c r="A1" s="698" t="s">
        <v>763</v>
      </c>
      <c r="B1" s="698"/>
      <c r="C1" s="698"/>
      <c r="D1" s="698"/>
      <c r="E1" s="698"/>
      <c r="J1" s="561" t="s">
        <v>137</v>
      </c>
      <c r="K1" s="561" t="s">
        <v>138</v>
      </c>
      <c r="L1" s="561" t="s">
        <v>139</v>
      </c>
      <c r="M1" s="561" t="s">
        <v>140</v>
      </c>
    </row>
    <row r="2" spans="1:23" ht="22.5" x14ac:dyDescent="0.25">
      <c r="A2" s="535" t="s">
        <v>137</v>
      </c>
      <c r="B2" s="535" t="s">
        <v>138</v>
      </c>
      <c r="C2" s="535" t="s">
        <v>139</v>
      </c>
      <c r="D2" s="535" t="s">
        <v>140</v>
      </c>
      <c r="J2" s="562" t="s">
        <v>496</v>
      </c>
      <c r="K2" s="563" t="s">
        <v>141</v>
      </c>
      <c r="L2" s="564"/>
      <c r="M2" s="564"/>
      <c r="R2" s="577" t="s">
        <v>591</v>
      </c>
      <c r="S2" s="570">
        <v>18517629.559999999</v>
      </c>
      <c r="T2" s="31">
        <f>ROUND(S2/1000,0)</f>
        <v>18518</v>
      </c>
    </row>
    <row r="3" spans="1:23" ht="22.5" x14ac:dyDescent="0.25">
      <c r="A3" s="541" t="s">
        <v>496</v>
      </c>
      <c r="B3" s="552" t="s">
        <v>141</v>
      </c>
      <c r="C3" s="543"/>
      <c r="D3" s="543"/>
      <c r="J3" s="565"/>
      <c r="K3" s="566" t="s">
        <v>497</v>
      </c>
      <c r="L3" s="567">
        <v>-183289814.19</v>
      </c>
      <c r="M3" s="568"/>
      <c r="N3" s="31">
        <f>ROUND(L3/1000,0)</f>
        <v>-183290</v>
      </c>
      <c r="R3" s="577" t="s">
        <v>592</v>
      </c>
      <c r="S3" s="570">
        <v>58553310.049999997</v>
      </c>
      <c r="T3" s="31">
        <f>ROUND(S3/1000,0)</f>
        <v>58553</v>
      </c>
    </row>
    <row r="4" spans="1:23" x14ac:dyDescent="0.25">
      <c r="A4" s="553"/>
      <c r="B4" s="544" t="s">
        <v>497</v>
      </c>
      <c r="C4" s="554">
        <v>-95174487</v>
      </c>
      <c r="D4" s="546"/>
      <c r="E4" s="31">
        <f>ROUND(C4/1000,0)</f>
        <v>-95174</v>
      </c>
      <c r="J4" s="569"/>
      <c r="K4" s="566" t="s">
        <v>498</v>
      </c>
      <c r="L4" s="567">
        <v>-183289814.19</v>
      </c>
      <c r="M4" s="568"/>
    </row>
    <row r="5" spans="1:23" x14ac:dyDescent="0.25">
      <c r="A5" s="555"/>
      <c r="B5" s="544" t="s">
        <v>498</v>
      </c>
      <c r="C5" s="554">
        <v>-95174487</v>
      </c>
      <c r="D5" s="546"/>
      <c r="J5" s="565"/>
      <c r="K5" s="566" t="s">
        <v>499</v>
      </c>
      <c r="L5" s="568"/>
      <c r="M5" s="570">
        <v>78602513.329999998</v>
      </c>
      <c r="O5" s="31">
        <f>ROUND(M5/1000,0)</f>
        <v>78603</v>
      </c>
      <c r="R5" s="582" t="s">
        <v>710</v>
      </c>
      <c r="S5" s="583">
        <v>55915.18</v>
      </c>
      <c r="T5" s="48">
        <f>ROUND(S5/1000,0)</f>
        <v>56</v>
      </c>
    </row>
    <row r="6" spans="1:23" x14ac:dyDescent="0.25">
      <c r="A6" s="553"/>
      <c r="B6" s="544" t="s">
        <v>499</v>
      </c>
      <c r="C6" s="546"/>
      <c r="D6" s="545">
        <v>27378298.670000002</v>
      </c>
      <c r="F6" s="31">
        <f>ROUND(D6/1000,0)</f>
        <v>27378</v>
      </c>
      <c r="J6" s="569"/>
      <c r="K6" s="566" t="s">
        <v>500</v>
      </c>
      <c r="L6" s="568"/>
      <c r="M6" s="570">
        <v>78235570.370000005</v>
      </c>
      <c r="O6" s="31">
        <f t="shared" ref="O6:O17" si="0">ROUND(M6/1000,0)</f>
        <v>78236</v>
      </c>
      <c r="R6" s="582" t="s">
        <v>203</v>
      </c>
      <c r="S6" s="583">
        <v>66541.919999999998</v>
      </c>
      <c r="T6" s="48">
        <f t="shared" ref="T6:T69" si="1">ROUND(S6/1000,0)</f>
        <v>67</v>
      </c>
    </row>
    <row r="7" spans="1:23" x14ac:dyDescent="0.25">
      <c r="A7" s="555"/>
      <c r="B7" s="544" t="s">
        <v>500</v>
      </c>
      <c r="C7" s="546"/>
      <c r="D7" s="545">
        <v>27210817.690000001</v>
      </c>
      <c r="F7" s="31">
        <f t="shared" ref="E7:F22" si="2">ROUND(D7/1000,0)</f>
        <v>27211</v>
      </c>
      <c r="J7" s="571"/>
      <c r="K7" s="574" t="s">
        <v>501</v>
      </c>
      <c r="L7" s="575"/>
      <c r="M7" s="576">
        <v>1164630.76</v>
      </c>
      <c r="N7" s="305"/>
      <c r="O7" s="83">
        <f t="shared" si="0"/>
        <v>1165</v>
      </c>
      <c r="R7" s="580" t="s">
        <v>202</v>
      </c>
      <c r="S7" s="576">
        <v>3847494.96</v>
      </c>
      <c r="T7" s="83">
        <f t="shared" si="1"/>
        <v>3847</v>
      </c>
    </row>
    <row r="8" spans="1:23" x14ac:dyDescent="0.25">
      <c r="A8" s="556"/>
      <c r="B8" s="558" t="s">
        <v>501</v>
      </c>
      <c r="C8" s="559"/>
      <c r="D8" s="560">
        <v>313970.34999999998</v>
      </c>
      <c r="E8" s="305"/>
      <c r="F8" s="83">
        <f t="shared" si="2"/>
        <v>314</v>
      </c>
      <c r="J8" s="571"/>
      <c r="K8" s="574" t="s">
        <v>502</v>
      </c>
      <c r="L8" s="575"/>
      <c r="M8" s="576">
        <v>77070939.609999999</v>
      </c>
      <c r="N8" s="305"/>
      <c r="O8" s="83">
        <f t="shared" si="0"/>
        <v>77071</v>
      </c>
      <c r="P8" s="31">
        <f>O9+O11+O16</f>
        <v>1537</v>
      </c>
      <c r="R8" s="584" t="s">
        <v>727</v>
      </c>
      <c r="S8" s="585">
        <v>317596.34999999998</v>
      </c>
      <c r="T8" s="586">
        <f t="shared" si="1"/>
        <v>318</v>
      </c>
      <c r="V8" s="33">
        <f>T16+T52</f>
        <v>143492</v>
      </c>
      <c r="W8" t="e">
        <f>#REF!</f>
        <v>#REF!</v>
      </c>
    </row>
    <row r="9" spans="1:23" x14ac:dyDescent="0.25">
      <c r="A9" s="556"/>
      <c r="B9" s="558" t="s">
        <v>502</v>
      </c>
      <c r="C9" s="559"/>
      <c r="D9" s="560">
        <v>26896847.34</v>
      </c>
      <c r="E9" s="305"/>
      <c r="F9" s="83">
        <f t="shared" si="2"/>
        <v>26897</v>
      </c>
      <c r="J9" s="569"/>
      <c r="K9" s="566" t="s">
        <v>503</v>
      </c>
      <c r="L9" s="568"/>
      <c r="M9" s="570">
        <v>366942.96</v>
      </c>
      <c r="O9" s="31">
        <f t="shared" si="0"/>
        <v>367</v>
      </c>
      <c r="P9" s="31">
        <f>N30+N27</f>
        <v>932</v>
      </c>
      <c r="R9" s="590" t="s">
        <v>712</v>
      </c>
      <c r="S9" s="591">
        <v>15000</v>
      </c>
      <c r="T9" s="502">
        <f t="shared" si="1"/>
        <v>15</v>
      </c>
      <c r="V9" s="33">
        <f>T5+T6+T15+T30+T62+T67+T17</f>
        <v>3044</v>
      </c>
      <c r="W9" t="e">
        <f>#REF!</f>
        <v>#REF!</v>
      </c>
    </row>
    <row r="10" spans="1:23" x14ac:dyDescent="0.25">
      <c r="A10" s="555"/>
      <c r="B10" s="544" t="s">
        <v>503</v>
      </c>
      <c r="C10" s="546"/>
      <c r="D10" s="545">
        <v>167480.98000000001</v>
      </c>
      <c r="F10" s="31">
        <f t="shared" si="2"/>
        <v>167</v>
      </c>
      <c r="J10" s="565"/>
      <c r="K10" s="566" t="s">
        <v>504</v>
      </c>
      <c r="L10" s="568"/>
      <c r="M10" s="570">
        <v>3425006.02</v>
      </c>
      <c r="O10" s="31">
        <f t="shared" si="0"/>
        <v>3425</v>
      </c>
      <c r="P10" s="31">
        <f>P8-P9</f>
        <v>605</v>
      </c>
      <c r="R10" s="590" t="s">
        <v>713</v>
      </c>
      <c r="S10" s="591">
        <v>324000</v>
      </c>
      <c r="T10" s="502">
        <f t="shared" si="1"/>
        <v>324</v>
      </c>
      <c r="V10" s="33">
        <f>T8+T13+T14+T20+T33+T39+T40+T42+T59+T63+T18</f>
        <v>21969</v>
      </c>
      <c r="W10" t="e">
        <f>#REF!</f>
        <v>#REF!</v>
      </c>
    </row>
    <row r="11" spans="1:23" ht="22.5" x14ac:dyDescent="0.25">
      <c r="A11" s="553"/>
      <c r="B11" s="544" t="s">
        <v>504</v>
      </c>
      <c r="C11" s="546"/>
      <c r="D11" s="545">
        <v>1647558.11</v>
      </c>
      <c r="F11" s="31">
        <f t="shared" si="2"/>
        <v>1648</v>
      </c>
      <c r="J11" s="569"/>
      <c r="K11" s="566" t="s">
        <v>505</v>
      </c>
      <c r="L11" s="568"/>
      <c r="M11" s="570">
        <v>773237.48</v>
      </c>
      <c r="O11" s="31">
        <f t="shared" si="0"/>
        <v>773</v>
      </c>
      <c r="R11" s="587" t="s">
        <v>764</v>
      </c>
      <c r="S11" s="588">
        <v>4300000</v>
      </c>
      <c r="T11" s="589">
        <f t="shared" si="1"/>
        <v>4300</v>
      </c>
      <c r="V11" s="33">
        <f>T11+T21+T22+T23+T24+T25+T26+T27+T28+T32+T37+T38+T48+T58+T60+T61+T64</f>
        <v>20038</v>
      </c>
      <c r="W11" t="e">
        <f>#REF!</f>
        <v>#REF!</v>
      </c>
    </row>
    <row r="12" spans="1:23" x14ac:dyDescent="0.25">
      <c r="A12" s="555"/>
      <c r="B12" s="544" t="s">
        <v>505</v>
      </c>
      <c r="C12" s="546"/>
      <c r="D12" s="545">
        <v>401046.95</v>
      </c>
      <c r="F12" s="31">
        <f t="shared" si="2"/>
        <v>401</v>
      </c>
      <c r="J12" s="571"/>
      <c r="K12" s="566" t="s">
        <v>533</v>
      </c>
      <c r="L12" s="568"/>
      <c r="M12" s="570">
        <v>1643.23</v>
      </c>
      <c r="O12" s="31">
        <f t="shared" si="0"/>
        <v>2</v>
      </c>
      <c r="R12" s="592" t="s">
        <v>724</v>
      </c>
      <c r="S12" s="593">
        <v>173238.71</v>
      </c>
      <c r="T12" s="34">
        <f t="shared" si="1"/>
        <v>173</v>
      </c>
      <c r="V12" s="33">
        <f>T7</f>
        <v>3847</v>
      </c>
      <c r="W12" t="e">
        <f>#REF!</f>
        <v>#REF!</v>
      </c>
    </row>
    <row r="13" spans="1:23" x14ac:dyDescent="0.25">
      <c r="A13" s="556"/>
      <c r="B13" s="544" t="s">
        <v>533</v>
      </c>
      <c r="C13" s="546"/>
      <c r="D13" s="557">
        <v>286.33</v>
      </c>
      <c r="F13" s="31">
        <f t="shared" si="2"/>
        <v>0</v>
      </c>
      <c r="J13" s="571"/>
      <c r="K13" s="566" t="s">
        <v>506</v>
      </c>
      <c r="L13" s="568"/>
      <c r="M13" s="570">
        <v>771594.25</v>
      </c>
      <c r="O13" s="31">
        <f t="shared" si="0"/>
        <v>772</v>
      </c>
      <c r="R13" s="584" t="s">
        <v>714</v>
      </c>
      <c r="S13" s="585">
        <v>156267.84</v>
      </c>
      <c r="T13" s="586">
        <f t="shared" si="1"/>
        <v>156</v>
      </c>
      <c r="V13" s="33">
        <f>T55+T45+T46</f>
        <v>682</v>
      </c>
      <c r="W13" t="e">
        <f>#REF!</f>
        <v>#REF!</v>
      </c>
    </row>
    <row r="14" spans="1:23" x14ac:dyDescent="0.25">
      <c r="A14" s="556"/>
      <c r="B14" s="544" t="s">
        <v>506</v>
      </c>
      <c r="C14" s="546"/>
      <c r="D14" s="545">
        <v>400760.62</v>
      </c>
      <c r="F14" s="31">
        <f t="shared" si="2"/>
        <v>401</v>
      </c>
      <c r="J14" s="569"/>
      <c r="K14" s="566" t="s">
        <v>507</v>
      </c>
      <c r="L14" s="568"/>
      <c r="M14" s="570">
        <v>2254471.35</v>
      </c>
      <c r="O14" s="31">
        <f t="shared" si="0"/>
        <v>2254</v>
      </c>
      <c r="P14" s="31">
        <f>O14-N28-N35</f>
        <v>-545</v>
      </c>
      <c r="R14" s="584" t="s">
        <v>715</v>
      </c>
      <c r="S14" s="585">
        <v>805092</v>
      </c>
      <c r="T14" s="586">
        <f t="shared" si="1"/>
        <v>805</v>
      </c>
      <c r="V14" s="33">
        <f>N33+T50+T53+T68+T51+T9+T10</f>
        <v>15856</v>
      </c>
      <c r="W14" t="e">
        <f>#REF!</f>
        <v>#REF!</v>
      </c>
    </row>
    <row r="15" spans="1:23" ht="22.5" x14ac:dyDescent="0.25">
      <c r="A15" s="555"/>
      <c r="B15" s="558" t="s">
        <v>507</v>
      </c>
      <c r="C15" s="559"/>
      <c r="D15" s="560">
        <v>1147114.33</v>
      </c>
      <c r="E15" s="305"/>
      <c r="F15" s="83">
        <f t="shared" si="2"/>
        <v>1147</v>
      </c>
      <c r="J15" s="571"/>
      <c r="K15" s="566" t="s">
        <v>508</v>
      </c>
      <c r="L15" s="568"/>
      <c r="M15" s="570">
        <v>2254471.35</v>
      </c>
      <c r="O15" s="31">
        <f t="shared" si="0"/>
        <v>2254</v>
      </c>
      <c r="R15" s="582" t="s">
        <v>725</v>
      </c>
      <c r="S15" s="583">
        <v>1499414.78</v>
      </c>
      <c r="T15" s="48">
        <f t="shared" si="1"/>
        <v>1499</v>
      </c>
      <c r="V15" s="33">
        <f>T47</f>
        <v>22772</v>
      </c>
      <c r="W15" t="e">
        <f>#REF!</f>
        <v>#REF!</v>
      </c>
    </row>
    <row r="16" spans="1:23" x14ac:dyDescent="0.25">
      <c r="A16" s="556"/>
      <c r="B16" s="558" t="s">
        <v>508</v>
      </c>
      <c r="C16" s="559"/>
      <c r="D16" s="560">
        <v>1147114.33</v>
      </c>
      <c r="E16" s="305"/>
      <c r="F16" s="83">
        <f t="shared" si="2"/>
        <v>1147</v>
      </c>
      <c r="J16" s="569"/>
      <c r="K16" s="566" t="s">
        <v>509</v>
      </c>
      <c r="L16" s="568"/>
      <c r="M16" s="570">
        <v>397297.19</v>
      </c>
      <c r="O16" s="31">
        <f t="shared" si="0"/>
        <v>397</v>
      </c>
      <c r="R16" s="580" t="s">
        <v>66</v>
      </c>
      <c r="S16" s="576">
        <v>146476168.56999999</v>
      </c>
      <c r="T16" s="83">
        <f t="shared" si="1"/>
        <v>146476</v>
      </c>
      <c r="V16" s="33"/>
    </row>
    <row r="17" spans="1:23" x14ac:dyDescent="0.25">
      <c r="A17" s="555"/>
      <c r="B17" s="544" t="s">
        <v>509</v>
      </c>
      <c r="C17" s="546"/>
      <c r="D17" s="545">
        <v>99396.83</v>
      </c>
      <c r="F17" s="31">
        <f t="shared" si="2"/>
        <v>99</v>
      </c>
      <c r="J17" s="571"/>
      <c r="K17" s="566" t="s">
        <v>739</v>
      </c>
      <c r="L17" s="568"/>
      <c r="M17" s="570">
        <v>397297.19</v>
      </c>
      <c r="O17" s="31">
        <f t="shared" si="0"/>
        <v>397</v>
      </c>
      <c r="R17" s="582" t="s">
        <v>194</v>
      </c>
      <c r="S17" s="583">
        <v>1105007.1599999999</v>
      </c>
      <c r="T17" s="48">
        <f t="shared" si="1"/>
        <v>1105</v>
      </c>
      <c r="V17" s="33">
        <f>N23</f>
        <v>14249</v>
      </c>
      <c r="W17" t="e">
        <f>#REF!</f>
        <v>#REF!</v>
      </c>
    </row>
    <row r="18" spans="1:23" x14ac:dyDescent="0.25">
      <c r="A18" s="556"/>
      <c r="B18" s="544" t="s">
        <v>739</v>
      </c>
      <c r="C18" s="546"/>
      <c r="D18" s="545">
        <v>99396.83</v>
      </c>
      <c r="F18" s="31">
        <f t="shared" si="2"/>
        <v>99</v>
      </c>
      <c r="J18" s="565"/>
      <c r="K18" s="574" t="s">
        <v>510</v>
      </c>
      <c r="L18" s="576">
        <v>246934144.44999999</v>
      </c>
      <c r="M18" s="575"/>
      <c r="N18" s="83">
        <f t="shared" ref="N18:N39" si="3">ROUND(L18/1000,0)</f>
        <v>246934</v>
      </c>
      <c r="R18" s="584" t="s">
        <v>193</v>
      </c>
      <c r="S18" s="585">
        <v>419183.7</v>
      </c>
      <c r="T18" s="586">
        <f t="shared" si="1"/>
        <v>419</v>
      </c>
    </row>
    <row r="19" spans="1:23" x14ac:dyDescent="0.25">
      <c r="A19" s="553"/>
      <c r="B19" s="558" t="s">
        <v>510</v>
      </c>
      <c r="C19" s="560">
        <v>115349617.70999999</v>
      </c>
      <c r="D19" s="559"/>
      <c r="E19" s="83">
        <f t="shared" si="2"/>
        <v>115350</v>
      </c>
      <c r="H19" s="31">
        <f>F12+F17+F10</f>
        <v>667</v>
      </c>
      <c r="J19" s="569"/>
      <c r="K19" s="566" t="s">
        <v>511</v>
      </c>
      <c r="L19" s="570">
        <v>232685037.11000001</v>
      </c>
      <c r="M19" s="568"/>
      <c r="N19" s="31">
        <f t="shared" si="3"/>
        <v>232685</v>
      </c>
      <c r="R19" s="592" t="s">
        <v>192</v>
      </c>
      <c r="S19" s="593">
        <v>430925.88</v>
      </c>
      <c r="T19" s="34">
        <f t="shared" si="1"/>
        <v>431</v>
      </c>
    </row>
    <row r="20" spans="1:23" ht="22.5" x14ac:dyDescent="0.25">
      <c r="A20" s="555"/>
      <c r="B20" s="544" t="s">
        <v>511</v>
      </c>
      <c r="C20" s="545">
        <v>108522232.29000001</v>
      </c>
      <c r="D20" s="546"/>
      <c r="E20" s="31">
        <f t="shared" si="2"/>
        <v>108522</v>
      </c>
      <c r="H20" s="31">
        <f>E28+E31</f>
        <v>26</v>
      </c>
      <c r="J20" s="571"/>
      <c r="K20" s="566" t="s">
        <v>512</v>
      </c>
      <c r="L20" s="570">
        <v>44846306.439999998</v>
      </c>
      <c r="M20" s="568"/>
      <c r="N20" s="31">
        <f t="shared" si="3"/>
        <v>44846</v>
      </c>
      <c r="R20" s="584" t="s">
        <v>742</v>
      </c>
      <c r="S20" s="585">
        <v>25299.27</v>
      </c>
      <c r="T20" s="586">
        <f t="shared" si="1"/>
        <v>25</v>
      </c>
      <c r="V20" s="33">
        <f>SUM(V8:V17)</f>
        <v>245949</v>
      </c>
    </row>
    <row r="21" spans="1:23" x14ac:dyDescent="0.25">
      <c r="A21" s="556"/>
      <c r="B21" s="544" t="s">
        <v>512</v>
      </c>
      <c r="C21" s="545">
        <v>23697002.399999999</v>
      </c>
      <c r="D21" s="546"/>
      <c r="E21" s="31">
        <f t="shared" si="2"/>
        <v>23697</v>
      </c>
      <c r="H21" s="31">
        <f>H19-H20</f>
        <v>641</v>
      </c>
      <c r="J21" s="571"/>
      <c r="K21" s="566" t="s">
        <v>513</v>
      </c>
      <c r="L21" s="570">
        <v>44346452.329999998</v>
      </c>
      <c r="M21" s="568"/>
      <c r="N21" s="31">
        <f t="shared" si="3"/>
        <v>44346</v>
      </c>
      <c r="R21" s="587" t="s">
        <v>716</v>
      </c>
      <c r="S21" s="588">
        <v>240600.52</v>
      </c>
      <c r="T21" s="589">
        <f t="shared" si="1"/>
        <v>241</v>
      </c>
    </row>
    <row r="22" spans="1:23" x14ac:dyDescent="0.25">
      <c r="A22" s="556"/>
      <c r="B22" s="544" t="s">
        <v>513</v>
      </c>
      <c r="C22" s="545">
        <v>16750277.109999999</v>
      </c>
      <c r="D22" s="546"/>
      <c r="E22" s="31">
        <f t="shared" si="2"/>
        <v>16750</v>
      </c>
      <c r="J22" s="571"/>
      <c r="K22" s="566" t="s">
        <v>514</v>
      </c>
      <c r="L22" s="570">
        <v>143492278.34</v>
      </c>
      <c r="M22" s="568"/>
      <c r="N22" s="31">
        <f t="shared" si="3"/>
        <v>143492</v>
      </c>
      <c r="R22" s="587" t="s">
        <v>717</v>
      </c>
      <c r="S22" s="588">
        <v>4500</v>
      </c>
      <c r="T22" s="589">
        <f t="shared" si="1"/>
        <v>5</v>
      </c>
    </row>
    <row r="23" spans="1:23" ht="22.5" x14ac:dyDescent="0.25">
      <c r="A23" s="556"/>
      <c r="B23" s="544" t="s">
        <v>514</v>
      </c>
      <c r="C23" s="545">
        <v>68074952.780000001</v>
      </c>
      <c r="D23" s="546"/>
      <c r="E23" s="31">
        <f t="shared" ref="E23:E40" si="4">ROUND(C23/1000,0)</f>
        <v>68075</v>
      </c>
      <c r="J23" s="569"/>
      <c r="K23" s="566" t="s">
        <v>515</v>
      </c>
      <c r="L23" s="570">
        <v>14249107.34</v>
      </c>
      <c r="M23" s="568"/>
      <c r="N23" s="31">
        <f t="shared" si="3"/>
        <v>14249</v>
      </c>
      <c r="R23" s="587" t="s">
        <v>718</v>
      </c>
      <c r="S23" s="588">
        <v>13900</v>
      </c>
      <c r="T23" s="589">
        <f t="shared" si="1"/>
        <v>14</v>
      </c>
    </row>
    <row r="24" spans="1:23" ht="22.5" x14ac:dyDescent="0.25">
      <c r="A24" s="555"/>
      <c r="B24" s="544" t="s">
        <v>515</v>
      </c>
      <c r="C24" s="545">
        <v>6827385.4199999999</v>
      </c>
      <c r="D24" s="546"/>
      <c r="E24" s="31">
        <f t="shared" si="4"/>
        <v>6827</v>
      </c>
      <c r="J24" s="571"/>
      <c r="K24" s="566" t="s">
        <v>516</v>
      </c>
      <c r="L24" s="570">
        <v>14052163.439999999</v>
      </c>
      <c r="M24" s="568"/>
      <c r="N24" s="31">
        <f t="shared" si="3"/>
        <v>14052</v>
      </c>
      <c r="R24" s="587" t="s">
        <v>190</v>
      </c>
      <c r="S24" s="588">
        <v>37926.79</v>
      </c>
      <c r="T24" s="589">
        <f t="shared" si="1"/>
        <v>38</v>
      </c>
    </row>
    <row r="25" spans="1:23" x14ac:dyDescent="0.25">
      <c r="A25" s="556"/>
      <c r="B25" s="544" t="s">
        <v>516</v>
      </c>
      <c r="C25" s="545">
        <v>6712517.4500000002</v>
      </c>
      <c r="D25" s="546"/>
      <c r="E25" s="31">
        <f t="shared" si="4"/>
        <v>6713</v>
      </c>
      <c r="J25" s="571"/>
      <c r="K25" s="566" t="s">
        <v>517</v>
      </c>
      <c r="L25" s="570">
        <v>196943.9</v>
      </c>
      <c r="M25" s="568"/>
      <c r="N25" s="31">
        <f t="shared" si="3"/>
        <v>197</v>
      </c>
      <c r="R25" s="587" t="s">
        <v>719</v>
      </c>
      <c r="S25" s="588">
        <v>35321.449999999997</v>
      </c>
      <c r="T25" s="589">
        <f t="shared" si="1"/>
        <v>35</v>
      </c>
    </row>
    <row r="26" spans="1:23" x14ac:dyDescent="0.25">
      <c r="A26" s="556"/>
      <c r="B26" s="544" t="s">
        <v>517</v>
      </c>
      <c r="C26" s="545">
        <v>114867.97</v>
      </c>
      <c r="D26" s="546"/>
      <c r="E26" s="31">
        <f t="shared" si="4"/>
        <v>115</v>
      </c>
      <c r="J26" s="565"/>
      <c r="K26" s="566" t="s">
        <v>518</v>
      </c>
      <c r="L26" s="570">
        <v>18383189.09</v>
      </c>
      <c r="M26" s="568"/>
      <c r="N26" s="31">
        <f t="shared" si="3"/>
        <v>18383</v>
      </c>
      <c r="R26" s="587" t="s">
        <v>749</v>
      </c>
      <c r="S26" s="588">
        <v>28250.27</v>
      </c>
      <c r="T26" s="589">
        <f t="shared" si="1"/>
        <v>28</v>
      </c>
    </row>
    <row r="27" spans="1:23" x14ac:dyDescent="0.25">
      <c r="A27" s="553"/>
      <c r="B27" s="544" t="s">
        <v>518</v>
      </c>
      <c r="C27" s="545">
        <v>8850726.0700000003</v>
      </c>
      <c r="D27" s="546"/>
      <c r="E27" s="31">
        <f t="shared" si="4"/>
        <v>8851</v>
      </c>
      <c r="J27" s="569"/>
      <c r="K27" s="566" t="s">
        <v>762</v>
      </c>
      <c r="L27" s="572">
        <v>607.04</v>
      </c>
      <c r="M27" s="568"/>
      <c r="N27" s="31">
        <f t="shared" si="3"/>
        <v>1</v>
      </c>
      <c r="R27" s="587" t="s">
        <v>765</v>
      </c>
      <c r="S27" s="588">
        <v>382000</v>
      </c>
      <c r="T27" s="589">
        <f t="shared" si="1"/>
        <v>382</v>
      </c>
    </row>
    <row r="28" spans="1:23" x14ac:dyDescent="0.25">
      <c r="A28" s="555"/>
      <c r="B28" s="544" t="s">
        <v>762</v>
      </c>
      <c r="C28" s="557">
        <v>607.04</v>
      </c>
      <c r="D28" s="546"/>
      <c r="E28" s="31">
        <f t="shared" si="4"/>
        <v>1</v>
      </c>
      <c r="J28" s="569"/>
      <c r="K28" s="566" t="s">
        <v>519</v>
      </c>
      <c r="L28" s="570">
        <v>2602682.61</v>
      </c>
      <c r="M28" s="568"/>
      <c r="N28" s="31">
        <f t="shared" si="3"/>
        <v>2603</v>
      </c>
      <c r="R28" s="587" t="s">
        <v>189</v>
      </c>
      <c r="S28" s="588">
        <v>461252.45</v>
      </c>
      <c r="T28" s="589">
        <f t="shared" si="1"/>
        <v>461</v>
      </c>
    </row>
    <row r="29" spans="1:23" x14ac:dyDescent="0.25">
      <c r="A29" s="555"/>
      <c r="B29" s="558" t="s">
        <v>519</v>
      </c>
      <c r="C29" s="560">
        <v>1292722.23</v>
      </c>
      <c r="D29" s="559"/>
      <c r="E29" s="83">
        <f t="shared" si="4"/>
        <v>1293</v>
      </c>
      <c r="J29" s="571"/>
      <c r="K29" s="566" t="s">
        <v>520</v>
      </c>
      <c r="L29" s="570">
        <v>2602682.61</v>
      </c>
      <c r="M29" s="568"/>
      <c r="N29" s="31">
        <f t="shared" si="3"/>
        <v>2603</v>
      </c>
      <c r="R29" s="592" t="s">
        <v>720</v>
      </c>
      <c r="S29" s="593">
        <v>375000</v>
      </c>
      <c r="T29" s="34">
        <f t="shared" si="1"/>
        <v>375</v>
      </c>
    </row>
    <row r="30" spans="1:23" x14ac:dyDescent="0.25">
      <c r="A30" s="556"/>
      <c r="B30" s="544" t="s">
        <v>520</v>
      </c>
      <c r="C30" s="545">
        <v>1292722.23</v>
      </c>
      <c r="D30" s="546"/>
      <c r="E30" s="31">
        <f t="shared" si="4"/>
        <v>1293</v>
      </c>
      <c r="J30" s="569"/>
      <c r="K30" s="566" t="s">
        <v>521</v>
      </c>
      <c r="L30" s="570">
        <v>931108.28</v>
      </c>
      <c r="M30" s="568"/>
      <c r="N30" s="31">
        <f t="shared" si="3"/>
        <v>931</v>
      </c>
      <c r="R30" s="582" t="s">
        <v>187</v>
      </c>
      <c r="S30" s="583">
        <v>222554.9</v>
      </c>
      <c r="T30" s="48">
        <f t="shared" si="1"/>
        <v>223</v>
      </c>
    </row>
    <row r="31" spans="1:23" x14ac:dyDescent="0.25">
      <c r="A31" s="555"/>
      <c r="B31" s="544" t="s">
        <v>521</v>
      </c>
      <c r="C31" s="545">
        <v>25228.07</v>
      </c>
      <c r="D31" s="546"/>
      <c r="E31" s="31">
        <f t="shared" si="4"/>
        <v>25</v>
      </c>
      <c r="J31" s="571"/>
      <c r="K31" s="566" t="s">
        <v>522</v>
      </c>
      <c r="L31" s="570">
        <v>929996.99</v>
      </c>
      <c r="M31" s="568"/>
      <c r="N31" s="31">
        <f t="shared" si="3"/>
        <v>930</v>
      </c>
      <c r="R31" s="592" t="s">
        <v>205</v>
      </c>
      <c r="S31" s="593">
        <v>4268654.22</v>
      </c>
      <c r="T31" s="34">
        <f t="shared" si="1"/>
        <v>4269</v>
      </c>
    </row>
    <row r="32" spans="1:23" x14ac:dyDescent="0.25">
      <c r="A32" s="556"/>
      <c r="B32" s="544" t="s">
        <v>522</v>
      </c>
      <c r="C32" s="545">
        <v>24832.74</v>
      </c>
      <c r="D32" s="546"/>
      <c r="E32" s="31">
        <f t="shared" si="4"/>
        <v>25</v>
      </c>
      <c r="J32" s="571"/>
      <c r="K32" s="566" t="s">
        <v>523</v>
      </c>
      <c r="L32" s="570">
        <v>1111.29</v>
      </c>
      <c r="M32" s="568"/>
      <c r="N32" s="31">
        <f t="shared" si="3"/>
        <v>1</v>
      </c>
      <c r="R32" s="587" t="s">
        <v>185</v>
      </c>
      <c r="S32" s="588">
        <v>379965</v>
      </c>
      <c r="T32" s="589">
        <f t="shared" si="1"/>
        <v>380</v>
      </c>
    </row>
    <row r="33" spans="1:20" x14ac:dyDescent="0.25">
      <c r="A33" s="556"/>
      <c r="B33" s="544" t="s">
        <v>523</v>
      </c>
      <c r="C33" s="557">
        <v>395.33</v>
      </c>
      <c r="D33" s="546"/>
      <c r="E33" s="31">
        <f t="shared" si="4"/>
        <v>0</v>
      </c>
      <c r="J33" s="569"/>
      <c r="K33" s="574" t="s">
        <v>524</v>
      </c>
      <c r="L33" s="576">
        <v>14487214.289999999</v>
      </c>
      <c r="M33" s="575"/>
      <c r="N33" s="83">
        <f t="shared" si="3"/>
        <v>14487</v>
      </c>
      <c r="R33" s="584" t="s">
        <v>750</v>
      </c>
      <c r="S33" s="585">
        <v>267857.15999999997</v>
      </c>
      <c r="T33" s="586">
        <f t="shared" si="1"/>
        <v>268</v>
      </c>
    </row>
    <row r="34" spans="1:20" x14ac:dyDescent="0.25">
      <c r="A34" s="555"/>
      <c r="B34" s="558" t="s">
        <v>524</v>
      </c>
      <c r="C34" s="560">
        <v>7362000</v>
      </c>
      <c r="D34" s="559"/>
      <c r="E34" s="83">
        <f t="shared" si="4"/>
        <v>7362</v>
      </c>
      <c r="J34" s="569"/>
      <c r="K34" s="566" t="s">
        <v>525</v>
      </c>
      <c r="L34" s="570">
        <v>361576.87</v>
      </c>
      <c r="M34" s="568"/>
      <c r="N34" s="31">
        <f t="shared" si="3"/>
        <v>362</v>
      </c>
      <c r="R34" s="577" t="s">
        <v>206</v>
      </c>
      <c r="S34" s="572">
        <v>60.25</v>
      </c>
      <c r="T34" s="31">
        <f t="shared" si="1"/>
        <v>0</v>
      </c>
    </row>
    <row r="35" spans="1:20" x14ac:dyDescent="0.25">
      <c r="A35" s="555"/>
      <c r="B35" s="544" t="s">
        <v>525</v>
      </c>
      <c r="C35" s="545">
        <v>170168.73</v>
      </c>
      <c r="D35" s="546"/>
      <c r="E35" s="31">
        <f t="shared" si="4"/>
        <v>170</v>
      </c>
      <c r="J35" s="571"/>
      <c r="K35" s="566" t="s">
        <v>526</v>
      </c>
      <c r="L35" s="570">
        <v>195822</v>
      </c>
      <c r="M35" s="568"/>
      <c r="N35" s="31">
        <f t="shared" si="3"/>
        <v>196</v>
      </c>
      <c r="R35" s="577" t="s">
        <v>207</v>
      </c>
      <c r="S35" s="572">
        <v>57</v>
      </c>
      <c r="T35" s="31">
        <f t="shared" si="1"/>
        <v>0</v>
      </c>
    </row>
    <row r="36" spans="1:20" x14ac:dyDescent="0.25">
      <c r="A36" s="556"/>
      <c r="B36" s="558" t="s">
        <v>526</v>
      </c>
      <c r="C36" s="560">
        <v>52292</v>
      </c>
      <c r="D36" s="559"/>
      <c r="E36" s="83">
        <f t="shared" si="4"/>
        <v>52</v>
      </c>
      <c r="J36" s="571"/>
      <c r="K36" s="574" t="s">
        <v>527</v>
      </c>
      <c r="L36" s="576">
        <v>11438.74</v>
      </c>
      <c r="M36" s="575"/>
      <c r="N36" s="83">
        <f t="shared" si="3"/>
        <v>11</v>
      </c>
      <c r="R36" s="577" t="s">
        <v>208</v>
      </c>
      <c r="S36" s="572">
        <v>63</v>
      </c>
      <c r="T36" s="31">
        <f t="shared" si="1"/>
        <v>0</v>
      </c>
    </row>
    <row r="37" spans="1:20" x14ac:dyDescent="0.25">
      <c r="A37" s="556"/>
      <c r="B37" s="544" t="s">
        <v>527</v>
      </c>
      <c r="C37" s="545">
        <v>3401.81</v>
      </c>
      <c r="D37" s="546"/>
      <c r="E37" s="31">
        <f t="shared" si="4"/>
        <v>3</v>
      </c>
      <c r="J37" s="571"/>
      <c r="K37" s="574" t="s">
        <v>528</v>
      </c>
      <c r="L37" s="576">
        <v>77308.38</v>
      </c>
      <c r="M37" s="575"/>
      <c r="N37" s="83">
        <f t="shared" si="3"/>
        <v>77</v>
      </c>
      <c r="R37" s="587" t="s">
        <v>183</v>
      </c>
      <c r="S37" s="588">
        <v>268600</v>
      </c>
      <c r="T37" s="589">
        <f t="shared" si="1"/>
        <v>269</v>
      </c>
    </row>
    <row r="38" spans="1:20" x14ac:dyDescent="0.25">
      <c r="A38" s="556"/>
      <c r="B38" s="544" t="s">
        <v>528</v>
      </c>
      <c r="C38" s="545">
        <v>77308.38</v>
      </c>
      <c r="D38" s="546"/>
      <c r="E38" s="31">
        <f t="shared" si="4"/>
        <v>77</v>
      </c>
      <c r="J38" s="571"/>
      <c r="K38" s="574" t="s">
        <v>529</v>
      </c>
      <c r="L38" s="576">
        <v>77007.75</v>
      </c>
      <c r="M38" s="575"/>
      <c r="N38" s="83">
        <f t="shared" si="3"/>
        <v>77</v>
      </c>
      <c r="R38" s="587" t="s">
        <v>181</v>
      </c>
      <c r="S38" s="588">
        <v>44464.28</v>
      </c>
      <c r="T38" s="589">
        <f t="shared" si="1"/>
        <v>44</v>
      </c>
    </row>
    <row r="39" spans="1:20" x14ac:dyDescent="0.25">
      <c r="A39" s="556"/>
      <c r="B39" s="544" t="s">
        <v>529</v>
      </c>
      <c r="C39" s="545">
        <v>37166.54</v>
      </c>
      <c r="D39" s="546"/>
      <c r="E39" s="31">
        <f t="shared" si="4"/>
        <v>37</v>
      </c>
      <c r="J39" s="562"/>
      <c r="K39" s="563" t="s">
        <v>142</v>
      </c>
      <c r="L39" s="573">
        <v>82027519.349999994</v>
      </c>
      <c r="M39" s="573">
        <v>82027519.349999994</v>
      </c>
      <c r="N39" s="31">
        <f t="shared" si="3"/>
        <v>82028</v>
      </c>
      <c r="R39" s="584" t="s">
        <v>180</v>
      </c>
      <c r="S39" s="585">
        <v>2535409.8199999998</v>
      </c>
      <c r="T39" s="586">
        <f t="shared" si="1"/>
        <v>2535</v>
      </c>
    </row>
    <row r="40" spans="1:20" ht="22.5" x14ac:dyDescent="0.25">
      <c r="A40" s="541"/>
      <c r="B40" s="552" t="s">
        <v>142</v>
      </c>
      <c r="C40" s="542">
        <v>29025856.780000001</v>
      </c>
      <c r="D40" s="542">
        <v>29025856.780000001</v>
      </c>
      <c r="E40" s="31">
        <f t="shared" si="4"/>
        <v>29026</v>
      </c>
      <c r="J40" s="562"/>
      <c r="K40" s="563" t="s">
        <v>143</v>
      </c>
      <c r="L40" s="564"/>
      <c r="M40" s="564"/>
      <c r="R40" s="584" t="s">
        <v>179</v>
      </c>
      <c r="S40" s="585">
        <v>110473.65</v>
      </c>
      <c r="T40" s="586">
        <f t="shared" si="1"/>
        <v>110</v>
      </c>
    </row>
    <row r="41" spans="1:20" ht="22.5" x14ac:dyDescent="0.25">
      <c r="A41" s="541"/>
      <c r="B41" s="552" t="s">
        <v>143</v>
      </c>
      <c r="C41" s="543"/>
      <c r="D41" s="543"/>
      <c r="R41" s="592" t="s">
        <v>766</v>
      </c>
      <c r="S41" s="594">
        <v>-168148</v>
      </c>
      <c r="T41" s="34">
        <f t="shared" si="1"/>
        <v>-168</v>
      </c>
    </row>
    <row r="42" spans="1:20" x14ac:dyDescent="0.25">
      <c r="R42" s="584" t="s">
        <v>751</v>
      </c>
      <c r="S42" s="585">
        <v>1425000</v>
      </c>
      <c r="T42" s="586">
        <f t="shared" si="1"/>
        <v>1425</v>
      </c>
    </row>
    <row r="43" spans="1:20" x14ac:dyDescent="0.25">
      <c r="R43" s="592" t="s">
        <v>767</v>
      </c>
      <c r="S43" s="593">
        <v>262019</v>
      </c>
      <c r="T43" s="34">
        <f t="shared" si="1"/>
        <v>262</v>
      </c>
    </row>
    <row r="44" spans="1:20" x14ac:dyDescent="0.25">
      <c r="R44" s="592" t="s">
        <v>209</v>
      </c>
      <c r="S44" s="593">
        <v>74900</v>
      </c>
      <c r="T44" s="34">
        <f t="shared" si="1"/>
        <v>75</v>
      </c>
    </row>
    <row r="45" spans="1:20" x14ac:dyDescent="0.25">
      <c r="R45" s="582" t="s">
        <v>174</v>
      </c>
      <c r="S45" s="583">
        <v>136071.42000000001</v>
      </c>
      <c r="T45" s="48">
        <f t="shared" si="1"/>
        <v>136</v>
      </c>
    </row>
    <row r="46" spans="1:20" x14ac:dyDescent="0.25">
      <c r="R46" s="582" t="s">
        <v>173</v>
      </c>
      <c r="S46" s="583">
        <v>423185.44</v>
      </c>
      <c r="T46" s="48">
        <f t="shared" si="1"/>
        <v>423</v>
      </c>
    </row>
    <row r="47" spans="1:20" x14ac:dyDescent="0.25">
      <c r="R47" s="580" t="s">
        <v>172</v>
      </c>
      <c r="S47" s="576">
        <v>22772116.140000001</v>
      </c>
      <c r="T47" s="83">
        <f t="shared" si="1"/>
        <v>22772</v>
      </c>
    </row>
    <row r="48" spans="1:20" x14ac:dyDescent="0.25">
      <c r="R48" s="587" t="s">
        <v>210</v>
      </c>
      <c r="S48" s="588">
        <v>12000000</v>
      </c>
      <c r="T48" s="589">
        <f t="shared" si="1"/>
        <v>12000</v>
      </c>
    </row>
    <row r="49" spans="18:20" ht="22.5" x14ac:dyDescent="0.25">
      <c r="R49" s="592" t="s">
        <v>171</v>
      </c>
      <c r="S49" s="593">
        <v>144621.43</v>
      </c>
      <c r="T49" s="34">
        <f t="shared" si="1"/>
        <v>145</v>
      </c>
    </row>
    <row r="50" spans="18:20" ht="22.5" x14ac:dyDescent="0.25">
      <c r="R50" s="590" t="s">
        <v>169</v>
      </c>
      <c r="S50" s="591">
        <v>22728</v>
      </c>
      <c r="T50" s="502">
        <f t="shared" si="1"/>
        <v>23</v>
      </c>
    </row>
    <row r="51" spans="18:20" x14ac:dyDescent="0.25">
      <c r="R51" s="590" t="s">
        <v>593</v>
      </c>
      <c r="S51" s="591">
        <v>954491.2</v>
      </c>
      <c r="T51" s="502">
        <f t="shared" si="1"/>
        <v>954</v>
      </c>
    </row>
    <row r="52" spans="18:20" x14ac:dyDescent="0.25">
      <c r="R52" s="580" t="s">
        <v>167</v>
      </c>
      <c r="S52" s="581">
        <v>-2983890.23</v>
      </c>
      <c r="T52" s="83">
        <f t="shared" si="1"/>
        <v>-2984</v>
      </c>
    </row>
    <row r="53" spans="18:20" ht="22.5" x14ac:dyDescent="0.25">
      <c r="R53" s="590" t="s">
        <v>726</v>
      </c>
      <c r="S53" s="591">
        <v>24500</v>
      </c>
      <c r="T53" s="502">
        <f t="shared" si="1"/>
        <v>25</v>
      </c>
    </row>
    <row r="54" spans="18:20" ht="22.5" x14ac:dyDescent="0.25">
      <c r="R54" s="592" t="s">
        <v>721</v>
      </c>
      <c r="S54" s="593">
        <v>76037.78</v>
      </c>
      <c r="T54" s="34">
        <f t="shared" si="1"/>
        <v>76</v>
      </c>
    </row>
    <row r="55" spans="18:20" x14ac:dyDescent="0.25">
      <c r="R55" s="582" t="s">
        <v>166</v>
      </c>
      <c r="S55" s="583">
        <v>122514</v>
      </c>
      <c r="T55" s="48">
        <f t="shared" si="1"/>
        <v>123</v>
      </c>
    </row>
    <row r="56" spans="18:20" x14ac:dyDescent="0.25">
      <c r="R56" s="592" t="s">
        <v>164</v>
      </c>
      <c r="S56" s="593">
        <v>187028.58</v>
      </c>
      <c r="T56" s="34">
        <f t="shared" si="1"/>
        <v>187</v>
      </c>
    </row>
    <row r="57" spans="18:20" x14ac:dyDescent="0.25">
      <c r="R57" s="592" t="s">
        <v>161</v>
      </c>
      <c r="S57" s="593">
        <v>669773</v>
      </c>
      <c r="T57" s="34">
        <f t="shared" si="1"/>
        <v>670</v>
      </c>
    </row>
    <row r="58" spans="18:20" x14ac:dyDescent="0.25">
      <c r="R58" s="587" t="s">
        <v>728</v>
      </c>
      <c r="S58" s="588">
        <v>46298.42</v>
      </c>
      <c r="T58" s="589">
        <f t="shared" si="1"/>
        <v>46</v>
      </c>
    </row>
    <row r="59" spans="18:20" ht="22.5" x14ac:dyDescent="0.25">
      <c r="R59" s="584" t="s">
        <v>722</v>
      </c>
      <c r="S59" s="585">
        <v>6000000</v>
      </c>
      <c r="T59" s="586">
        <f t="shared" si="1"/>
        <v>6000</v>
      </c>
    </row>
    <row r="60" spans="18:20" x14ac:dyDescent="0.25">
      <c r="R60" s="587" t="s">
        <v>159</v>
      </c>
      <c r="S60" s="588">
        <v>75505</v>
      </c>
      <c r="T60" s="589">
        <f t="shared" si="1"/>
        <v>76</v>
      </c>
    </row>
    <row r="61" spans="18:20" x14ac:dyDescent="0.25">
      <c r="R61" s="587" t="s">
        <v>729</v>
      </c>
      <c r="S61" s="588">
        <v>1701745.55</v>
      </c>
      <c r="T61" s="589">
        <f t="shared" si="1"/>
        <v>1702</v>
      </c>
    </row>
    <row r="62" spans="18:20" x14ac:dyDescent="0.25">
      <c r="R62" s="582" t="s">
        <v>72</v>
      </c>
      <c r="S62" s="583">
        <v>1580.4</v>
      </c>
      <c r="T62" s="48">
        <f t="shared" si="1"/>
        <v>2</v>
      </c>
    </row>
    <row r="63" spans="18:20" ht="22.5" x14ac:dyDescent="0.25">
      <c r="R63" s="584" t="s">
        <v>730</v>
      </c>
      <c r="S63" s="585">
        <v>9907968.3200000003</v>
      </c>
      <c r="T63" s="586">
        <f t="shared" si="1"/>
        <v>9908</v>
      </c>
    </row>
    <row r="64" spans="18:20" ht="22.5" x14ac:dyDescent="0.25">
      <c r="R64" s="587" t="s">
        <v>157</v>
      </c>
      <c r="S64" s="588">
        <v>17000</v>
      </c>
      <c r="T64" s="589">
        <f t="shared" si="1"/>
        <v>17</v>
      </c>
    </row>
    <row r="65" spans="1:23" x14ac:dyDescent="0.25">
      <c r="R65" s="592" t="s">
        <v>155</v>
      </c>
      <c r="S65" s="593">
        <v>774549.17</v>
      </c>
      <c r="T65" s="34">
        <f t="shared" si="1"/>
        <v>775</v>
      </c>
    </row>
    <row r="66" spans="1:23" x14ac:dyDescent="0.25">
      <c r="R66" s="592" t="s">
        <v>154</v>
      </c>
      <c r="S66" s="593">
        <v>8203635</v>
      </c>
      <c r="T66" s="34">
        <f t="shared" si="1"/>
        <v>8204</v>
      </c>
      <c r="V66" s="33">
        <f>T66+T65+T57+T56+T54+T49+T44+T43+T41+T31+T29+T19+T12</f>
        <v>15474</v>
      </c>
      <c r="W66" s="33">
        <f>U69-V66</f>
        <v>-2</v>
      </c>
    </row>
    <row r="67" spans="1:23" x14ac:dyDescent="0.25">
      <c r="R67" s="582" t="s">
        <v>723</v>
      </c>
      <c r="S67" s="583">
        <v>91737.56</v>
      </c>
      <c r="T67" s="48">
        <f t="shared" si="1"/>
        <v>92</v>
      </c>
    </row>
    <row r="68" spans="1:23" x14ac:dyDescent="0.25">
      <c r="R68" s="590" t="s">
        <v>152</v>
      </c>
      <c r="S68" s="591">
        <v>28012.85</v>
      </c>
      <c r="T68" s="502">
        <f t="shared" si="1"/>
        <v>28</v>
      </c>
    </row>
    <row r="69" spans="1:23" x14ac:dyDescent="0.25">
      <c r="R69" s="578" t="s">
        <v>57</v>
      </c>
      <c r="S69" s="579">
        <v>232685037.11000001</v>
      </c>
      <c r="T69" s="31">
        <f t="shared" si="1"/>
        <v>232685</v>
      </c>
      <c r="U69" s="33">
        <f>T71-V20</f>
        <v>15472</v>
      </c>
    </row>
    <row r="70" spans="1:23" x14ac:dyDescent="0.25">
      <c r="T70" s="33">
        <f>N33+N23</f>
        <v>28736</v>
      </c>
    </row>
    <row r="71" spans="1:23" x14ac:dyDescent="0.25">
      <c r="T71" s="33">
        <f>T69+T70</f>
        <v>261421</v>
      </c>
    </row>
    <row r="72" spans="1:23" x14ac:dyDescent="0.25">
      <c r="A72" s="561" t="s">
        <v>137</v>
      </c>
      <c r="B72" s="561" t="s">
        <v>138</v>
      </c>
      <c r="C72" s="561" t="s">
        <v>139</v>
      </c>
      <c r="D72" s="561" t="s">
        <v>140</v>
      </c>
      <c r="H72" s="561" t="s">
        <v>137</v>
      </c>
      <c r="I72" s="561" t="s">
        <v>138</v>
      </c>
      <c r="J72" s="561" t="s">
        <v>139</v>
      </c>
      <c r="K72" s="561" t="s">
        <v>140</v>
      </c>
    </row>
    <row r="73" spans="1:23" ht="22.5" x14ac:dyDescent="0.25">
      <c r="A73" s="562" t="s">
        <v>496</v>
      </c>
      <c r="B73" s="563" t="s">
        <v>141</v>
      </c>
      <c r="C73" s="564"/>
      <c r="D73" s="564"/>
      <c r="H73" s="562" t="s">
        <v>496</v>
      </c>
      <c r="I73" s="563" t="s">
        <v>141</v>
      </c>
      <c r="J73" s="564"/>
      <c r="K73" s="564"/>
    </row>
    <row r="74" spans="1:23" x14ac:dyDescent="0.25">
      <c r="A74" s="565"/>
      <c r="B74" s="566" t="s">
        <v>497</v>
      </c>
      <c r="C74" s="570">
        <v>9633983.5</v>
      </c>
      <c r="D74" s="568"/>
      <c r="E74" s="31">
        <f>ROUND(C74/1000,0)</f>
        <v>9634</v>
      </c>
      <c r="H74" s="565"/>
      <c r="I74" s="566" t="s">
        <v>497</v>
      </c>
      <c r="J74" s="570">
        <v>40767209.920000002</v>
      </c>
      <c r="K74" s="568"/>
      <c r="L74" s="31">
        <f>ROUND(J74/1000,0)</f>
        <v>40767</v>
      </c>
      <c r="R74" s="31" t="s">
        <v>591</v>
      </c>
      <c r="S74" s="570">
        <v>38205921.950000003</v>
      </c>
      <c r="T74" s="31">
        <f t="shared" ref="T74:T77" si="5">ROUND(S74/1000,0)</f>
        <v>38206</v>
      </c>
    </row>
    <row r="75" spans="1:23" x14ac:dyDescent="0.25">
      <c r="A75" s="569"/>
      <c r="B75" s="566" t="s">
        <v>498</v>
      </c>
      <c r="C75" s="570">
        <v>9633983.5</v>
      </c>
      <c r="D75" s="568"/>
      <c r="H75" s="569"/>
      <c r="I75" s="566" t="s">
        <v>498</v>
      </c>
      <c r="J75" s="570">
        <v>40767209.920000002</v>
      </c>
      <c r="K75" s="568"/>
      <c r="R75" s="31" t="s">
        <v>592</v>
      </c>
      <c r="S75" s="570">
        <v>64810915.200000003</v>
      </c>
      <c r="T75" s="31">
        <f t="shared" si="5"/>
        <v>64811</v>
      </c>
    </row>
    <row r="76" spans="1:23" x14ac:dyDescent="0.25">
      <c r="A76" s="565"/>
      <c r="B76" s="566" t="s">
        <v>499</v>
      </c>
      <c r="C76" s="568"/>
      <c r="D76" s="570">
        <v>144964354.00999999</v>
      </c>
      <c r="F76" s="31">
        <f>ROUND(D76/1000,0)</f>
        <v>144964</v>
      </c>
      <c r="H76" s="565"/>
      <c r="I76" s="566" t="s">
        <v>499</v>
      </c>
      <c r="J76" s="568"/>
      <c r="K76" s="570">
        <v>299376247.79000002</v>
      </c>
      <c r="M76" s="31">
        <f>ROUND(K76/1000,0)</f>
        <v>299376</v>
      </c>
      <c r="R76" s="31" t="s">
        <v>771</v>
      </c>
      <c r="S76" s="570">
        <v>23628511</v>
      </c>
      <c r="T76" s="31">
        <f t="shared" si="5"/>
        <v>23629</v>
      </c>
    </row>
    <row r="77" spans="1:23" x14ac:dyDescent="0.25">
      <c r="A77" s="569"/>
      <c r="B77" s="566" t="s">
        <v>500</v>
      </c>
      <c r="C77" s="568"/>
      <c r="D77" s="570">
        <v>95270018.799999997</v>
      </c>
      <c r="F77" s="31">
        <f t="shared" ref="F77:F90" si="6">ROUND(D77/1000,0)</f>
        <v>95270</v>
      </c>
      <c r="H77" s="569"/>
      <c r="I77" s="566" t="s">
        <v>500</v>
      </c>
      <c r="J77" s="568"/>
      <c r="K77" s="570">
        <v>129533063.98</v>
      </c>
      <c r="M77" s="31">
        <f t="shared" ref="M77:M91" si="7">ROUND(K77/1000,0)</f>
        <v>129533</v>
      </c>
      <c r="R77" s="31"/>
      <c r="S77" s="31">
        <v>92861480.319999993</v>
      </c>
      <c r="T77" s="31">
        <f t="shared" si="5"/>
        <v>92861</v>
      </c>
    </row>
    <row r="78" spans="1:23" x14ac:dyDescent="0.25">
      <c r="A78" s="571"/>
      <c r="B78" s="566" t="s">
        <v>501</v>
      </c>
      <c r="C78" s="568"/>
      <c r="D78" s="570">
        <v>2408538.48</v>
      </c>
      <c r="F78" s="31">
        <f t="shared" si="6"/>
        <v>2409</v>
      </c>
      <c r="H78" s="571"/>
      <c r="I78" s="566" t="s">
        <v>501</v>
      </c>
      <c r="J78" s="568"/>
      <c r="K78" s="570">
        <v>2887715.83</v>
      </c>
      <c r="M78" s="31">
        <f t="shared" si="7"/>
        <v>2888</v>
      </c>
      <c r="R78" s="31"/>
      <c r="S78" s="31"/>
      <c r="T78" s="31"/>
    </row>
    <row r="79" spans="1:23" x14ac:dyDescent="0.25">
      <c r="A79" s="571"/>
      <c r="B79" s="566" t="s">
        <v>502</v>
      </c>
      <c r="C79" s="568"/>
      <c r="D79" s="570">
        <v>92861480.319999993</v>
      </c>
      <c r="F79" s="31">
        <f t="shared" si="6"/>
        <v>92861</v>
      </c>
      <c r="H79" s="571"/>
      <c r="I79" s="566" t="s">
        <v>502</v>
      </c>
      <c r="J79" s="568"/>
      <c r="K79" s="576">
        <v>126645348.15000001</v>
      </c>
      <c r="M79" s="31">
        <f t="shared" si="7"/>
        <v>126645</v>
      </c>
    </row>
    <row r="80" spans="1:23" x14ac:dyDescent="0.25">
      <c r="A80" s="569"/>
      <c r="B80" s="566" t="s">
        <v>737</v>
      </c>
      <c r="C80" s="568"/>
      <c r="D80" s="570">
        <v>49694335.210000001</v>
      </c>
      <c r="F80" s="31">
        <f t="shared" si="6"/>
        <v>49694</v>
      </c>
      <c r="H80" s="569"/>
      <c r="I80" s="566" t="s">
        <v>737</v>
      </c>
      <c r="J80" s="568"/>
      <c r="K80" s="570">
        <v>169843183.81</v>
      </c>
      <c r="M80" s="31">
        <f t="shared" si="7"/>
        <v>169843</v>
      </c>
      <c r="R80" s="602" t="s">
        <v>710</v>
      </c>
      <c r="S80" s="603">
        <v>112500</v>
      </c>
      <c r="T80" s="604">
        <f t="shared" ref="T80:T143" si="8">ROUND(S80/1000,0)</f>
        <v>113</v>
      </c>
    </row>
    <row r="81" spans="1:20" x14ac:dyDescent="0.25">
      <c r="A81" s="571"/>
      <c r="B81" s="566" t="s">
        <v>738</v>
      </c>
      <c r="C81" s="568"/>
      <c r="D81" s="570">
        <v>49694335.210000001</v>
      </c>
      <c r="F81" s="31">
        <f t="shared" si="6"/>
        <v>49694</v>
      </c>
      <c r="H81" s="571"/>
      <c r="I81" s="566" t="s">
        <v>738</v>
      </c>
      <c r="J81" s="568"/>
      <c r="K81" s="570">
        <v>169843183.81</v>
      </c>
      <c r="M81" s="31">
        <f t="shared" si="7"/>
        <v>169843</v>
      </c>
      <c r="R81" s="602" t="s">
        <v>203</v>
      </c>
      <c r="S81" s="603">
        <v>87820.12</v>
      </c>
      <c r="T81" s="604">
        <f t="shared" si="8"/>
        <v>88</v>
      </c>
    </row>
    <row r="82" spans="1:20" x14ac:dyDescent="0.25">
      <c r="A82" s="565"/>
      <c r="B82" s="566" t="s">
        <v>504</v>
      </c>
      <c r="C82" s="568"/>
      <c r="D82" s="570">
        <v>9922540.1500000004</v>
      </c>
      <c r="F82" s="31">
        <f t="shared" si="6"/>
        <v>9923</v>
      </c>
      <c r="H82" s="565"/>
      <c r="I82" s="566" t="s">
        <v>504</v>
      </c>
      <c r="J82" s="568"/>
      <c r="K82" s="570">
        <v>19237150.5</v>
      </c>
      <c r="M82" s="31">
        <f t="shared" si="7"/>
        <v>19237</v>
      </c>
      <c r="R82" s="600" t="s">
        <v>202</v>
      </c>
      <c r="S82" s="601">
        <v>4103403.59</v>
      </c>
      <c r="T82" s="184">
        <f t="shared" si="8"/>
        <v>4103</v>
      </c>
    </row>
    <row r="83" spans="1:20" x14ac:dyDescent="0.25">
      <c r="A83" s="569"/>
      <c r="B83" s="566" t="s">
        <v>505</v>
      </c>
      <c r="C83" s="568"/>
      <c r="D83" s="570">
        <v>31765.42</v>
      </c>
      <c r="F83" s="31">
        <f t="shared" si="6"/>
        <v>32</v>
      </c>
      <c r="H83" s="569"/>
      <c r="I83" s="566" t="s">
        <v>505</v>
      </c>
      <c r="J83" s="568"/>
      <c r="K83" s="570">
        <v>45811.57</v>
      </c>
      <c r="M83" s="31">
        <f t="shared" si="7"/>
        <v>46</v>
      </c>
      <c r="R83" s="597" t="s">
        <v>727</v>
      </c>
      <c r="S83" s="598">
        <v>200917.83</v>
      </c>
      <c r="T83" s="599">
        <f t="shared" si="8"/>
        <v>201</v>
      </c>
    </row>
    <row r="84" spans="1:20" x14ac:dyDescent="0.25">
      <c r="A84" s="571"/>
      <c r="B84" s="566" t="s">
        <v>533</v>
      </c>
      <c r="C84" s="568"/>
      <c r="D84" s="572">
        <v>15.79</v>
      </c>
      <c r="F84" s="31">
        <f t="shared" si="6"/>
        <v>0</v>
      </c>
      <c r="H84" s="571"/>
      <c r="I84" s="566" t="s">
        <v>533</v>
      </c>
      <c r="J84" s="568"/>
      <c r="K84" s="572">
        <v>252.29</v>
      </c>
      <c r="M84" s="31">
        <f t="shared" si="7"/>
        <v>0</v>
      </c>
      <c r="R84" s="590" t="s">
        <v>711</v>
      </c>
      <c r="S84" s="591">
        <v>446428.56</v>
      </c>
      <c r="T84" s="502">
        <f t="shared" si="8"/>
        <v>446</v>
      </c>
    </row>
    <row r="85" spans="1:20" x14ac:dyDescent="0.25">
      <c r="A85" s="571"/>
      <c r="B85" s="566" t="s">
        <v>506</v>
      </c>
      <c r="C85" s="568"/>
      <c r="D85" s="570">
        <v>31749.63</v>
      </c>
      <c r="F85" s="31">
        <f t="shared" si="6"/>
        <v>32</v>
      </c>
      <c r="H85" s="571"/>
      <c r="I85" s="566" t="s">
        <v>506</v>
      </c>
      <c r="J85" s="568"/>
      <c r="K85" s="570">
        <v>45559.28</v>
      </c>
      <c r="M85" s="31">
        <f t="shared" si="7"/>
        <v>46</v>
      </c>
      <c r="R85" s="590" t="s">
        <v>712</v>
      </c>
      <c r="S85" s="591">
        <v>15000</v>
      </c>
      <c r="T85" s="502">
        <f t="shared" si="8"/>
        <v>15</v>
      </c>
    </row>
    <row r="86" spans="1:20" ht="22.5" x14ac:dyDescent="0.25">
      <c r="A86" s="569"/>
      <c r="B86" s="566" t="s">
        <v>507</v>
      </c>
      <c r="C86" s="568"/>
      <c r="D86" s="570">
        <v>7256235.1500000004</v>
      </c>
      <c r="F86" s="31">
        <f t="shared" si="6"/>
        <v>7256</v>
      </c>
      <c r="H86" s="569"/>
      <c r="I86" s="566" t="s">
        <v>507</v>
      </c>
      <c r="J86" s="568"/>
      <c r="K86" s="570">
        <v>15444302.949999999</v>
      </c>
      <c r="M86" s="31">
        <f t="shared" si="7"/>
        <v>15444</v>
      </c>
      <c r="R86" s="595" t="s">
        <v>764</v>
      </c>
      <c r="S86" s="596">
        <v>5000000</v>
      </c>
      <c r="T86" s="38">
        <f t="shared" si="8"/>
        <v>5000</v>
      </c>
    </row>
    <row r="87" spans="1:20" x14ac:dyDescent="0.25">
      <c r="A87" s="571"/>
      <c r="B87" s="566" t="s">
        <v>508</v>
      </c>
      <c r="C87" s="568"/>
      <c r="D87" s="570">
        <v>7256235.1500000004</v>
      </c>
      <c r="F87" s="31">
        <f t="shared" si="6"/>
        <v>7256</v>
      </c>
      <c r="H87" s="571"/>
      <c r="I87" s="566" t="s">
        <v>508</v>
      </c>
      <c r="J87" s="568"/>
      <c r="K87" s="570">
        <v>15444302.949999999</v>
      </c>
      <c r="M87" s="31">
        <f t="shared" si="7"/>
        <v>15444</v>
      </c>
      <c r="R87" s="595" t="s">
        <v>772</v>
      </c>
      <c r="S87" s="596">
        <v>500000</v>
      </c>
      <c r="T87" s="38">
        <f t="shared" si="8"/>
        <v>500</v>
      </c>
    </row>
    <row r="88" spans="1:20" x14ac:dyDescent="0.25">
      <c r="A88" s="569"/>
      <c r="B88" s="566" t="s">
        <v>509</v>
      </c>
      <c r="C88" s="568"/>
      <c r="D88" s="570">
        <v>2634539.58</v>
      </c>
      <c r="F88" s="31">
        <f t="shared" si="6"/>
        <v>2635</v>
      </c>
      <c r="H88" s="569"/>
      <c r="I88" s="566" t="s">
        <v>509</v>
      </c>
      <c r="J88" s="568"/>
      <c r="K88" s="570">
        <v>3747035.98</v>
      </c>
      <c r="M88" s="31">
        <f t="shared" si="7"/>
        <v>3747</v>
      </c>
      <c r="R88" s="597" t="s">
        <v>714</v>
      </c>
      <c r="S88" s="598">
        <v>164089.26</v>
      </c>
      <c r="T88" s="599">
        <f t="shared" si="8"/>
        <v>164</v>
      </c>
    </row>
    <row r="89" spans="1:20" x14ac:dyDescent="0.25">
      <c r="A89" s="571"/>
      <c r="B89" s="566" t="s">
        <v>739</v>
      </c>
      <c r="C89" s="568"/>
      <c r="D89" s="570">
        <v>264373.73</v>
      </c>
      <c r="F89" s="31">
        <f t="shared" si="6"/>
        <v>264</v>
      </c>
      <c r="H89" s="571"/>
      <c r="I89" s="566" t="s">
        <v>739</v>
      </c>
      <c r="J89" s="568"/>
      <c r="K89" s="570">
        <v>828970.73</v>
      </c>
      <c r="M89" s="31">
        <f t="shared" si="7"/>
        <v>829</v>
      </c>
      <c r="R89" s="597" t="s">
        <v>715</v>
      </c>
      <c r="S89" s="598">
        <v>1381413</v>
      </c>
      <c r="T89" s="599">
        <f t="shared" si="8"/>
        <v>1381</v>
      </c>
    </row>
    <row r="90" spans="1:20" ht="22.5" x14ac:dyDescent="0.25">
      <c r="A90" s="571"/>
      <c r="B90" s="566" t="s">
        <v>740</v>
      </c>
      <c r="C90" s="568"/>
      <c r="D90" s="570">
        <v>2370165.85</v>
      </c>
      <c r="F90" s="31">
        <f t="shared" si="6"/>
        <v>2370</v>
      </c>
      <c r="H90" s="571"/>
      <c r="I90" s="566" t="s">
        <v>740</v>
      </c>
      <c r="J90" s="568"/>
      <c r="K90" s="570">
        <v>2917677.25</v>
      </c>
      <c r="M90" s="31">
        <f t="shared" si="7"/>
        <v>2918</v>
      </c>
      <c r="R90" s="602" t="s">
        <v>725</v>
      </c>
      <c r="S90" s="603">
        <v>1466484.84</v>
      </c>
      <c r="T90" s="604">
        <f t="shared" si="8"/>
        <v>1466</v>
      </c>
    </row>
    <row r="91" spans="1:20" x14ac:dyDescent="0.25">
      <c r="A91" s="565"/>
      <c r="B91" s="566" t="s">
        <v>510</v>
      </c>
      <c r="C91" s="570">
        <v>128150987.28</v>
      </c>
      <c r="D91" s="568"/>
      <c r="E91" s="31">
        <f>ROUND(C91/1000,0)</f>
        <v>128151</v>
      </c>
      <c r="H91" s="571"/>
      <c r="I91" s="566" t="s">
        <v>741</v>
      </c>
      <c r="J91" s="568"/>
      <c r="K91" s="572">
        <v>388</v>
      </c>
      <c r="M91" s="31">
        <f t="shared" si="7"/>
        <v>0</v>
      </c>
      <c r="R91" s="580" t="s">
        <v>66</v>
      </c>
      <c r="S91" s="576">
        <v>156068901.63999999</v>
      </c>
      <c r="T91" s="83">
        <f t="shared" si="8"/>
        <v>156069</v>
      </c>
    </row>
    <row r="92" spans="1:20" x14ac:dyDescent="0.25">
      <c r="A92" s="569"/>
      <c r="B92" s="566" t="s">
        <v>511</v>
      </c>
      <c r="C92" s="570">
        <v>119043110.94</v>
      </c>
      <c r="D92" s="568"/>
      <c r="E92" s="31">
        <f t="shared" ref="E92:E111" si="9">ROUND(C92/1000,0)</f>
        <v>119043</v>
      </c>
      <c r="H92" s="565"/>
      <c r="I92" s="566" t="s">
        <v>510</v>
      </c>
      <c r="J92" s="570">
        <v>242894066.28999999</v>
      </c>
      <c r="K92" s="568"/>
      <c r="L92" s="31">
        <f>ROUND(J92/1000,0)</f>
        <v>242894</v>
      </c>
      <c r="R92" s="602" t="s">
        <v>194</v>
      </c>
      <c r="S92" s="603">
        <v>1105007.1599999999</v>
      </c>
      <c r="T92" s="604">
        <f t="shared" si="8"/>
        <v>1105</v>
      </c>
    </row>
    <row r="93" spans="1:20" x14ac:dyDescent="0.25">
      <c r="A93" s="571"/>
      <c r="B93" s="566" t="s">
        <v>512</v>
      </c>
      <c r="C93" s="570">
        <v>35801411.859999999</v>
      </c>
      <c r="D93" s="568"/>
      <c r="E93" s="31">
        <f t="shared" si="9"/>
        <v>35801</v>
      </c>
      <c r="H93" s="569"/>
      <c r="I93" s="574" t="s">
        <v>511</v>
      </c>
      <c r="J93" s="576">
        <v>226084206.59</v>
      </c>
      <c r="K93" s="575"/>
      <c r="L93" s="83">
        <f t="shared" ref="L93:L115" si="10">ROUND(J93/1000,0)</f>
        <v>226084</v>
      </c>
      <c r="R93" s="597" t="s">
        <v>193</v>
      </c>
      <c r="S93" s="598">
        <v>409060.63</v>
      </c>
      <c r="T93" s="599">
        <f t="shared" si="8"/>
        <v>409</v>
      </c>
    </row>
    <row r="94" spans="1:20" x14ac:dyDescent="0.25">
      <c r="A94" s="571"/>
      <c r="B94" s="566" t="s">
        <v>513</v>
      </c>
      <c r="C94" s="570">
        <v>3992869.41</v>
      </c>
      <c r="D94" s="568"/>
      <c r="E94" s="31">
        <f t="shared" si="9"/>
        <v>3993</v>
      </c>
      <c r="H94" s="571"/>
      <c r="I94" s="566" t="s">
        <v>512</v>
      </c>
      <c r="J94" s="570">
        <v>54460023.719999999</v>
      </c>
      <c r="K94" s="568"/>
      <c r="L94" s="31">
        <f t="shared" si="10"/>
        <v>54460</v>
      </c>
      <c r="R94" s="592" t="s">
        <v>192</v>
      </c>
      <c r="S94" s="593">
        <v>461102.52</v>
      </c>
      <c r="T94" s="34">
        <f t="shared" si="8"/>
        <v>461</v>
      </c>
    </row>
    <row r="95" spans="1:20" ht="22.5" x14ac:dyDescent="0.25">
      <c r="A95" s="571"/>
      <c r="B95" s="566" t="s">
        <v>514</v>
      </c>
      <c r="C95" s="570">
        <v>79248829.670000002</v>
      </c>
      <c r="D95" s="568"/>
      <c r="E95" s="31">
        <f t="shared" si="9"/>
        <v>79249</v>
      </c>
      <c r="H95" s="571"/>
      <c r="I95" s="566" t="s">
        <v>513</v>
      </c>
      <c r="J95" s="570">
        <v>23134131.309999999</v>
      </c>
      <c r="K95" s="568"/>
      <c r="L95" s="31">
        <f t="shared" si="10"/>
        <v>23134</v>
      </c>
      <c r="R95" s="597" t="s">
        <v>742</v>
      </c>
      <c r="S95" s="598">
        <v>131547.51</v>
      </c>
      <c r="T95" s="599">
        <f t="shared" si="8"/>
        <v>132</v>
      </c>
    </row>
    <row r="96" spans="1:20" x14ac:dyDescent="0.25">
      <c r="A96" s="569"/>
      <c r="B96" s="566" t="s">
        <v>515</v>
      </c>
      <c r="C96" s="570">
        <v>9107876.3399999999</v>
      </c>
      <c r="D96" s="568"/>
      <c r="E96" s="31">
        <f t="shared" si="9"/>
        <v>9108</v>
      </c>
      <c r="H96" s="571"/>
      <c r="I96" s="566" t="s">
        <v>514</v>
      </c>
      <c r="J96" s="570">
        <v>148490051.56</v>
      </c>
      <c r="K96" s="568"/>
      <c r="L96" s="31">
        <f t="shared" si="10"/>
        <v>148490</v>
      </c>
      <c r="R96" s="595" t="s">
        <v>716</v>
      </c>
      <c r="S96" s="596">
        <v>93878.2</v>
      </c>
      <c r="T96" s="38">
        <f t="shared" si="8"/>
        <v>94</v>
      </c>
    </row>
    <row r="97" spans="1:21" ht="22.5" x14ac:dyDescent="0.25">
      <c r="A97" s="571"/>
      <c r="B97" s="566" t="s">
        <v>516</v>
      </c>
      <c r="C97" s="570">
        <v>8722618.9299999997</v>
      </c>
      <c r="D97" s="568"/>
      <c r="E97" s="31">
        <f t="shared" si="9"/>
        <v>8723</v>
      </c>
      <c r="H97" s="569"/>
      <c r="I97" s="574" t="s">
        <v>515</v>
      </c>
      <c r="J97" s="576">
        <v>16809859.699999999</v>
      </c>
      <c r="K97" s="575"/>
      <c r="L97" s="83">
        <f t="shared" si="10"/>
        <v>16810</v>
      </c>
      <c r="R97" s="595" t="s">
        <v>718</v>
      </c>
      <c r="S97" s="596">
        <v>1900</v>
      </c>
      <c r="T97" s="38">
        <f t="shared" si="8"/>
        <v>2</v>
      </c>
    </row>
    <row r="98" spans="1:21" ht="22.5" x14ac:dyDescent="0.25">
      <c r="A98" s="571"/>
      <c r="B98" s="566" t="s">
        <v>517</v>
      </c>
      <c r="C98" s="570">
        <v>385257.41</v>
      </c>
      <c r="D98" s="568"/>
      <c r="E98" s="31">
        <f t="shared" si="9"/>
        <v>385</v>
      </c>
      <c r="H98" s="571"/>
      <c r="I98" s="566" t="s">
        <v>516</v>
      </c>
      <c r="J98" s="570">
        <v>16364931.380000001</v>
      </c>
      <c r="K98" s="568"/>
      <c r="L98" s="31">
        <f t="shared" si="10"/>
        <v>16365</v>
      </c>
      <c r="R98" s="595" t="s">
        <v>190</v>
      </c>
      <c r="S98" s="596">
        <v>39367.86</v>
      </c>
      <c r="T98" s="38">
        <f t="shared" si="8"/>
        <v>39</v>
      </c>
    </row>
    <row r="99" spans="1:21" x14ac:dyDescent="0.25">
      <c r="A99" s="565"/>
      <c r="B99" s="566" t="s">
        <v>768</v>
      </c>
      <c r="C99" s="570">
        <v>3301084.34</v>
      </c>
      <c r="D99" s="568"/>
      <c r="E99" s="31">
        <f t="shared" si="9"/>
        <v>3301</v>
      </c>
      <c r="H99" s="571"/>
      <c r="I99" s="566" t="s">
        <v>517</v>
      </c>
      <c r="J99" s="570">
        <v>444928.32</v>
      </c>
      <c r="K99" s="568"/>
      <c r="L99" s="31">
        <f t="shared" si="10"/>
        <v>445</v>
      </c>
      <c r="R99" s="595" t="s">
        <v>719</v>
      </c>
      <c r="S99" s="596">
        <v>9921.58</v>
      </c>
      <c r="T99" s="38">
        <f t="shared" si="8"/>
        <v>10</v>
      </c>
    </row>
    <row r="100" spans="1:21" x14ac:dyDescent="0.25">
      <c r="A100" s="569"/>
      <c r="B100" s="566" t="s">
        <v>769</v>
      </c>
      <c r="C100" s="570">
        <v>3301084.34</v>
      </c>
      <c r="D100" s="568"/>
      <c r="E100" s="31">
        <f t="shared" si="9"/>
        <v>3301</v>
      </c>
      <c r="H100" s="565"/>
      <c r="I100" s="566" t="s">
        <v>768</v>
      </c>
      <c r="J100" s="570">
        <v>3301084.34</v>
      </c>
      <c r="K100" s="568"/>
      <c r="L100" s="31">
        <f t="shared" si="10"/>
        <v>3301</v>
      </c>
      <c r="R100" s="595" t="s">
        <v>189</v>
      </c>
      <c r="S100" s="596">
        <v>393483.39</v>
      </c>
      <c r="T100" s="38">
        <f t="shared" si="8"/>
        <v>393</v>
      </c>
    </row>
    <row r="101" spans="1:21" x14ac:dyDescent="0.25">
      <c r="A101" s="571"/>
      <c r="B101" s="566" t="s">
        <v>770</v>
      </c>
      <c r="C101" s="570">
        <v>3301084.34</v>
      </c>
      <c r="D101" s="568"/>
      <c r="E101" s="31">
        <f t="shared" si="9"/>
        <v>3301</v>
      </c>
      <c r="H101" s="569"/>
      <c r="I101" s="566" t="s">
        <v>769</v>
      </c>
      <c r="J101" s="570">
        <v>3301084.34</v>
      </c>
      <c r="K101" s="568"/>
      <c r="L101" s="31">
        <f t="shared" si="10"/>
        <v>3301</v>
      </c>
      <c r="R101" s="592" t="s">
        <v>720</v>
      </c>
      <c r="S101" s="593">
        <v>256516</v>
      </c>
      <c r="T101" s="34">
        <f t="shared" si="8"/>
        <v>257</v>
      </c>
    </row>
    <row r="102" spans="1:21" x14ac:dyDescent="0.25">
      <c r="A102" s="565"/>
      <c r="B102" s="566" t="s">
        <v>518</v>
      </c>
      <c r="C102" s="570">
        <v>13800839.039999999</v>
      </c>
      <c r="D102" s="568"/>
      <c r="E102" s="31">
        <f t="shared" si="9"/>
        <v>13801</v>
      </c>
      <c r="H102" s="571"/>
      <c r="I102" s="566" t="s">
        <v>770</v>
      </c>
      <c r="J102" s="570">
        <v>3301084.34</v>
      </c>
      <c r="K102" s="568"/>
      <c r="L102" s="31">
        <f t="shared" si="10"/>
        <v>3301</v>
      </c>
      <c r="R102" s="602" t="s">
        <v>187</v>
      </c>
      <c r="S102" s="603">
        <v>117089.38</v>
      </c>
      <c r="T102" s="604">
        <f t="shared" si="8"/>
        <v>117</v>
      </c>
    </row>
    <row r="103" spans="1:21" x14ac:dyDescent="0.25">
      <c r="A103" s="569"/>
      <c r="B103" s="566" t="s">
        <v>519</v>
      </c>
      <c r="C103" s="570">
        <v>7085360.96</v>
      </c>
      <c r="D103" s="568"/>
      <c r="E103" s="31">
        <f t="shared" si="9"/>
        <v>7085</v>
      </c>
      <c r="H103" s="565"/>
      <c r="I103" s="566" t="s">
        <v>518</v>
      </c>
      <c r="J103" s="570">
        <v>31651037.739999998</v>
      </c>
      <c r="K103" s="568"/>
      <c r="L103" s="31">
        <f t="shared" si="10"/>
        <v>31651</v>
      </c>
      <c r="R103" s="592" t="s">
        <v>205</v>
      </c>
      <c r="S103" s="593">
        <v>3378247</v>
      </c>
      <c r="T103" s="34">
        <f t="shared" si="8"/>
        <v>3378</v>
      </c>
    </row>
    <row r="104" spans="1:21" x14ac:dyDescent="0.25">
      <c r="A104" s="571"/>
      <c r="B104" s="566" t="s">
        <v>520</v>
      </c>
      <c r="C104" s="570">
        <v>7085360.96</v>
      </c>
      <c r="D104" s="568"/>
      <c r="E104" s="31">
        <f t="shared" si="9"/>
        <v>7085</v>
      </c>
      <c r="H104" s="569"/>
      <c r="I104" s="566" t="s">
        <v>519</v>
      </c>
      <c r="J104" s="570">
        <v>16012797.34</v>
      </c>
      <c r="K104" s="568"/>
      <c r="L104" s="31">
        <f t="shared" si="10"/>
        <v>16013</v>
      </c>
      <c r="R104" s="595" t="s">
        <v>185</v>
      </c>
      <c r="S104" s="596">
        <v>21106</v>
      </c>
      <c r="T104" s="38">
        <f t="shared" si="8"/>
        <v>21</v>
      </c>
    </row>
    <row r="105" spans="1:21" x14ac:dyDescent="0.25">
      <c r="A105" s="569"/>
      <c r="B105" s="566" t="s">
        <v>521</v>
      </c>
      <c r="C105" s="572">
        <v>291.18</v>
      </c>
      <c r="D105" s="568"/>
      <c r="E105" s="31">
        <f t="shared" si="9"/>
        <v>0</v>
      </c>
      <c r="H105" s="571"/>
      <c r="I105" s="566" t="s">
        <v>520</v>
      </c>
      <c r="J105" s="570">
        <v>16012797.34</v>
      </c>
      <c r="K105" s="568"/>
      <c r="L105" s="31">
        <f t="shared" si="10"/>
        <v>16013</v>
      </c>
      <c r="R105" s="597" t="s">
        <v>743</v>
      </c>
      <c r="S105" s="598">
        <v>600000</v>
      </c>
      <c r="T105" s="599">
        <f t="shared" si="8"/>
        <v>600</v>
      </c>
    </row>
    <row r="106" spans="1:21" x14ac:dyDescent="0.25">
      <c r="A106" s="571"/>
      <c r="B106" s="566" t="s">
        <v>523</v>
      </c>
      <c r="C106" s="572">
        <v>291.18</v>
      </c>
      <c r="D106" s="568"/>
      <c r="E106" s="31">
        <f t="shared" si="9"/>
        <v>0</v>
      </c>
      <c r="H106" s="569"/>
      <c r="I106" s="566" t="s">
        <v>521</v>
      </c>
      <c r="J106" s="570">
        <v>32105.86</v>
      </c>
      <c r="K106" s="568"/>
      <c r="L106" s="31">
        <f t="shared" si="10"/>
        <v>32</v>
      </c>
      <c r="R106" s="595" t="s">
        <v>183</v>
      </c>
      <c r="S106" s="596">
        <v>210000</v>
      </c>
      <c r="T106" s="38">
        <f t="shared" si="8"/>
        <v>210</v>
      </c>
    </row>
    <row r="107" spans="1:21" x14ac:dyDescent="0.25">
      <c r="A107" s="569"/>
      <c r="B107" s="566" t="s">
        <v>524</v>
      </c>
      <c r="C107" s="570">
        <v>6593464.29</v>
      </c>
      <c r="D107" s="568"/>
      <c r="E107" s="31">
        <f t="shared" si="9"/>
        <v>6593</v>
      </c>
      <c r="H107" s="571"/>
      <c r="I107" s="566" t="s">
        <v>522</v>
      </c>
      <c r="J107" s="570">
        <v>31749.63</v>
      </c>
      <c r="K107" s="568"/>
      <c r="L107" s="31">
        <f t="shared" si="10"/>
        <v>32</v>
      </c>
      <c r="R107" s="595" t="s">
        <v>181</v>
      </c>
      <c r="S107" s="596">
        <v>25401.78</v>
      </c>
      <c r="T107" s="38">
        <f t="shared" si="8"/>
        <v>25</v>
      </c>
    </row>
    <row r="108" spans="1:21" x14ac:dyDescent="0.25">
      <c r="A108" s="569"/>
      <c r="B108" s="566" t="s">
        <v>525</v>
      </c>
      <c r="C108" s="570">
        <v>121722.61</v>
      </c>
      <c r="D108" s="568"/>
      <c r="E108" s="31">
        <f t="shared" si="9"/>
        <v>122</v>
      </c>
      <c r="H108" s="571"/>
      <c r="I108" s="566" t="s">
        <v>523</v>
      </c>
      <c r="J108" s="572">
        <v>356.23</v>
      </c>
      <c r="K108" s="568"/>
      <c r="L108" s="31">
        <f t="shared" si="10"/>
        <v>0</v>
      </c>
      <c r="R108" s="597" t="s">
        <v>180</v>
      </c>
      <c r="S108" s="598">
        <v>2400000</v>
      </c>
      <c r="T108" s="599">
        <f t="shared" si="8"/>
        <v>2400</v>
      </c>
    </row>
    <row r="109" spans="1:21" x14ac:dyDescent="0.25">
      <c r="A109" s="571"/>
      <c r="B109" s="566" t="s">
        <v>526</v>
      </c>
      <c r="C109" s="570">
        <v>62306.9</v>
      </c>
      <c r="D109" s="568"/>
      <c r="E109" s="31">
        <f t="shared" si="9"/>
        <v>62</v>
      </c>
      <c r="H109" s="569"/>
      <c r="I109" s="574" t="s">
        <v>524</v>
      </c>
      <c r="J109" s="576">
        <v>13186928.58</v>
      </c>
      <c r="K109" s="575"/>
      <c r="L109" s="83">
        <f t="shared" si="10"/>
        <v>13187</v>
      </c>
      <c r="R109" s="597" t="s">
        <v>179</v>
      </c>
      <c r="S109" s="598">
        <v>394212.44</v>
      </c>
      <c r="T109" s="599">
        <f t="shared" si="8"/>
        <v>394</v>
      </c>
    </row>
    <row r="110" spans="1:21" x14ac:dyDescent="0.25">
      <c r="A110" s="571"/>
      <c r="B110" s="566" t="s">
        <v>527</v>
      </c>
      <c r="C110" s="570">
        <v>21572.03</v>
      </c>
      <c r="D110" s="568"/>
      <c r="E110" s="31">
        <f t="shared" si="9"/>
        <v>22</v>
      </c>
      <c r="H110" s="569"/>
      <c r="I110" s="566" t="s">
        <v>525</v>
      </c>
      <c r="J110" s="570">
        <v>2419205.96</v>
      </c>
      <c r="K110" s="568"/>
      <c r="L110" s="31">
        <f t="shared" si="10"/>
        <v>2419</v>
      </c>
      <c r="R110" s="595" t="s">
        <v>766</v>
      </c>
      <c r="S110" s="596">
        <v>325610.87</v>
      </c>
      <c r="T110" s="38">
        <f t="shared" si="8"/>
        <v>326</v>
      </c>
      <c r="U110" t="s">
        <v>775</v>
      </c>
    </row>
    <row r="111" spans="1:21" x14ac:dyDescent="0.25">
      <c r="A111" s="571"/>
      <c r="B111" s="566" t="s">
        <v>529</v>
      </c>
      <c r="C111" s="570">
        <v>37843.68</v>
      </c>
      <c r="D111" s="568"/>
      <c r="E111" s="31">
        <f t="shared" si="9"/>
        <v>38</v>
      </c>
      <c r="H111" s="571"/>
      <c r="I111" s="566" t="s">
        <v>526</v>
      </c>
      <c r="J111" s="570">
        <v>2263245.14</v>
      </c>
      <c r="K111" s="568"/>
      <c r="L111" s="31">
        <f t="shared" si="10"/>
        <v>2263</v>
      </c>
      <c r="R111" s="580" t="s">
        <v>744</v>
      </c>
      <c r="S111" s="576">
        <v>3845465</v>
      </c>
      <c r="T111" s="83">
        <f t="shared" si="8"/>
        <v>3845</v>
      </c>
    </row>
    <row r="112" spans="1:21" x14ac:dyDescent="0.25">
      <c r="A112" s="562"/>
      <c r="B112" s="563" t="s">
        <v>142</v>
      </c>
      <c r="C112" s="573">
        <v>154886894.16</v>
      </c>
      <c r="D112" s="573">
        <v>154886894.16</v>
      </c>
      <c r="H112" s="571"/>
      <c r="I112" s="566" t="s">
        <v>527</v>
      </c>
      <c r="J112" s="570">
        <v>26761.919999999998</v>
      </c>
      <c r="K112" s="568"/>
      <c r="L112" s="31">
        <f t="shared" si="10"/>
        <v>27</v>
      </c>
      <c r="R112" s="597" t="s">
        <v>751</v>
      </c>
      <c r="S112" s="598">
        <v>728000</v>
      </c>
      <c r="T112" s="599">
        <f t="shared" si="8"/>
        <v>728</v>
      </c>
    </row>
    <row r="113" spans="1:20" ht="22.5" x14ac:dyDescent="0.25">
      <c r="A113" s="562"/>
      <c r="B113" s="563" t="s">
        <v>143</v>
      </c>
      <c r="C113" s="564"/>
      <c r="D113" s="564"/>
      <c r="H113" s="571"/>
      <c r="I113" s="566" t="s">
        <v>528</v>
      </c>
      <c r="J113" s="570">
        <v>53450.21</v>
      </c>
      <c r="K113" s="568"/>
      <c r="L113" s="31">
        <f t="shared" si="10"/>
        <v>53</v>
      </c>
      <c r="M113" s="33">
        <f>L113+L114</f>
        <v>129</v>
      </c>
      <c r="R113" s="597" t="s">
        <v>745</v>
      </c>
      <c r="S113" s="598">
        <v>1000000</v>
      </c>
      <c r="T113" s="599">
        <f t="shared" si="8"/>
        <v>1000</v>
      </c>
    </row>
    <row r="114" spans="1:20" x14ac:dyDescent="0.25">
      <c r="H114" s="571"/>
      <c r="I114" s="566" t="s">
        <v>529</v>
      </c>
      <c r="J114" s="570">
        <v>75748.69</v>
      </c>
      <c r="K114" s="568"/>
      <c r="L114" s="31">
        <f t="shared" si="10"/>
        <v>76</v>
      </c>
      <c r="R114" s="595" t="s">
        <v>746</v>
      </c>
      <c r="S114" s="596">
        <v>198114.29</v>
      </c>
      <c r="T114" s="38">
        <f t="shared" si="8"/>
        <v>198</v>
      </c>
    </row>
    <row r="115" spans="1:20" x14ac:dyDescent="0.25">
      <c r="H115" s="562"/>
      <c r="I115" s="563" t="s">
        <v>142</v>
      </c>
      <c r="J115" s="573">
        <v>318613398.29000002</v>
      </c>
      <c r="K115" s="573">
        <v>318613398.29000002</v>
      </c>
      <c r="L115" s="31">
        <f t="shared" si="10"/>
        <v>318613</v>
      </c>
      <c r="R115" s="592" t="s">
        <v>209</v>
      </c>
      <c r="S115" s="593">
        <v>498271.4</v>
      </c>
      <c r="T115" s="34">
        <f t="shared" si="8"/>
        <v>498</v>
      </c>
    </row>
    <row r="116" spans="1:20" ht="22.5" x14ac:dyDescent="0.25">
      <c r="H116" s="562"/>
      <c r="I116" s="563" t="s">
        <v>143</v>
      </c>
      <c r="J116" s="564"/>
      <c r="K116" s="564"/>
      <c r="R116" s="580" t="s">
        <v>175</v>
      </c>
      <c r="S116" s="576">
        <v>390000</v>
      </c>
      <c r="T116" s="83">
        <f t="shared" si="8"/>
        <v>390</v>
      </c>
    </row>
    <row r="117" spans="1:20" x14ac:dyDescent="0.25">
      <c r="R117" s="582" t="s">
        <v>174</v>
      </c>
      <c r="S117" s="583">
        <v>676482.14</v>
      </c>
      <c r="T117" s="48">
        <f t="shared" si="8"/>
        <v>676</v>
      </c>
    </row>
    <row r="118" spans="1:20" x14ac:dyDescent="0.25">
      <c r="R118" s="582" t="s">
        <v>173</v>
      </c>
      <c r="S118" s="583">
        <v>1575406.87</v>
      </c>
      <c r="T118" s="48">
        <f t="shared" si="8"/>
        <v>1575</v>
      </c>
    </row>
    <row r="119" spans="1:20" x14ac:dyDescent="0.25">
      <c r="R119" s="580" t="s">
        <v>172</v>
      </c>
      <c r="S119" s="576">
        <v>13210093.74</v>
      </c>
      <c r="T119" s="83">
        <f t="shared" si="8"/>
        <v>13210</v>
      </c>
    </row>
    <row r="120" spans="1:20" ht="22.5" x14ac:dyDescent="0.25">
      <c r="R120" s="592" t="s">
        <v>171</v>
      </c>
      <c r="S120" s="593">
        <v>156050</v>
      </c>
      <c r="T120" s="34">
        <f t="shared" si="8"/>
        <v>156</v>
      </c>
    </row>
    <row r="121" spans="1:20" ht="22.5" x14ac:dyDescent="0.25">
      <c r="R121" s="590" t="s">
        <v>169</v>
      </c>
      <c r="S121" s="591">
        <v>45000</v>
      </c>
      <c r="T121" s="502">
        <f t="shared" si="8"/>
        <v>45</v>
      </c>
    </row>
    <row r="122" spans="1:20" ht="22.5" x14ac:dyDescent="0.25">
      <c r="R122" s="590" t="s">
        <v>747</v>
      </c>
      <c r="S122" s="591">
        <v>498392.86</v>
      </c>
      <c r="T122" s="502">
        <f t="shared" si="8"/>
        <v>498</v>
      </c>
    </row>
    <row r="123" spans="1:20" x14ac:dyDescent="0.25">
      <c r="R123" s="590" t="s">
        <v>593</v>
      </c>
      <c r="S123" s="591">
        <v>1186870</v>
      </c>
      <c r="T123" s="502">
        <f t="shared" si="8"/>
        <v>1187</v>
      </c>
    </row>
    <row r="124" spans="1:20" x14ac:dyDescent="0.25">
      <c r="R124" s="580" t="s">
        <v>167</v>
      </c>
      <c r="S124" s="581">
        <v>-7755618.0800000001</v>
      </c>
      <c r="T124" s="83">
        <f t="shared" si="8"/>
        <v>-7756</v>
      </c>
    </row>
    <row r="125" spans="1:20" ht="22.5" x14ac:dyDescent="0.25">
      <c r="R125" s="590" t="s">
        <v>726</v>
      </c>
      <c r="S125" s="591">
        <v>72232.14</v>
      </c>
      <c r="T125" s="502">
        <f t="shared" si="8"/>
        <v>72</v>
      </c>
    </row>
    <row r="126" spans="1:20" ht="22.5" x14ac:dyDescent="0.25">
      <c r="R126" s="592" t="s">
        <v>721</v>
      </c>
      <c r="S126" s="593">
        <v>92335.25</v>
      </c>
      <c r="T126" s="34">
        <f t="shared" si="8"/>
        <v>92</v>
      </c>
    </row>
    <row r="127" spans="1:20" x14ac:dyDescent="0.25">
      <c r="R127" s="582" t="s">
        <v>166</v>
      </c>
      <c r="S127" s="583">
        <v>551340</v>
      </c>
      <c r="T127" s="48">
        <f t="shared" si="8"/>
        <v>551</v>
      </c>
    </row>
    <row r="128" spans="1:20" x14ac:dyDescent="0.25">
      <c r="R128" s="592" t="s">
        <v>164</v>
      </c>
      <c r="S128" s="593">
        <v>888392.86</v>
      </c>
      <c r="T128" s="34">
        <f t="shared" si="8"/>
        <v>888</v>
      </c>
    </row>
    <row r="129" spans="18:20" x14ac:dyDescent="0.25">
      <c r="R129" s="590" t="s">
        <v>163</v>
      </c>
      <c r="S129" s="591">
        <v>23760</v>
      </c>
      <c r="T129" s="502">
        <f t="shared" si="8"/>
        <v>24</v>
      </c>
    </row>
    <row r="130" spans="18:20" x14ac:dyDescent="0.25">
      <c r="R130" s="592" t="s">
        <v>161</v>
      </c>
      <c r="S130" s="593">
        <v>978482.85</v>
      </c>
      <c r="T130" s="34">
        <f t="shared" si="8"/>
        <v>978</v>
      </c>
    </row>
    <row r="131" spans="18:20" x14ac:dyDescent="0.25">
      <c r="R131" s="597" t="s">
        <v>748</v>
      </c>
      <c r="S131" s="598">
        <v>741578.01</v>
      </c>
      <c r="T131" s="599">
        <f t="shared" si="8"/>
        <v>742</v>
      </c>
    </row>
    <row r="132" spans="18:20" ht="22.5" x14ac:dyDescent="0.25">
      <c r="R132" s="597" t="s">
        <v>722</v>
      </c>
      <c r="S132" s="598">
        <v>2100000</v>
      </c>
      <c r="T132" s="599">
        <f t="shared" si="8"/>
        <v>2100</v>
      </c>
    </row>
    <row r="133" spans="18:20" ht="22.5" x14ac:dyDescent="0.25">
      <c r="R133" s="590" t="s">
        <v>773</v>
      </c>
      <c r="S133" s="591">
        <v>15000</v>
      </c>
      <c r="T133" s="502">
        <f t="shared" si="8"/>
        <v>15</v>
      </c>
    </row>
    <row r="134" spans="18:20" x14ac:dyDescent="0.25">
      <c r="R134" s="595" t="s">
        <v>159</v>
      </c>
      <c r="S134" s="596">
        <v>80859</v>
      </c>
      <c r="T134" s="38">
        <f t="shared" si="8"/>
        <v>81</v>
      </c>
    </row>
    <row r="135" spans="18:20" x14ac:dyDescent="0.25">
      <c r="R135" s="595" t="s">
        <v>729</v>
      </c>
      <c r="S135" s="596">
        <v>1997169.6</v>
      </c>
      <c r="T135" s="38">
        <f t="shared" si="8"/>
        <v>1997</v>
      </c>
    </row>
    <row r="136" spans="18:20" x14ac:dyDescent="0.25">
      <c r="R136" s="602" t="s">
        <v>72</v>
      </c>
      <c r="S136" s="603">
        <v>1580.4</v>
      </c>
      <c r="T136" s="604">
        <f t="shared" si="8"/>
        <v>2</v>
      </c>
    </row>
    <row r="137" spans="18:20" ht="22.5" x14ac:dyDescent="0.25">
      <c r="R137" s="597" t="s">
        <v>730</v>
      </c>
      <c r="S137" s="598">
        <v>11264050.199999999</v>
      </c>
      <c r="T137" s="599">
        <f t="shared" si="8"/>
        <v>11264</v>
      </c>
    </row>
    <row r="138" spans="18:20" ht="22.5" x14ac:dyDescent="0.25">
      <c r="R138" s="595" t="s">
        <v>157</v>
      </c>
      <c r="S138" s="596">
        <v>48000</v>
      </c>
      <c r="T138" s="38">
        <f t="shared" si="8"/>
        <v>48</v>
      </c>
    </row>
    <row r="139" spans="18:20" x14ac:dyDescent="0.25">
      <c r="R139" s="592" t="s">
        <v>156</v>
      </c>
      <c r="S139" s="593">
        <v>73675.899999999994</v>
      </c>
      <c r="T139" s="34">
        <f t="shared" si="8"/>
        <v>74</v>
      </c>
    </row>
    <row r="140" spans="18:20" x14ac:dyDescent="0.25">
      <c r="R140" s="592" t="s">
        <v>155</v>
      </c>
      <c r="S140" s="593">
        <v>1675625.06</v>
      </c>
      <c r="T140" s="34">
        <f t="shared" si="8"/>
        <v>1676</v>
      </c>
    </row>
    <row r="141" spans="18:20" x14ac:dyDescent="0.25">
      <c r="R141" s="592" t="s">
        <v>154</v>
      </c>
      <c r="S141" s="593">
        <v>9066290.3599999994</v>
      </c>
      <c r="T141" s="34">
        <f t="shared" si="8"/>
        <v>9066</v>
      </c>
    </row>
    <row r="142" spans="18:20" ht="22.5" x14ac:dyDescent="0.25">
      <c r="R142" s="592" t="s">
        <v>774</v>
      </c>
      <c r="S142" s="593">
        <v>45945</v>
      </c>
      <c r="T142" s="34">
        <f t="shared" si="8"/>
        <v>46</v>
      </c>
    </row>
    <row r="143" spans="18:20" x14ac:dyDescent="0.25">
      <c r="R143" s="602" t="s">
        <v>723</v>
      </c>
      <c r="S143" s="603">
        <v>192509.73</v>
      </c>
      <c r="T143" s="604">
        <f t="shared" si="8"/>
        <v>193</v>
      </c>
    </row>
    <row r="144" spans="18:20" x14ac:dyDescent="0.25">
      <c r="R144" s="590" t="s">
        <v>152</v>
      </c>
      <c r="S144" s="591">
        <v>2440.85</v>
      </c>
      <c r="T144" s="502">
        <f t="shared" ref="T144:T146" si="11">ROUND(S144/1000,0)</f>
        <v>2</v>
      </c>
    </row>
    <row r="145" spans="18:21" x14ac:dyDescent="0.25">
      <c r="R145" s="578" t="s">
        <v>57</v>
      </c>
      <c r="S145" s="579">
        <v>226084206.59</v>
      </c>
      <c r="T145" s="31">
        <f t="shared" si="11"/>
        <v>226084</v>
      </c>
    </row>
    <row r="146" spans="18:21" x14ac:dyDescent="0.25">
      <c r="S146" s="64">
        <f>J97+J109</f>
        <v>29996788.280000001</v>
      </c>
      <c r="T146" s="31">
        <f t="shared" si="11"/>
        <v>29997</v>
      </c>
    </row>
    <row r="147" spans="18:21" x14ac:dyDescent="0.25">
      <c r="S147" s="33">
        <f>SUM(S145:S146)</f>
        <v>256080994.87</v>
      </c>
      <c r="T147" s="33">
        <f>SUM(T145:T146)</f>
        <v>256081</v>
      </c>
    </row>
    <row r="148" spans="18:21" x14ac:dyDescent="0.25">
      <c r="S148" s="605">
        <f>S124+S91</f>
        <v>148313283.55999997</v>
      </c>
      <c r="T148" s="31">
        <f t="shared" ref="T148:T157" si="12">ROUND(S148/1000,0)</f>
        <v>148313</v>
      </c>
      <c r="U148" t="e">
        <f>#REF!</f>
        <v>#REF!</v>
      </c>
    </row>
    <row r="149" spans="18:21" x14ac:dyDescent="0.25">
      <c r="S149" s="605">
        <f>S138+S135+S134+S107+S106+S114+S104+S100+S99+S98+S97+S96+S87+S86+S110</f>
        <v>8944812.5699999984</v>
      </c>
      <c r="T149" s="31">
        <f t="shared" si="12"/>
        <v>8945</v>
      </c>
      <c r="U149" t="e">
        <f>#REF!</f>
        <v>#REF!</v>
      </c>
    </row>
    <row r="150" spans="18:21" x14ac:dyDescent="0.25">
      <c r="S150" s="605">
        <f>S137+S132+S131+S113+S112+S109+S108+S105+S95+S93+S89+S88+S83</f>
        <v>21514868.879999999</v>
      </c>
      <c r="T150" s="31">
        <f t="shared" si="12"/>
        <v>21515</v>
      </c>
      <c r="U150" t="e">
        <f>#REF!</f>
        <v>#REF!</v>
      </c>
    </row>
    <row r="151" spans="18:21" x14ac:dyDescent="0.25">
      <c r="S151" s="605">
        <f>J109+S129+S144+S123+S122+S121+S133+S84+S85+S125</f>
        <v>15492052.99</v>
      </c>
      <c r="T151" s="31">
        <f t="shared" si="12"/>
        <v>15492</v>
      </c>
      <c r="U151" t="e">
        <f>#REF!</f>
        <v>#REF!</v>
      </c>
    </row>
    <row r="152" spans="18:21" x14ac:dyDescent="0.25">
      <c r="S152" s="605">
        <f>S80+S81+S90+S92+S102+S136+S143</f>
        <v>3082991.63</v>
      </c>
      <c r="T152" s="31">
        <f t="shared" si="12"/>
        <v>3083</v>
      </c>
      <c r="U152" t="e">
        <f>#REF!</f>
        <v>#REF!</v>
      </c>
    </row>
    <row r="153" spans="18:21" x14ac:dyDescent="0.25">
      <c r="S153" s="605">
        <f>S142+S141+S140+S139+S130+S128+S126+S115+S103+S101+S94+S120</f>
        <v>17570934.199999999</v>
      </c>
      <c r="T153" s="31">
        <f t="shared" si="12"/>
        <v>17571</v>
      </c>
      <c r="U153" t="e">
        <f>#REF!</f>
        <v>#REF!</v>
      </c>
    </row>
    <row r="154" spans="18:21" x14ac:dyDescent="0.25">
      <c r="S154" s="605">
        <f>S116+S111+S119</f>
        <v>17445558.740000002</v>
      </c>
      <c r="T154" s="31">
        <f t="shared" si="12"/>
        <v>17446</v>
      </c>
      <c r="U154" t="e">
        <f>#REF!</f>
        <v>#REF!</v>
      </c>
    </row>
    <row r="155" spans="18:21" x14ac:dyDescent="0.25">
      <c r="S155" s="605">
        <f>S82</f>
        <v>4103403.59</v>
      </c>
      <c r="T155" s="31">
        <f t="shared" si="12"/>
        <v>4103</v>
      </c>
      <c r="U155" t="e">
        <f>#REF!</f>
        <v>#REF!</v>
      </c>
    </row>
    <row r="156" spans="18:21" x14ac:dyDescent="0.25">
      <c r="S156" s="605">
        <f>J97</f>
        <v>16809859.699999999</v>
      </c>
      <c r="T156" s="31">
        <f t="shared" si="12"/>
        <v>16810</v>
      </c>
      <c r="U156" t="e">
        <f>#REF!</f>
        <v>#REF!</v>
      </c>
    </row>
    <row r="157" spans="18:21" x14ac:dyDescent="0.25">
      <c r="S157" s="605">
        <f>S117+S118+S127</f>
        <v>2803229.0100000002</v>
      </c>
      <c r="T157" s="31">
        <f t="shared" si="12"/>
        <v>2803</v>
      </c>
      <c r="U157" t="e">
        <f>#REF!</f>
        <v>#REF!</v>
      </c>
    </row>
    <row r="158" spans="18:21" x14ac:dyDescent="0.25">
      <c r="S158" s="64">
        <f>SUM(S148:S157)</f>
        <v>256080994.86999995</v>
      </c>
      <c r="T158" s="64">
        <f>SUM(T148:T157)</f>
        <v>256081</v>
      </c>
    </row>
    <row r="159" spans="18:21" x14ac:dyDescent="0.25">
      <c r="T159" s="43">
        <f>T147-T158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ECD4-908C-4100-8DD9-B048A96A315F}">
  <dimension ref="A1:M57"/>
  <sheetViews>
    <sheetView workbookViewId="0">
      <selection activeCell="L6" sqref="L6"/>
    </sheetView>
  </sheetViews>
  <sheetFormatPr defaultRowHeight="15" x14ac:dyDescent="0.25"/>
  <cols>
    <col min="1" max="1" width="30.28515625" customWidth="1"/>
    <col min="2" max="2" width="21.42578125" customWidth="1"/>
    <col min="3" max="5" width="12.42578125" bestFit="1" customWidth="1"/>
    <col min="6" max="6" width="10" bestFit="1" customWidth="1"/>
    <col min="7" max="8" width="10.85546875" bestFit="1" customWidth="1"/>
    <col min="10" max="10" width="10.85546875" bestFit="1" customWidth="1"/>
    <col min="11" max="11" width="11.42578125" bestFit="1" customWidth="1"/>
    <col min="12" max="12" width="10" bestFit="1" customWidth="1"/>
  </cols>
  <sheetData>
    <row r="1" spans="1:12" x14ac:dyDescent="0.25">
      <c r="A1" s="536" t="s">
        <v>265</v>
      </c>
      <c r="B1" s="537" t="s">
        <v>469</v>
      </c>
      <c r="C1" s="538">
        <v>13319841.98</v>
      </c>
      <c r="D1" s="539"/>
      <c r="E1" s="538">
        <v>796658.93</v>
      </c>
      <c r="F1" s="538">
        <v>3702884.75</v>
      </c>
      <c r="G1" s="538">
        <v>10413616.16</v>
      </c>
      <c r="H1" s="539"/>
    </row>
    <row r="2" spans="1:12" x14ac:dyDescent="0.25">
      <c r="A2" s="540" t="s">
        <v>266</v>
      </c>
      <c r="B2" s="541" t="s">
        <v>469</v>
      </c>
      <c r="C2" s="542">
        <v>68465220.129999995</v>
      </c>
      <c r="D2" s="543"/>
      <c r="E2" s="542">
        <v>796658.93</v>
      </c>
      <c r="F2" s="543"/>
      <c r="G2" s="542">
        <v>69261879.060000002</v>
      </c>
      <c r="H2" s="543"/>
    </row>
    <row r="3" spans="1:12" ht="22.5" x14ac:dyDescent="0.25">
      <c r="A3" s="547" t="s">
        <v>483</v>
      </c>
      <c r="B3" s="541" t="s">
        <v>469</v>
      </c>
      <c r="C3" s="542">
        <v>68465220.129999995</v>
      </c>
      <c r="D3" s="543"/>
      <c r="E3" s="542">
        <v>796658.93</v>
      </c>
      <c r="F3" s="543"/>
      <c r="G3" s="542">
        <v>69261879.060000002</v>
      </c>
      <c r="H3" s="543"/>
    </row>
    <row r="4" spans="1:12" ht="22.5" x14ac:dyDescent="0.25">
      <c r="A4" s="606" t="s">
        <v>484</v>
      </c>
      <c r="B4" s="541" t="s">
        <v>469</v>
      </c>
      <c r="C4" s="542">
        <v>32707970.100000001</v>
      </c>
      <c r="D4" s="543"/>
      <c r="E4" s="542">
        <v>631788.39</v>
      </c>
      <c r="F4" s="543"/>
      <c r="G4" s="542">
        <v>33339758.489999998</v>
      </c>
      <c r="H4" s="543"/>
    </row>
    <row r="5" spans="1:12" x14ac:dyDescent="0.25">
      <c r="A5" s="606" t="s">
        <v>485</v>
      </c>
      <c r="B5" s="541" t="s">
        <v>469</v>
      </c>
      <c r="C5" s="542">
        <v>35757250.030000001</v>
      </c>
      <c r="D5" s="543"/>
      <c r="E5" s="542">
        <v>164870.54</v>
      </c>
      <c r="F5" s="543"/>
      <c r="G5" s="542">
        <v>35922120.57</v>
      </c>
      <c r="H5" s="543"/>
    </row>
    <row r="6" spans="1:12" ht="22.5" x14ac:dyDescent="0.25">
      <c r="A6" s="540" t="s">
        <v>270</v>
      </c>
      <c r="B6" s="541" t="s">
        <v>469</v>
      </c>
      <c r="C6" s="543"/>
      <c r="D6" s="542">
        <v>55145378.149999999</v>
      </c>
      <c r="E6" s="543"/>
      <c r="F6" s="542">
        <v>3702884.75</v>
      </c>
      <c r="G6" s="543"/>
      <c r="H6" s="542">
        <v>58848262.899999999</v>
      </c>
      <c r="K6" s="43">
        <f>F6+F13</f>
        <v>4103403.59</v>
      </c>
      <c r="L6" s="31">
        <f>ROUND(K6/1000,0)</f>
        <v>4103</v>
      </c>
    </row>
    <row r="7" spans="1:12" ht="22.5" x14ac:dyDescent="0.25">
      <c r="A7" s="547" t="s">
        <v>486</v>
      </c>
      <c r="B7" s="541" t="s">
        <v>469</v>
      </c>
      <c r="C7" s="543"/>
      <c r="D7" s="542">
        <v>24828330.780000001</v>
      </c>
      <c r="E7" s="543"/>
      <c r="F7" s="542">
        <v>2762009.25</v>
      </c>
      <c r="G7" s="543"/>
      <c r="H7" s="542">
        <v>27590340.030000001</v>
      </c>
    </row>
    <row r="8" spans="1:12" ht="22.5" x14ac:dyDescent="0.25">
      <c r="A8" s="547" t="s">
        <v>487</v>
      </c>
      <c r="B8" s="541" t="s">
        <v>469</v>
      </c>
      <c r="C8" s="543"/>
      <c r="D8" s="542">
        <v>30317047.370000001</v>
      </c>
      <c r="E8" s="543"/>
      <c r="F8" s="542">
        <v>940875.5</v>
      </c>
      <c r="G8" s="543"/>
      <c r="H8" s="542">
        <v>31257922.870000001</v>
      </c>
    </row>
    <row r="9" spans="1:12" x14ac:dyDescent="0.25">
      <c r="A9" s="536" t="s">
        <v>274</v>
      </c>
      <c r="B9" s="537" t="s">
        <v>469</v>
      </c>
      <c r="C9" s="538">
        <v>4342371.91</v>
      </c>
      <c r="D9" s="539"/>
      <c r="E9" s="538">
        <v>112320</v>
      </c>
      <c r="F9" s="538">
        <v>400518.84</v>
      </c>
      <c r="G9" s="538">
        <v>4054173.07</v>
      </c>
      <c r="H9" s="539"/>
    </row>
    <row r="10" spans="1:12" ht="22.5" x14ac:dyDescent="0.25">
      <c r="A10" s="540" t="s">
        <v>275</v>
      </c>
      <c r="B10" s="541" t="s">
        <v>469</v>
      </c>
      <c r="C10" s="542">
        <v>23547640.149999999</v>
      </c>
      <c r="D10" s="543"/>
      <c r="E10" s="542">
        <v>112320</v>
      </c>
      <c r="F10" s="543"/>
      <c r="G10" s="542">
        <v>23659960.149999999</v>
      </c>
      <c r="H10" s="543"/>
    </row>
    <row r="11" spans="1:12" ht="22.5" x14ac:dyDescent="0.25">
      <c r="A11" s="547" t="s">
        <v>488</v>
      </c>
      <c r="B11" s="541" t="s">
        <v>469</v>
      </c>
      <c r="C11" s="542">
        <v>7367315.2599999998</v>
      </c>
      <c r="D11" s="543"/>
      <c r="E11" s="543"/>
      <c r="F11" s="543"/>
      <c r="G11" s="542">
        <v>7367315.2599999998</v>
      </c>
      <c r="H11" s="543"/>
    </row>
    <row r="12" spans="1:12" ht="22.5" x14ac:dyDescent="0.25">
      <c r="A12" s="547" t="s">
        <v>489</v>
      </c>
      <c r="B12" s="541" t="s">
        <v>469</v>
      </c>
      <c r="C12" s="542">
        <v>16180324.890000001</v>
      </c>
      <c r="D12" s="543"/>
      <c r="E12" s="542">
        <v>112320</v>
      </c>
      <c r="F12" s="543"/>
      <c r="G12" s="542">
        <v>16292644.890000001</v>
      </c>
      <c r="H12" s="543"/>
    </row>
    <row r="13" spans="1:12" ht="22.5" x14ac:dyDescent="0.25">
      <c r="A13" s="540" t="s">
        <v>278</v>
      </c>
      <c r="B13" s="541" t="s">
        <v>469</v>
      </c>
      <c r="C13" s="543"/>
      <c r="D13" s="542">
        <v>19205268.239999998</v>
      </c>
      <c r="E13" s="543"/>
      <c r="F13" s="542">
        <v>400518.84</v>
      </c>
      <c r="G13" s="543"/>
      <c r="H13" s="542">
        <v>19605787.079999998</v>
      </c>
    </row>
    <row r="14" spans="1:12" ht="33.75" x14ac:dyDescent="0.25">
      <c r="A14" s="547" t="s">
        <v>490</v>
      </c>
      <c r="B14" s="541" t="s">
        <v>469</v>
      </c>
      <c r="C14" s="543"/>
      <c r="D14" s="542">
        <v>7367315.2599999998</v>
      </c>
      <c r="E14" s="543"/>
      <c r="F14" s="543"/>
      <c r="G14" s="543"/>
      <c r="H14" s="542">
        <v>7367315.2599999998</v>
      </c>
    </row>
    <row r="15" spans="1:12" ht="33.75" x14ac:dyDescent="0.25">
      <c r="A15" s="547" t="s">
        <v>491</v>
      </c>
      <c r="B15" s="541" t="s">
        <v>469</v>
      </c>
      <c r="C15" s="543"/>
      <c r="D15" s="542">
        <v>11837952.98</v>
      </c>
      <c r="E15" s="543"/>
      <c r="F15" s="542">
        <v>400518.84</v>
      </c>
      <c r="G15" s="543"/>
      <c r="H15" s="542">
        <v>12238471.82</v>
      </c>
    </row>
    <row r="18" spans="1:13" x14ac:dyDescent="0.25">
      <c r="A18" t="str">
        <f>A1</f>
        <v>2400, Основные средства</v>
      </c>
      <c r="C18" s="43">
        <f>C2</f>
        <v>68465220.129999995</v>
      </c>
      <c r="D18" s="43">
        <f>D6</f>
        <v>55145378.149999999</v>
      </c>
      <c r="E18" s="43">
        <f>C18-D18</f>
        <v>13319841.979999997</v>
      </c>
    </row>
    <row r="19" spans="1:13" x14ac:dyDescent="0.25">
      <c r="A19" t="str">
        <f>A9</f>
        <v>2700, Нематериальные активы</v>
      </c>
      <c r="C19" s="43">
        <f>C10</f>
        <v>23547640.149999999</v>
      </c>
      <c r="D19" s="43">
        <f>D13</f>
        <v>19205268.239999998</v>
      </c>
      <c r="E19" s="43">
        <f>C19-D19</f>
        <v>4342371.91</v>
      </c>
    </row>
    <row r="20" spans="1:13" x14ac:dyDescent="0.25">
      <c r="C20" s="43">
        <f>C18+C19</f>
        <v>92012860.280000001</v>
      </c>
      <c r="D20" s="43">
        <f>D18+D19</f>
        <v>74350646.390000001</v>
      </c>
      <c r="E20" s="43">
        <f>E18+E19</f>
        <v>17662213.889999997</v>
      </c>
    </row>
    <row r="21" spans="1:13" x14ac:dyDescent="0.25">
      <c r="C21" s="31">
        <f>ROUND(C20/1000,0)</f>
        <v>92013</v>
      </c>
      <c r="D21" s="31">
        <f t="shared" ref="D21:E21" si="0">ROUND(D20/1000,0)</f>
        <v>74351</v>
      </c>
      <c r="E21" s="31">
        <f t="shared" si="0"/>
        <v>17662</v>
      </c>
    </row>
    <row r="23" spans="1:13" x14ac:dyDescent="0.25">
      <c r="A23" s="607" t="s">
        <v>137</v>
      </c>
      <c r="B23" s="607" t="s">
        <v>138</v>
      </c>
      <c r="C23" s="607" t="s">
        <v>139</v>
      </c>
      <c r="D23" s="607" t="s">
        <v>140</v>
      </c>
      <c r="H23" s="624" t="s">
        <v>137</v>
      </c>
      <c r="I23" s="624" t="s">
        <v>138</v>
      </c>
      <c r="J23" s="624" t="s">
        <v>139</v>
      </c>
      <c r="K23" s="624" t="s">
        <v>140</v>
      </c>
    </row>
    <row r="24" spans="1:13" ht="22.5" x14ac:dyDescent="0.25">
      <c r="A24" s="608" t="s">
        <v>779</v>
      </c>
      <c r="B24" s="609" t="s">
        <v>141</v>
      </c>
      <c r="C24" s="610">
        <v>13319841.98</v>
      </c>
      <c r="D24" s="611"/>
      <c r="H24" s="625" t="s">
        <v>787</v>
      </c>
      <c r="I24" s="626" t="s">
        <v>141</v>
      </c>
      <c r="J24" s="627">
        <v>4342371.91</v>
      </c>
      <c r="K24" s="628"/>
    </row>
    <row r="25" spans="1:13" ht="18" customHeight="1" x14ac:dyDescent="0.25">
      <c r="A25" s="612" t="s">
        <v>780</v>
      </c>
      <c r="B25" s="613" t="s">
        <v>141</v>
      </c>
      <c r="C25" s="610">
        <v>68465220.129999995</v>
      </c>
      <c r="D25" s="611"/>
      <c r="H25" s="629" t="s">
        <v>788</v>
      </c>
      <c r="I25" s="630" t="s">
        <v>141</v>
      </c>
      <c r="J25" s="627">
        <v>23547640.149999999</v>
      </c>
      <c r="K25" s="628"/>
    </row>
    <row r="26" spans="1:13" ht="18" customHeight="1" x14ac:dyDescent="0.25">
      <c r="A26" s="614" t="s">
        <v>781</v>
      </c>
      <c r="B26" s="615" t="s">
        <v>141</v>
      </c>
      <c r="C26" s="610">
        <v>68465220.129999995</v>
      </c>
      <c r="D26" s="611"/>
      <c r="H26" s="631" t="s">
        <v>789</v>
      </c>
      <c r="I26" s="632" t="s">
        <v>141</v>
      </c>
      <c r="J26" s="627">
        <v>7367315.2599999998</v>
      </c>
      <c r="K26" s="628"/>
    </row>
    <row r="27" spans="1:13" ht="18" customHeight="1" x14ac:dyDescent="0.25">
      <c r="A27" s="616" t="s">
        <v>782</v>
      </c>
      <c r="B27" s="617" t="s">
        <v>141</v>
      </c>
      <c r="C27" s="610">
        <v>32707970.100000001</v>
      </c>
      <c r="D27" s="611"/>
      <c r="H27" s="631"/>
      <c r="I27" s="632" t="s">
        <v>142</v>
      </c>
      <c r="J27" s="626"/>
      <c r="K27" s="626"/>
    </row>
    <row r="28" spans="1:13" ht="56.25" x14ac:dyDescent="0.25">
      <c r="A28" s="618"/>
      <c r="B28" s="619" t="s">
        <v>538</v>
      </c>
      <c r="C28" s="620">
        <v>631788.39</v>
      </c>
      <c r="D28" s="621"/>
      <c r="E28" s="31">
        <f>C28+C33</f>
        <v>796658.93</v>
      </c>
      <c r="F28" s="31">
        <f>ROUND(E28/1000,0)</f>
        <v>797</v>
      </c>
      <c r="H28" s="631"/>
      <c r="I28" s="632" t="s">
        <v>143</v>
      </c>
      <c r="J28" s="627">
        <v>7367315.2599999998</v>
      </c>
      <c r="K28" s="628"/>
    </row>
    <row r="29" spans="1:13" ht="56.25" x14ac:dyDescent="0.25">
      <c r="A29" s="622"/>
      <c r="B29" s="619" t="s">
        <v>539</v>
      </c>
      <c r="C29" s="620">
        <v>631788.39</v>
      </c>
      <c r="D29" s="621"/>
      <c r="H29" s="631" t="s">
        <v>790</v>
      </c>
      <c r="I29" s="632" t="s">
        <v>141</v>
      </c>
      <c r="J29" s="627">
        <v>16180324.890000001</v>
      </c>
      <c r="K29" s="628"/>
    </row>
    <row r="30" spans="1:13" ht="14.25" customHeight="1" x14ac:dyDescent="0.25">
      <c r="A30" s="616"/>
      <c r="B30" s="617" t="s">
        <v>142</v>
      </c>
      <c r="C30" s="610">
        <v>631788.39</v>
      </c>
      <c r="D30" s="611"/>
      <c r="H30" s="633"/>
      <c r="I30" s="634" t="s">
        <v>538</v>
      </c>
      <c r="J30" s="635">
        <v>112320</v>
      </c>
      <c r="K30" s="636"/>
      <c r="L30" s="31">
        <f>J30</f>
        <v>112320</v>
      </c>
      <c r="M30" s="31">
        <f>ROUND(L30/1000,0)</f>
        <v>112</v>
      </c>
    </row>
    <row r="31" spans="1:13" ht="14.25" customHeight="1" x14ac:dyDescent="0.25">
      <c r="A31" s="616"/>
      <c r="B31" s="617" t="s">
        <v>143</v>
      </c>
      <c r="C31" s="610">
        <v>33339758.489999998</v>
      </c>
      <c r="D31" s="611"/>
      <c r="H31" s="637"/>
      <c r="I31" s="634" t="s">
        <v>539</v>
      </c>
      <c r="J31" s="635">
        <v>112320</v>
      </c>
      <c r="K31" s="636"/>
    </row>
    <row r="32" spans="1:13" ht="14.25" customHeight="1" x14ac:dyDescent="0.25">
      <c r="A32" s="616" t="s">
        <v>783</v>
      </c>
      <c r="B32" s="617" t="s">
        <v>141</v>
      </c>
      <c r="C32" s="610">
        <v>35757250.030000001</v>
      </c>
      <c r="D32" s="611"/>
      <c r="H32" s="631"/>
      <c r="I32" s="632" t="s">
        <v>142</v>
      </c>
      <c r="J32" s="627">
        <v>112320</v>
      </c>
      <c r="K32" s="628"/>
    </row>
    <row r="33" spans="1:11" ht="14.25" customHeight="1" x14ac:dyDescent="0.25">
      <c r="A33" s="618"/>
      <c r="B33" s="619" t="s">
        <v>538</v>
      </c>
      <c r="C33" s="620">
        <v>164870.54</v>
      </c>
      <c r="D33" s="621"/>
      <c r="H33" s="631"/>
      <c r="I33" s="632" t="s">
        <v>143</v>
      </c>
      <c r="J33" s="627">
        <v>16292644.890000001</v>
      </c>
      <c r="K33" s="628"/>
    </row>
    <row r="34" spans="1:11" ht="14.25" customHeight="1" x14ac:dyDescent="0.25">
      <c r="A34" s="622"/>
      <c r="B34" s="619" t="s">
        <v>539</v>
      </c>
      <c r="C34" s="620">
        <v>164870.54</v>
      </c>
      <c r="D34" s="621"/>
      <c r="H34" s="629"/>
      <c r="I34" s="630" t="s">
        <v>142</v>
      </c>
      <c r="J34" s="627">
        <v>112320</v>
      </c>
      <c r="K34" s="628"/>
    </row>
    <row r="35" spans="1:11" ht="14.25" customHeight="1" x14ac:dyDescent="0.25">
      <c r="A35" s="616"/>
      <c r="B35" s="617" t="s">
        <v>142</v>
      </c>
      <c r="C35" s="610">
        <v>164870.54</v>
      </c>
      <c r="D35" s="611"/>
      <c r="H35" s="629"/>
      <c r="I35" s="630" t="s">
        <v>143</v>
      </c>
      <c r="J35" s="627">
        <v>23659960.149999999</v>
      </c>
      <c r="K35" s="628"/>
    </row>
    <row r="36" spans="1:11" ht="14.25" customHeight="1" x14ac:dyDescent="0.25">
      <c r="A36" s="616"/>
      <c r="B36" s="617" t="s">
        <v>143</v>
      </c>
      <c r="C36" s="610">
        <v>35922120.57</v>
      </c>
      <c r="D36" s="611"/>
      <c r="H36" s="629" t="s">
        <v>791</v>
      </c>
      <c r="I36" s="630" t="s">
        <v>141</v>
      </c>
      <c r="J36" s="628"/>
      <c r="K36" s="627">
        <v>19205268.239999998</v>
      </c>
    </row>
    <row r="37" spans="1:11" ht="14.25" customHeight="1" x14ac:dyDescent="0.25">
      <c r="A37" s="614"/>
      <c r="B37" s="615" t="s">
        <v>142</v>
      </c>
      <c r="C37" s="610">
        <v>796658.93</v>
      </c>
      <c r="D37" s="611"/>
      <c r="H37" s="631" t="s">
        <v>792</v>
      </c>
      <c r="I37" s="632" t="s">
        <v>141</v>
      </c>
      <c r="J37" s="628"/>
      <c r="K37" s="627">
        <v>7367315.2599999998</v>
      </c>
    </row>
    <row r="38" spans="1:11" ht="14.25" customHeight="1" x14ac:dyDescent="0.25">
      <c r="A38" s="614"/>
      <c r="B38" s="615" t="s">
        <v>143</v>
      </c>
      <c r="C38" s="610">
        <v>69261879.060000002</v>
      </c>
      <c r="D38" s="611"/>
      <c r="H38" s="631"/>
      <c r="I38" s="632" t="s">
        <v>142</v>
      </c>
      <c r="J38" s="626"/>
      <c r="K38" s="626"/>
    </row>
    <row r="39" spans="1:11" ht="14.25" customHeight="1" x14ac:dyDescent="0.25">
      <c r="A39" s="612"/>
      <c r="B39" s="613" t="s">
        <v>142</v>
      </c>
      <c r="C39" s="610">
        <v>796658.93</v>
      </c>
      <c r="D39" s="611"/>
      <c r="H39" s="631"/>
      <c r="I39" s="632" t="s">
        <v>143</v>
      </c>
      <c r="J39" s="628"/>
      <c r="K39" s="627">
        <v>7367315.2599999998</v>
      </c>
    </row>
    <row r="40" spans="1:11" ht="14.25" customHeight="1" x14ac:dyDescent="0.25">
      <c r="A40" s="612"/>
      <c r="B40" s="613" t="s">
        <v>143</v>
      </c>
      <c r="C40" s="610">
        <v>69261879.060000002</v>
      </c>
      <c r="D40" s="611"/>
      <c r="H40" s="631" t="s">
        <v>793</v>
      </c>
      <c r="I40" s="632" t="s">
        <v>141</v>
      </c>
      <c r="J40" s="628"/>
      <c r="K40" s="627">
        <v>11837952.98</v>
      </c>
    </row>
    <row r="41" spans="1:11" ht="14.25" customHeight="1" x14ac:dyDescent="0.25">
      <c r="A41" s="612" t="s">
        <v>784</v>
      </c>
      <c r="B41" s="613" t="s">
        <v>141</v>
      </c>
      <c r="C41" s="611"/>
      <c r="D41" s="610">
        <v>55145378.149999999</v>
      </c>
      <c r="H41" s="633"/>
      <c r="I41" s="634" t="s">
        <v>510</v>
      </c>
      <c r="J41" s="636"/>
      <c r="K41" s="635">
        <v>400518.84</v>
      </c>
    </row>
    <row r="42" spans="1:11" ht="14.25" customHeight="1" x14ac:dyDescent="0.25">
      <c r="A42" s="614" t="s">
        <v>785</v>
      </c>
      <c r="B42" s="615" t="s">
        <v>141</v>
      </c>
      <c r="C42" s="611"/>
      <c r="D42" s="610">
        <v>24828330.780000001</v>
      </c>
      <c r="H42" s="637"/>
      <c r="I42" s="634" t="s">
        <v>511</v>
      </c>
      <c r="J42" s="636"/>
      <c r="K42" s="635">
        <v>400518.84</v>
      </c>
    </row>
    <row r="43" spans="1:11" ht="14.25" customHeight="1" x14ac:dyDescent="0.25">
      <c r="A43" s="623"/>
      <c r="B43" s="619" t="s">
        <v>510</v>
      </c>
      <c r="C43" s="621"/>
      <c r="D43" s="620">
        <v>2762009.25</v>
      </c>
      <c r="H43" s="638"/>
      <c r="I43" s="634" t="s">
        <v>512</v>
      </c>
      <c r="J43" s="636"/>
      <c r="K43" s="635">
        <v>400518.84</v>
      </c>
    </row>
    <row r="44" spans="1:11" ht="14.25" customHeight="1" x14ac:dyDescent="0.25">
      <c r="A44" s="618"/>
      <c r="B44" s="619" t="s">
        <v>511</v>
      </c>
      <c r="C44" s="621"/>
      <c r="D44" s="620">
        <v>2762009.25</v>
      </c>
      <c r="H44" s="631"/>
      <c r="I44" s="632" t="s">
        <v>142</v>
      </c>
      <c r="J44" s="628"/>
      <c r="K44" s="627">
        <v>400518.84</v>
      </c>
    </row>
    <row r="45" spans="1:11" ht="14.25" customHeight="1" x14ac:dyDescent="0.25">
      <c r="A45" s="622"/>
      <c r="B45" s="619" t="s">
        <v>512</v>
      </c>
      <c r="C45" s="621"/>
      <c r="D45" s="620">
        <v>2762009.25</v>
      </c>
      <c r="H45" s="631"/>
      <c r="I45" s="632" t="s">
        <v>143</v>
      </c>
      <c r="J45" s="628"/>
      <c r="K45" s="627">
        <v>12238471.82</v>
      </c>
    </row>
    <row r="46" spans="1:11" ht="14.25" customHeight="1" x14ac:dyDescent="0.25">
      <c r="A46" s="614"/>
      <c r="B46" s="615" t="s">
        <v>142</v>
      </c>
      <c r="C46" s="611"/>
      <c r="D46" s="610">
        <v>2762009.25</v>
      </c>
      <c r="H46" s="629"/>
      <c r="I46" s="630" t="s">
        <v>142</v>
      </c>
      <c r="J46" s="628"/>
      <c r="K46" s="627">
        <v>400518.84</v>
      </c>
    </row>
    <row r="47" spans="1:11" ht="14.25" customHeight="1" x14ac:dyDescent="0.25">
      <c r="A47" s="614"/>
      <c r="B47" s="615" t="s">
        <v>143</v>
      </c>
      <c r="C47" s="611"/>
      <c r="D47" s="610">
        <v>27590340.030000001</v>
      </c>
      <c r="H47" s="629"/>
      <c r="I47" s="630" t="s">
        <v>143</v>
      </c>
      <c r="J47" s="628"/>
      <c r="K47" s="627">
        <v>19605787.079999998</v>
      </c>
    </row>
    <row r="48" spans="1:11" ht="14.25" customHeight="1" x14ac:dyDescent="0.25">
      <c r="A48" s="614" t="s">
        <v>786</v>
      </c>
      <c r="B48" s="615" t="s">
        <v>141</v>
      </c>
      <c r="C48" s="611"/>
      <c r="D48" s="610">
        <v>30317047.370000001</v>
      </c>
      <c r="H48" s="625"/>
      <c r="I48" s="626" t="s">
        <v>142</v>
      </c>
      <c r="J48" s="627">
        <v>112320</v>
      </c>
      <c r="K48" s="627">
        <v>400518.84</v>
      </c>
    </row>
    <row r="49" spans="1:11" ht="14.25" customHeight="1" x14ac:dyDescent="0.25">
      <c r="A49" s="623"/>
      <c r="B49" s="619" t="s">
        <v>510</v>
      </c>
      <c r="C49" s="621"/>
      <c r="D49" s="620">
        <v>940875.5</v>
      </c>
      <c r="H49" s="625"/>
      <c r="I49" s="626" t="s">
        <v>143</v>
      </c>
      <c r="J49" s="627">
        <v>4054173.07</v>
      </c>
      <c r="K49" s="628"/>
    </row>
    <row r="50" spans="1:11" ht="14.25" customHeight="1" x14ac:dyDescent="0.25">
      <c r="A50" s="618"/>
      <c r="B50" s="619" t="s">
        <v>511</v>
      </c>
      <c r="C50" s="621"/>
      <c r="D50" s="620">
        <v>940875.5</v>
      </c>
      <c r="H50" s="165"/>
      <c r="I50" s="165"/>
      <c r="J50" s="165"/>
      <c r="K50" s="165"/>
    </row>
    <row r="51" spans="1:11" ht="14.25" customHeight="1" x14ac:dyDescent="0.25">
      <c r="A51" s="622"/>
      <c r="B51" s="619" t="s">
        <v>512</v>
      </c>
      <c r="C51" s="621"/>
      <c r="D51" s="620">
        <v>940875.5</v>
      </c>
      <c r="H51" s="165"/>
      <c r="I51" s="165"/>
      <c r="J51" s="165"/>
      <c r="K51" s="165"/>
    </row>
    <row r="52" spans="1:11" ht="14.25" customHeight="1" x14ac:dyDescent="0.25">
      <c r="A52" s="614"/>
      <c r="B52" s="615" t="s">
        <v>142</v>
      </c>
      <c r="C52" s="611"/>
      <c r="D52" s="610">
        <v>940875.5</v>
      </c>
    </row>
    <row r="53" spans="1:11" ht="14.25" customHeight="1" x14ac:dyDescent="0.25">
      <c r="A53" s="614"/>
      <c r="B53" s="615" t="s">
        <v>143</v>
      </c>
      <c r="C53" s="611"/>
      <c r="D53" s="610">
        <v>31257922.870000001</v>
      </c>
    </row>
    <row r="54" spans="1:11" ht="14.25" customHeight="1" x14ac:dyDescent="0.25">
      <c r="A54" s="612"/>
      <c r="B54" s="613" t="s">
        <v>142</v>
      </c>
      <c r="C54" s="611"/>
      <c r="D54" s="610">
        <v>3702884.75</v>
      </c>
    </row>
    <row r="55" spans="1:11" ht="14.25" customHeight="1" x14ac:dyDescent="0.25">
      <c r="A55" s="612"/>
      <c r="B55" s="613" t="s">
        <v>143</v>
      </c>
      <c r="C55" s="611"/>
      <c r="D55" s="610">
        <v>58848262.899999999</v>
      </c>
    </row>
    <row r="56" spans="1:11" ht="14.25" customHeight="1" x14ac:dyDescent="0.25">
      <c r="A56" s="608"/>
      <c r="B56" s="609" t="s">
        <v>142</v>
      </c>
      <c r="C56" s="610">
        <v>796658.93</v>
      </c>
      <c r="D56" s="610">
        <v>3702884.75</v>
      </c>
    </row>
    <row r="57" spans="1:11" ht="14.25" customHeight="1" x14ac:dyDescent="0.25">
      <c r="A57" s="608"/>
      <c r="B57" s="609" t="s">
        <v>143</v>
      </c>
      <c r="C57" s="610">
        <v>10413616.16</v>
      </c>
      <c r="D57" s="6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B838-2A0A-42C9-BD37-43E7D6DFB9B7}">
  <dimension ref="A1:T44"/>
  <sheetViews>
    <sheetView workbookViewId="0">
      <selection activeCell="L16" sqref="L16"/>
    </sheetView>
  </sheetViews>
  <sheetFormatPr defaultRowHeight="15" x14ac:dyDescent="0.25"/>
  <cols>
    <col min="1" max="2" width="9.140625" style="61"/>
    <col min="3" max="4" width="11.7109375" style="61" bestFit="1" customWidth="1"/>
    <col min="5" max="5" width="9.140625" style="61"/>
    <col min="10" max="10" width="11.7109375" bestFit="1" customWidth="1"/>
    <col min="11" max="11" width="10.85546875" bestFit="1" customWidth="1"/>
    <col min="13" max="13" width="10.7109375" bestFit="1" customWidth="1"/>
    <col min="17" max="17" width="58.140625" style="61" customWidth="1"/>
    <col min="18" max="18" width="10.85546875" style="61" bestFit="1" customWidth="1"/>
    <col min="19" max="20" width="9.140625" style="61"/>
  </cols>
  <sheetData>
    <row r="1" spans="1:19" x14ac:dyDescent="0.25">
      <c r="A1" s="428" t="s">
        <v>137</v>
      </c>
      <c r="B1" s="428" t="s">
        <v>138</v>
      </c>
      <c r="C1" s="428" t="s">
        <v>139</v>
      </c>
      <c r="D1" s="428" t="s">
        <v>140</v>
      </c>
      <c r="H1" s="440" t="s">
        <v>137</v>
      </c>
      <c r="I1" s="440" t="s">
        <v>138</v>
      </c>
      <c r="J1" s="440" t="s">
        <v>139</v>
      </c>
      <c r="K1" s="440" t="s">
        <v>140</v>
      </c>
      <c r="Q1" s="464" t="s">
        <v>592</v>
      </c>
      <c r="R1" s="466">
        <v>22629862.199999999</v>
      </c>
      <c r="S1" s="31">
        <f>ROUND(R1/1000,0)</f>
        <v>22630</v>
      </c>
    </row>
    <row r="2" spans="1:19" ht="22.5" x14ac:dyDescent="0.25">
      <c r="A2" s="429" t="s">
        <v>496</v>
      </c>
      <c r="B2" s="430" t="s">
        <v>141</v>
      </c>
      <c r="C2" s="431"/>
      <c r="D2" s="431"/>
      <c r="H2" s="441" t="s">
        <v>496</v>
      </c>
      <c r="I2" s="442" t="s">
        <v>141</v>
      </c>
      <c r="J2" s="443"/>
      <c r="K2" s="443"/>
      <c r="Q2" s="465" t="s">
        <v>753</v>
      </c>
      <c r="R2" s="467">
        <v>1629862.2</v>
      </c>
      <c r="S2" s="31">
        <f>ROUND(R2/1000,0)</f>
        <v>1630</v>
      </c>
    </row>
    <row r="3" spans="1:19" x14ac:dyDescent="0.25">
      <c r="A3" s="432"/>
      <c r="B3" s="433" t="s">
        <v>497</v>
      </c>
      <c r="C3" s="434">
        <v>31133026.440000001</v>
      </c>
      <c r="D3" s="435"/>
      <c r="E3" s="31">
        <f>ROUND(C3/1000,0)</f>
        <v>31133</v>
      </c>
      <c r="H3" s="444"/>
      <c r="I3" s="445" t="s">
        <v>497</v>
      </c>
      <c r="J3" s="446">
        <v>-88115327.189999998</v>
      </c>
      <c r="K3" s="447"/>
      <c r="L3" s="31">
        <f>ROUND(J3/1000,0)</f>
        <v>-88115</v>
      </c>
      <c r="Q3" s="465" t="s">
        <v>754</v>
      </c>
      <c r="R3" s="467">
        <v>21000000</v>
      </c>
      <c r="S3" s="31">
        <f>ROUND(R3/1000,0)</f>
        <v>21000</v>
      </c>
    </row>
    <row r="4" spans="1:19" x14ac:dyDescent="0.25">
      <c r="A4" s="436"/>
      <c r="B4" s="433" t="s">
        <v>498</v>
      </c>
      <c r="C4" s="434">
        <v>31133026.440000001</v>
      </c>
      <c r="D4" s="435"/>
      <c r="H4" s="448"/>
      <c r="I4" s="445" t="s">
        <v>498</v>
      </c>
      <c r="J4" s="446">
        <v>-88115327.189999998</v>
      </c>
      <c r="K4" s="447"/>
    </row>
    <row r="5" spans="1:19" x14ac:dyDescent="0.25">
      <c r="A5" s="432"/>
      <c r="B5" s="433" t="s">
        <v>499</v>
      </c>
      <c r="C5" s="435"/>
      <c r="D5" s="434">
        <v>154411893.78</v>
      </c>
      <c r="E5" s="31">
        <f>ROUND(D5/1000,0)</f>
        <v>154412</v>
      </c>
      <c r="H5" s="444"/>
      <c r="I5" s="445" t="s">
        <v>499</v>
      </c>
      <c r="J5" s="447"/>
      <c r="K5" s="449">
        <v>51224214.659999996</v>
      </c>
      <c r="L5" s="31">
        <f>ROUND(K5/1000,0)</f>
        <v>51224</v>
      </c>
      <c r="Q5" s="464" t="s">
        <v>591</v>
      </c>
      <c r="R5" s="466">
        <v>11154005.630000001</v>
      </c>
      <c r="S5" s="31">
        <f>ROUND(R5/1000,0)</f>
        <v>11154</v>
      </c>
    </row>
    <row r="6" spans="1:19" x14ac:dyDescent="0.25">
      <c r="A6" s="436"/>
      <c r="B6" s="433" t="s">
        <v>500</v>
      </c>
      <c r="C6" s="435"/>
      <c r="D6" s="434">
        <v>34263045.18</v>
      </c>
      <c r="E6" s="31"/>
      <c r="H6" s="448"/>
      <c r="I6" s="445" t="s">
        <v>500</v>
      </c>
      <c r="J6" s="447"/>
      <c r="K6" s="449">
        <v>51024752.68</v>
      </c>
      <c r="Q6" s="465" t="s">
        <v>755</v>
      </c>
      <c r="R6" s="467">
        <v>11154005.630000001</v>
      </c>
      <c r="S6" s="31">
        <f>ROUND(R6/1000,0)</f>
        <v>11154</v>
      </c>
    </row>
    <row r="7" spans="1:19" x14ac:dyDescent="0.25">
      <c r="A7" s="437"/>
      <c r="B7" s="433" t="s">
        <v>501</v>
      </c>
      <c r="C7" s="435"/>
      <c r="D7" s="434">
        <v>479177.35</v>
      </c>
      <c r="E7" s="31">
        <f t="shared" ref="E7:E20" si="0">ROUND(D7/1000,0)</f>
        <v>479</v>
      </c>
      <c r="H7" s="450"/>
      <c r="I7" s="445" t="s">
        <v>501</v>
      </c>
      <c r="J7" s="447"/>
      <c r="K7" s="449">
        <v>850660.41</v>
      </c>
      <c r="L7" s="31">
        <f>ROUND(K7/1000,0)</f>
        <v>851</v>
      </c>
    </row>
    <row r="8" spans="1:19" x14ac:dyDescent="0.25">
      <c r="A8" s="437"/>
      <c r="B8" s="433" t="s">
        <v>502</v>
      </c>
      <c r="C8" s="435"/>
      <c r="D8" s="434">
        <v>33783867.829999998</v>
      </c>
      <c r="E8" s="31">
        <f t="shared" si="0"/>
        <v>33784</v>
      </c>
      <c r="H8" s="450"/>
      <c r="I8" s="445" t="s">
        <v>502</v>
      </c>
      <c r="J8" s="447"/>
      <c r="K8" s="449">
        <v>50174092.270000003</v>
      </c>
      <c r="L8" s="31">
        <f>ROUND(K8/1000,0)</f>
        <v>50174</v>
      </c>
    </row>
    <row r="9" spans="1:19" x14ac:dyDescent="0.25">
      <c r="A9" s="436"/>
      <c r="B9" s="433" t="s">
        <v>737</v>
      </c>
      <c r="C9" s="435"/>
      <c r="D9" s="434">
        <v>120148848.59999999</v>
      </c>
      <c r="E9" s="31"/>
      <c r="H9" s="448"/>
      <c r="I9" s="445" t="s">
        <v>503</v>
      </c>
      <c r="J9" s="447"/>
      <c r="K9" s="449">
        <v>199461.98</v>
      </c>
      <c r="L9" s="31">
        <f>ROUND(K9/1000,0)</f>
        <v>199</v>
      </c>
      <c r="Q9" s="464" t="s">
        <v>592</v>
      </c>
      <c r="R9" s="466">
        <v>35558174.5</v>
      </c>
      <c r="S9" s="466">
        <f>ROUND(R9/1000,0)</f>
        <v>35558</v>
      </c>
    </row>
    <row r="10" spans="1:19" x14ac:dyDescent="0.25">
      <c r="A10" s="437"/>
      <c r="B10" s="433" t="s">
        <v>738</v>
      </c>
      <c r="C10" s="435"/>
      <c r="D10" s="434">
        <v>120148848.59999999</v>
      </c>
      <c r="E10" s="31">
        <f>ROUND(D10/1000,0)</f>
        <v>120149</v>
      </c>
      <c r="F10" s="33">
        <f>E10+E7+E19</f>
        <v>121176</v>
      </c>
      <c r="H10" s="444"/>
      <c r="I10" s="445" t="s">
        <v>504</v>
      </c>
      <c r="J10" s="447"/>
      <c r="K10" s="449">
        <v>1777447.91</v>
      </c>
      <c r="Q10" s="465" t="s">
        <v>753</v>
      </c>
      <c r="R10" s="467">
        <v>9000000</v>
      </c>
      <c r="S10" s="31">
        <f t="shared" ref="S10:S14" si="1">ROUND(R10/1000,0)</f>
        <v>9000</v>
      </c>
    </row>
    <row r="11" spans="1:19" x14ac:dyDescent="0.25">
      <c r="A11" s="432"/>
      <c r="B11" s="433" t="s">
        <v>504</v>
      </c>
      <c r="C11" s="435"/>
      <c r="D11" s="434">
        <v>9314610.3499999996</v>
      </c>
      <c r="E11" s="31"/>
      <c r="H11" s="448"/>
      <c r="I11" s="533" t="s">
        <v>505</v>
      </c>
      <c r="J11" s="534"/>
      <c r="K11" s="532">
        <v>372190.53</v>
      </c>
      <c r="L11" s="31">
        <f>ROUND(K11/1000,0)</f>
        <v>372</v>
      </c>
      <c r="M11" s="43">
        <f>K11-J29</f>
        <v>-533689.67999999993</v>
      </c>
      <c r="Q11" s="465" t="s">
        <v>754</v>
      </c>
      <c r="R11" s="467">
        <v>26158174.5</v>
      </c>
      <c r="S11" s="31">
        <f t="shared" si="1"/>
        <v>26158</v>
      </c>
    </row>
    <row r="12" spans="1:19" x14ac:dyDescent="0.25">
      <c r="A12" s="471"/>
      <c r="B12" s="468" t="s">
        <v>505</v>
      </c>
      <c r="C12" s="470"/>
      <c r="D12" s="469">
        <v>14046.15</v>
      </c>
      <c r="E12" s="83">
        <f t="shared" si="0"/>
        <v>14</v>
      </c>
      <c r="G12" s="33">
        <f>E12-F32</f>
        <v>-18</v>
      </c>
      <c r="H12" s="450"/>
      <c r="I12" s="445" t="s">
        <v>533</v>
      </c>
      <c r="J12" s="447"/>
      <c r="K12" s="449">
        <v>1356.9</v>
      </c>
      <c r="M12" s="43">
        <f>K14-J27-J34</f>
        <v>-346133.35999999987</v>
      </c>
      <c r="O12" s="33">
        <f>L11-M29</f>
        <v>-534</v>
      </c>
      <c r="Q12" s="465" t="s">
        <v>756</v>
      </c>
      <c r="R12" s="467">
        <v>400000</v>
      </c>
      <c r="S12" s="31">
        <f t="shared" si="1"/>
        <v>400</v>
      </c>
    </row>
    <row r="13" spans="1:19" x14ac:dyDescent="0.25">
      <c r="A13" s="437"/>
      <c r="B13" s="433" t="s">
        <v>533</v>
      </c>
      <c r="C13" s="435"/>
      <c r="D13" s="438">
        <v>236.5</v>
      </c>
      <c r="E13" s="31"/>
      <c r="G13" s="33">
        <f>E18</f>
        <v>565</v>
      </c>
      <c r="H13" s="450"/>
      <c r="I13" s="445" t="s">
        <v>506</v>
      </c>
      <c r="J13" s="447"/>
      <c r="K13" s="449">
        <v>370833.63</v>
      </c>
      <c r="O13" s="33">
        <f>L9+L16</f>
        <v>497</v>
      </c>
      <c r="Q13" s="464" t="s">
        <v>591</v>
      </c>
      <c r="R13" s="466">
        <v>14615917.77</v>
      </c>
      <c r="S13" s="466">
        <f t="shared" si="1"/>
        <v>14616</v>
      </c>
    </row>
    <row r="14" spans="1:19" x14ac:dyDescent="0.25">
      <c r="A14" s="437"/>
      <c r="B14" s="433" t="s">
        <v>506</v>
      </c>
      <c r="C14" s="435"/>
      <c r="D14" s="434">
        <v>13809.65</v>
      </c>
      <c r="E14" s="31"/>
      <c r="G14" s="33">
        <f>SUM(G12:G13)</f>
        <v>547</v>
      </c>
      <c r="H14" s="448"/>
      <c r="I14" s="445" t="s">
        <v>507</v>
      </c>
      <c r="J14" s="447"/>
      <c r="K14" s="449">
        <v>1107357.02</v>
      </c>
      <c r="L14" s="31">
        <f>ROUND(K14/1000,0)</f>
        <v>1107</v>
      </c>
      <c r="O14" s="33">
        <f>L14-M27-M34</f>
        <v>-347</v>
      </c>
      <c r="Q14" s="465" t="s">
        <v>755</v>
      </c>
      <c r="R14" s="467">
        <v>14615917.77</v>
      </c>
      <c r="S14" s="31">
        <f t="shared" si="1"/>
        <v>14616</v>
      </c>
    </row>
    <row r="15" spans="1:19" x14ac:dyDescent="0.25">
      <c r="A15" s="436"/>
      <c r="B15" s="472" t="s">
        <v>507</v>
      </c>
      <c r="C15" s="473"/>
      <c r="D15" s="474">
        <v>8188067.7999999998</v>
      </c>
      <c r="E15" s="59">
        <f t="shared" si="0"/>
        <v>8188</v>
      </c>
      <c r="H15" s="450"/>
      <c r="I15" s="445" t="s">
        <v>508</v>
      </c>
      <c r="J15" s="447"/>
      <c r="K15" s="449">
        <v>1107357.02</v>
      </c>
    </row>
    <row r="16" spans="1:19" x14ac:dyDescent="0.25">
      <c r="A16" s="437"/>
      <c r="B16" s="433" t="s">
        <v>508</v>
      </c>
      <c r="C16" s="435"/>
      <c r="D16" s="434">
        <v>8188067.7999999998</v>
      </c>
      <c r="E16" s="31"/>
      <c r="H16" s="448"/>
      <c r="I16" s="533" t="s">
        <v>509</v>
      </c>
      <c r="J16" s="534"/>
      <c r="K16" s="532">
        <v>297900.36</v>
      </c>
      <c r="L16" s="31">
        <f>ROUND(K16/1000,0)</f>
        <v>298</v>
      </c>
    </row>
    <row r="17" spans="1:15" x14ac:dyDescent="0.25">
      <c r="A17" s="436"/>
      <c r="B17" s="433" t="s">
        <v>509</v>
      </c>
      <c r="C17" s="435"/>
      <c r="D17" s="434">
        <v>1112496.3999999999</v>
      </c>
      <c r="E17" s="31"/>
      <c r="G17" s="33">
        <f>E15+E20-F37-F31</f>
        <v>-2940</v>
      </c>
      <c r="H17" s="450"/>
      <c r="I17" s="533" t="s">
        <v>739</v>
      </c>
      <c r="J17" s="534"/>
      <c r="K17" s="532">
        <v>297900.36</v>
      </c>
    </row>
    <row r="18" spans="1:15" x14ac:dyDescent="0.25">
      <c r="A18" s="437"/>
      <c r="B18" s="433" t="s">
        <v>739</v>
      </c>
      <c r="C18" s="435"/>
      <c r="D18" s="434">
        <v>564597</v>
      </c>
      <c r="E18" s="31">
        <f t="shared" si="0"/>
        <v>565</v>
      </c>
      <c r="H18" s="444"/>
      <c r="I18" s="445" t="s">
        <v>510</v>
      </c>
      <c r="J18" s="532">
        <v>131584526.73999999</v>
      </c>
      <c r="K18" s="447"/>
      <c r="M18" s="31">
        <f>ROUND(J18/1000,0)</f>
        <v>131585</v>
      </c>
      <c r="O18" s="33">
        <f>M18+M32</f>
        <v>138710</v>
      </c>
    </row>
    <row r="19" spans="1:15" x14ac:dyDescent="0.25">
      <c r="A19" s="437"/>
      <c r="B19" s="433" t="s">
        <v>740</v>
      </c>
      <c r="C19" s="435"/>
      <c r="D19" s="434">
        <v>547511.4</v>
      </c>
      <c r="E19" s="31">
        <f t="shared" si="0"/>
        <v>548</v>
      </c>
      <c r="H19" s="448"/>
      <c r="I19" s="445" t="s">
        <v>511</v>
      </c>
      <c r="J19" s="449">
        <v>124162804.81999999</v>
      </c>
      <c r="K19" s="447"/>
    </row>
    <row r="20" spans="1:15" x14ac:dyDescent="0.25">
      <c r="A20" s="437"/>
      <c r="B20" s="472" t="s">
        <v>741</v>
      </c>
      <c r="C20" s="473"/>
      <c r="D20" s="475">
        <v>388</v>
      </c>
      <c r="E20" s="59">
        <f t="shared" si="0"/>
        <v>0</v>
      </c>
      <c r="H20" s="450"/>
      <c r="I20" s="445" t="s">
        <v>512</v>
      </c>
      <c r="J20" s="449">
        <v>21149304.039999999</v>
      </c>
      <c r="K20" s="447"/>
    </row>
    <row r="21" spans="1:15" x14ac:dyDescent="0.25">
      <c r="A21" s="432"/>
      <c r="B21" s="481" t="s">
        <v>510</v>
      </c>
      <c r="C21" s="482">
        <v>114743079.01000001</v>
      </c>
      <c r="D21" s="483"/>
      <c r="E21" s="178"/>
      <c r="F21" s="38">
        <f>ROUND(C21/1000,0)</f>
        <v>114743</v>
      </c>
      <c r="H21" s="450"/>
      <c r="I21" s="445" t="s">
        <v>513</v>
      </c>
      <c r="J21" s="449">
        <v>27596175.219999999</v>
      </c>
      <c r="K21" s="447"/>
    </row>
    <row r="22" spans="1:15" x14ac:dyDescent="0.25">
      <c r="A22" s="436"/>
      <c r="B22" s="433" t="s">
        <v>511</v>
      </c>
      <c r="C22" s="434">
        <v>107041095.65000001</v>
      </c>
      <c r="D22" s="435"/>
      <c r="F22" s="31">
        <f t="shared" ref="F22:F41" si="2">ROUND(C22/1000,0)</f>
        <v>107041</v>
      </c>
      <c r="H22" s="450"/>
      <c r="I22" s="445" t="s">
        <v>514</v>
      </c>
      <c r="J22" s="449">
        <v>75417325.560000002</v>
      </c>
      <c r="K22" s="447"/>
    </row>
    <row r="23" spans="1:15" x14ac:dyDescent="0.25">
      <c r="A23" s="437"/>
      <c r="B23" s="433" t="s">
        <v>512</v>
      </c>
      <c r="C23" s="434">
        <v>18658611.859999999</v>
      </c>
      <c r="D23" s="435"/>
      <c r="F23" s="31"/>
      <c r="H23" s="448"/>
      <c r="I23" s="445" t="s">
        <v>515</v>
      </c>
      <c r="J23" s="449">
        <v>7421721.9199999999</v>
      </c>
      <c r="K23" s="447"/>
      <c r="M23" s="31">
        <f>ROUND(J23/1000,0)</f>
        <v>7422</v>
      </c>
    </row>
    <row r="24" spans="1:15" x14ac:dyDescent="0.25">
      <c r="A24" s="437"/>
      <c r="B24" s="433" t="s">
        <v>513</v>
      </c>
      <c r="C24" s="434">
        <v>19141261.899999999</v>
      </c>
      <c r="D24" s="435"/>
      <c r="F24" s="31"/>
      <c r="H24" s="450"/>
      <c r="I24" s="445" t="s">
        <v>516</v>
      </c>
      <c r="J24" s="449">
        <v>7339645.9900000002</v>
      </c>
      <c r="K24" s="447"/>
    </row>
    <row r="25" spans="1:15" x14ac:dyDescent="0.25">
      <c r="A25" s="437"/>
      <c r="B25" s="433" t="s">
        <v>514</v>
      </c>
      <c r="C25" s="434">
        <v>69241221.890000001</v>
      </c>
      <c r="D25" s="435"/>
      <c r="F25" s="31"/>
      <c r="H25" s="450"/>
      <c r="I25" s="445" t="s">
        <v>517</v>
      </c>
      <c r="J25" s="449">
        <v>82075.929999999993</v>
      </c>
      <c r="K25" s="447"/>
    </row>
    <row r="26" spans="1:15" x14ac:dyDescent="0.25">
      <c r="A26" s="436"/>
      <c r="B26" s="433" t="s">
        <v>515</v>
      </c>
      <c r="C26" s="434">
        <v>7701983.3600000003</v>
      </c>
      <c r="D26" s="435"/>
      <c r="F26" s="31">
        <f t="shared" si="2"/>
        <v>7702</v>
      </c>
      <c r="H26" s="444"/>
      <c r="I26" s="445" t="s">
        <v>518</v>
      </c>
      <c r="J26" s="449">
        <v>9532463.0199999996</v>
      </c>
      <c r="K26" s="447"/>
    </row>
    <row r="27" spans="1:15" x14ac:dyDescent="0.25">
      <c r="A27" s="437"/>
      <c r="B27" s="433" t="s">
        <v>516</v>
      </c>
      <c r="C27" s="434">
        <v>7642312.4500000002</v>
      </c>
      <c r="D27" s="435"/>
      <c r="F27" s="31"/>
      <c r="H27" s="448"/>
      <c r="I27" s="445" t="s">
        <v>519</v>
      </c>
      <c r="J27" s="449">
        <v>1309960.3799999999</v>
      </c>
      <c r="K27" s="447"/>
      <c r="M27" s="31">
        <f>ROUND(J27/1000,0)</f>
        <v>1310</v>
      </c>
    </row>
    <row r="28" spans="1:15" x14ac:dyDescent="0.25">
      <c r="A28" s="437"/>
      <c r="B28" s="433" t="s">
        <v>517</v>
      </c>
      <c r="C28" s="434">
        <v>59670.91</v>
      </c>
      <c r="D28" s="435"/>
      <c r="F28" s="31"/>
      <c r="H28" s="450"/>
      <c r="I28" s="445" t="s">
        <v>520</v>
      </c>
      <c r="J28" s="449">
        <v>1309960.3799999999</v>
      </c>
      <c r="K28" s="447"/>
    </row>
    <row r="29" spans="1:15" x14ac:dyDescent="0.25">
      <c r="A29" s="432"/>
      <c r="B29" s="433" t="s">
        <v>518</v>
      </c>
      <c r="C29" s="434">
        <v>17850398.68</v>
      </c>
      <c r="D29" s="435"/>
      <c r="F29" s="31">
        <f t="shared" si="2"/>
        <v>17850</v>
      </c>
      <c r="H29" s="448"/>
      <c r="I29" s="533" t="s">
        <v>521</v>
      </c>
      <c r="J29" s="532">
        <v>905880.21</v>
      </c>
      <c r="K29" s="534"/>
      <c r="M29" s="31">
        <f>ROUND(J29/1000,0)</f>
        <v>906</v>
      </c>
    </row>
    <row r="30" spans="1:15" x14ac:dyDescent="0.25">
      <c r="A30" s="436"/>
      <c r="B30" s="472" t="s">
        <v>519</v>
      </c>
      <c r="C30" s="474">
        <v>8927436.3800000008</v>
      </c>
      <c r="D30" s="473"/>
      <c r="E30" s="476"/>
      <c r="F30" s="59"/>
      <c r="H30" s="450"/>
      <c r="I30" s="445" t="s">
        <v>522</v>
      </c>
      <c r="J30" s="449">
        <v>905164.25</v>
      </c>
      <c r="K30" s="447"/>
    </row>
    <row r="31" spans="1:15" x14ac:dyDescent="0.25">
      <c r="A31" s="437"/>
      <c r="B31" s="472" t="s">
        <v>520</v>
      </c>
      <c r="C31" s="474">
        <v>8927436.3800000008</v>
      </c>
      <c r="D31" s="473"/>
      <c r="E31" s="476"/>
      <c r="F31" s="59">
        <f t="shared" si="2"/>
        <v>8927</v>
      </c>
      <c r="H31" s="450"/>
      <c r="I31" s="445" t="s">
        <v>523</v>
      </c>
      <c r="J31" s="451">
        <v>715.96</v>
      </c>
      <c r="K31" s="447"/>
    </row>
    <row r="32" spans="1:15" x14ac:dyDescent="0.25">
      <c r="A32" s="436"/>
      <c r="B32" s="468" t="s">
        <v>521</v>
      </c>
      <c r="C32" s="469">
        <v>32014.66</v>
      </c>
      <c r="D32" s="470"/>
      <c r="E32" s="175"/>
      <c r="F32" s="83">
        <f t="shared" si="2"/>
        <v>32</v>
      </c>
      <c r="H32" s="448"/>
      <c r="I32" s="445" t="s">
        <v>524</v>
      </c>
      <c r="J32" s="532">
        <v>7125214.29</v>
      </c>
      <c r="K32" s="447"/>
      <c r="M32" s="31">
        <f>ROUND(J32/1000,0)</f>
        <v>7125</v>
      </c>
    </row>
    <row r="33" spans="1:14" x14ac:dyDescent="0.25">
      <c r="A33" s="437"/>
      <c r="B33" s="433" t="s">
        <v>522</v>
      </c>
      <c r="C33" s="434">
        <v>31749.63</v>
      </c>
      <c r="D33" s="435"/>
      <c r="F33" s="31"/>
      <c r="H33" s="448"/>
      <c r="I33" s="445" t="s">
        <v>525</v>
      </c>
      <c r="J33" s="449">
        <v>191408.14</v>
      </c>
      <c r="K33" s="447"/>
    </row>
    <row r="34" spans="1:14" x14ac:dyDescent="0.25">
      <c r="A34" s="437"/>
      <c r="B34" s="433" t="s">
        <v>523</v>
      </c>
      <c r="C34" s="438">
        <v>265.02999999999997</v>
      </c>
      <c r="D34" s="435"/>
      <c r="F34" s="31"/>
      <c r="H34" s="450"/>
      <c r="I34" s="445" t="s">
        <v>526</v>
      </c>
      <c r="J34" s="449">
        <v>143530</v>
      </c>
      <c r="K34" s="447"/>
      <c r="M34" s="31">
        <f>ROUND(J34/1000,0)</f>
        <v>144</v>
      </c>
    </row>
    <row r="35" spans="1:14" x14ac:dyDescent="0.25">
      <c r="A35" s="436"/>
      <c r="B35" s="481" t="s">
        <v>524</v>
      </c>
      <c r="C35" s="482">
        <v>6593464.29</v>
      </c>
      <c r="D35" s="483"/>
      <c r="E35" s="178"/>
      <c r="F35" s="38">
        <f t="shared" si="2"/>
        <v>6593</v>
      </c>
      <c r="H35" s="450"/>
      <c r="I35" s="445" t="s">
        <v>527</v>
      </c>
      <c r="J35" s="449">
        <v>8036.93</v>
      </c>
      <c r="K35" s="447"/>
      <c r="M35" s="31">
        <f t="shared" ref="M35:M37" si="3">ROUND(J35/1000,0)</f>
        <v>8</v>
      </c>
      <c r="N35" s="33">
        <f>M35+M36</f>
        <v>48</v>
      </c>
    </row>
    <row r="36" spans="1:14" x14ac:dyDescent="0.25">
      <c r="A36" s="436"/>
      <c r="B36" s="433" t="s">
        <v>525</v>
      </c>
      <c r="C36" s="434">
        <v>2297483.35</v>
      </c>
      <c r="D36" s="435"/>
      <c r="F36" s="31"/>
      <c r="H36" s="450"/>
      <c r="I36" s="445" t="s">
        <v>529</v>
      </c>
      <c r="J36" s="449">
        <v>39841.21</v>
      </c>
      <c r="K36" s="447"/>
      <c r="M36" s="31">
        <f t="shared" si="3"/>
        <v>40</v>
      </c>
    </row>
    <row r="37" spans="1:14" x14ac:dyDescent="0.25">
      <c r="A37" s="437"/>
      <c r="B37" s="472" t="s">
        <v>526</v>
      </c>
      <c r="C37" s="474">
        <v>2200938.2400000002</v>
      </c>
      <c r="D37" s="473"/>
      <c r="E37" s="476"/>
      <c r="F37" s="59">
        <f t="shared" si="2"/>
        <v>2201</v>
      </c>
      <c r="H37" s="441"/>
      <c r="I37" s="442" t="s">
        <v>142</v>
      </c>
      <c r="J37" s="452">
        <v>53001662.57</v>
      </c>
      <c r="K37" s="452">
        <v>53001662.57</v>
      </c>
      <c r="M37" s="31">
        <f t="shared" si="3"/>
        <v>53002</v>
      </c>
    </row>
    <row r="38" spans="1:14" ht="22.5" x14ac:dyDescent="0.25">
      <c r="A38" s="437"/>
      <c r="B38" s="477" t="s">
        <v>527</v>
      </c>
      <c r="C38" s="478">
        <v>5189.8900000000003</v>
      </c>
      <c r="D38" s="479"/>
      <c r="E38" s="480"/>
      <c r="F38" s="184">
        <f t="shared" si="2"/>
        <v>5</v>
      </c>
      <c r="G38" s="33">
        <f>F38+F39+F40</f>
        <v>96</v>
      </c>
      <c r="H38" s="441"/>
      <c r="I38" s="442" t="s">
        <v>143</v>
      </c>
      <c r="J38" s="443"/>
      <c r="K38" s="443"/>
    </row>
    <row r="39" spans="1:14" x14ac:dyDescent="0.25">
      <c r="A39" s="437"/>
      <c r="B39" s="477" t="s">
        <v>528</v>
      </c>
      <c r="C39" s="478">
        <v>53450.21</v>
      </c>
      <c r="D39" s="479"/>
      <c r="E39" s="480"/>
      <c r="F39" s="184">
        <f t="shared" si="2"/>
        <v>53</v>
      </c>
      <c r="H39" s="453"/>
      <c r="I39" s="453"/>
      <c r="J39" s="453"/>
      <c r="K39" s="453"/>
    </row>
    <row r="40" spans="1:14" x14ac:dyDescent="0.25">
      <c r="A40" s="437"/>
      <c r="B40" s="477" t="s">
        <v>529</v>
      </c>
      <c r="C40" s="478">
        <v>37905.01</v>
      </c>
      <c r="D40" s="479"/>
      <c r="E40" s="480"/>
      <c r="F40" s="184">
        <f t="shared" si="2"/>
        <v>38</v>
      </c>
    </row>
    <row r="41" spans="1:14" x14ac:dyDescent="0.25">
      <c r="A41" s="429"/>
      <c r="B41" s="430" t="s">
        <v>142</v>
      </c>
      <c r="C41" s="439">
        <v>163726504.13</v>
      </c>
      <c r="D41" s="439">
        <v>163726504.13</v>
      </c>
      <c r="F41" s="31">
        <f t="shared" si="2"/>
        <v>163727</v>
      </c>
    </row>
    <row r="42" spans="1:14" ht="22.5" x14ac:dyDescent="0.25">
      <c r="A42" s="429"/>
      <c r="B42" s="430" t="s">
        <v>143</v>
      </c>
      <c r="C42" s="431"/>
      <c r="D42" s="431"/>
    </row>
    <row r="43" spans="1:14" x14ac:dyDescent="0.25">
      <c r="A43" s="427"/>
      <c r="B43" s="427"/>
      <c r="C43" s="427"/>
      <c r="D43" s="427"/>
    </row>
    <row r="44" spans="1:14" x14ac:dyDescent="0.25">
      <c r="A44" s="427"/>
      <c r="B44" s="427"/>
      <c r="C44" s="427"/>
      <c r="D44" s="4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03AA-2D5D-48B6-9A8A-125361FE8A18}">
  <dimension ref="A1:K60"/>
  <sheetViews>
    <sheetView view="pageBreakPreview" zoomScale="87" zoomScaleNormal="100" zoomScaleSheetLayoutView="87" workbookViewId="0">
      <selection activeCell="I6" activeCellId="2" sqref="I42 I5 I6"/>
    </sheetView>
  </sheetViews>
  <sheetFormatPr defaultRowHeight="15" x14ac:dyDescent="0.25"/>
  <cols>
    <col min="1" max="1" width="31.42578125" customWidth="1"/>
    <col min="2" max="2" width="13.5703125" bestFit="1" customWidth="1"/>
    <col min="4" max="4" width="8.7109375" customWidth="1"/>
    <col min="5" max="5" width="14.28515625" customWidth="1"/>
    <col min="7" max="7" width="53.85546875" customWidth="1"/>
    <col min="8" max="8" width="11.7109375" bestFit="1" customWidth="1"/>
    <col min="11" max="11" width="25.85546875" customWidth="1"/>
  </cols>
  <sheetData>
    <row r="1" spans="1:11" x14ac:dyDescent="0.25">
      <c r="A1" s="484" t="s">
        <v>710</v>
      </c>
      <c r="B1" s="485">
        <v>37500</v>
      </c>
      <c r="C1" s="38">
        <f>ROUND(B1/1000,0)</f>
        <v>38</v>
      </c>
      <c r="E1" s="33">
        <f>C10+C37</f>
        <v>69065</v>
      </c>
      <c r="G1" s="523" t="s">
        <v>710</v>
      </c>
      <c r="H1" s="524">
        <v>18415.18</v>
      </c>
      <c r="I1" s="38">
        <f t="shared" ref="I1:I59" si="0">ROUND(H1/1000,0)</f>
        <v>18</v>
      </c>
      <c r="K1" s="33">
        <f>I43+I11</f>
        <v>75418</v>
      </c>
    </row>
    <row r="2" spans="1:11" x14ac:dyDescent="0.25">
      <c r="A2" s="484" t="s">
        <v>203</v>
      </c>
      <c r="B2" s="485">
        <v>43910.04</v>
      </c>
      <c r="C2" s="38">
        <f t="shared" ref="C2:C53" si="1">ROUND(B2/1000,0)</f>
        <v>44</v>
      </c>
      <c r="E2" s="33"/>
      <c r="G2" s="523" t="s">
        <v>203</v>
      </c>
      <c r="H2" s="524">
        <v>33270.959999999999</v>
      </c>
      <c r="I2" s="38">
        <f t="shared" si="0"/>
        <v>33</v>
      </c>
      <c r="K2" s="33">
        <f>I39</f>
        <v>10506</v>
      </c>
    </row>
    <row r="3" spans="1:11" x14ac:dyDescent="0.25">
      <c r="A3" s="492" t="s">
        <v>202</v>
      </c>
      <c r="B3" s="493">
        <v>2170695.27</v>
      </c>
      <c r="C3" s="494">
        <f t="shared" si="1"/>
        <v>2171</v>
      </c>
      <c r="G3" s="520" t="s">
        <v>202</v>
      </c>
      <c r="H3" s="521">
        <v>1783769.93</v>
      </c>
      <c r="I3" s="522">
        <f t="shared" si="0"/>
        <v>1784</v>
      </c>
      <c r="K3" s="33">
        <f>I4+I8+I9+I15+I13+I27+I33+I34+I35+I50+I54</f>
        <v>11465</v>
      </c>
    </row>
    <row r="4" spans="1:11" x14ac:dyDescent="0.25">
      <c r="A4" s="495" t="s">
        <v>727</v>
      </c>
      <c r="B4" s="496">
        <v>102402.9</v>
      </c>
      <c r="C4" s="86">
        <f t="shared" si="1"/>
        <v>102</v>
      </c>
      <c r="G4" s="518" t="s">
        <v>727</v>
      </c>
      <c r="H4" s="519">
        <v>150739.26</v>
      </c>
      <c r="I4" s="105">
        <f t="shared" si="0"/>
        <v>151</v>
      </c>
      <c r="K4" s="33">
        <f>I1+I2+I10+I12+I24+I53+I58</f>
        <v>1544</v>
      </c>
    </row>
    <row r="5" spans="1:11" x14ac:dyDescent="0.25">
      <c r="A5" s="500" t="s">
        <v>711</v>
      </c>
      <c r="B5" s="501">
        <v>178571.42</v>
      </c>
      <c r="C5" s="502">
        <f t="shared" si="1"/>
        <v>179</v>
      </c>
      <c r="G5" s="526" t="s">
        <v>712</v>
      </c>
      <c r="H5" s="527">
        <v>7500</v>
      </c>
      <c r="I5" s="528">
        <f t="shared" si="0"/>
        <v>8</v>
      </c>
      <c r="K5" s="33">
        <f>I5+I6+I42+I59+'5610 1 кв 2022_2021'!M32</f>
        <v>7768</v>
      </c>
    </row>
    <row r="6" spans="1:11" x14ac:dyDescent="0.25">
      <c r="A6" s="500" t="s">
        <v>712</v>
      </c>
      <c r="B6" s="501">
        <v>7500</v>
      </c>
      <c r="C6" s="502">
        <f t="shared" si="1"/>
        <v>8</v>
      </c>
      <c r="G6" s="526" t="s">
        <v>713</v>
      </c>
      <c r="H6" s="527">
        <v>162000</v>
      </c>
      <c r="I6" s="528">
        <f t="shared" si="0"/>
        <v>162</v>
      </c>
      <c r="K6" s="33">
        <f>I8+I9+I13+I15+I27+I33+I34+I35+I50+I54+I4</f>
        <v>11465</v>
      </c>
    </row>
    <row r="7" spans="1:11" x14ac:dyDescent="0.25">
      <c r="A7" s="495" t="s">
        <v>714</v>
      </c>
      <c r="B7" s="496">
        <v>82044.63</v>
      </c>
      <c r="C7" s="86">
        <f t="shared" si="1"/>
        <v>82</v>
      </c>
      <c r="G7" s="529" t="s">
        <v>724</v>
      </c>
      <c r="H7" s="530">
        <v>67682.789999999994</v>
      </c>
      <c r="I7" s="34">
        <f t="shared" si="0"/>
        <v>68</v>
      </c>
      <c r="K7" s="33">
        <f>I16+I17+I18+I19+I20+I21+I22+I26+I31+I32+I40+I49+I51+I52+I55</f>
        <v>13887</v>
      </c>
    </row>
    <row r="8" spans="1:11" x14ac:dyDescent="0.25">
      <c r="A8" s="495" t="s">
        <v>715</v>
      </c>
      <c r="B8" s="496">
        <v>606474</v>
      </c>
      <c r="C8" s="86">
        <f t="shared" si="1"/>
        <v>606</v>
      </c>
      <c r="G8" s="518" t="s">
        <v>714</v>
      </c>
      <c r="H8" s="519">
        <v>78133.919999999998</v>
      </c>
      <c r="I8" s="105">
        <f t="shared" si="0"/>
        <v>78</v>
      </c>
      <c r="K8" s="33">
        <f>I7+I14+I23+I25+I28+I29+I30+I36+I41+I44+I45+I47+I48+I56+I57</f>
        <v>8237</v>
      </c>
    </row>
    <row r="9" spans="1:11" ht="22.5" x14ac:dyDescent="0.25">
      <c r="A9" s="484" t="s">
        <v>725</v>
      </c>
      <c r="B9" s="485">
        <v>733242.42</v>
      </c>
      <c r="C9" s="38">
        <f t="shared" si="1"/>
        <v>733</v>
      </c>
      <c r="G9" s="518" t="s">
        <v>715</v>
      </c>
      <c r="H9" s="519">
        <v>402546</v>
      </c>
      <c r="I9" s="105">
        <f t="shared" si="0"/>
        <v>403</v>
      </c>
    </row>
    <row r="10" spans="1:11" x14ac:dyDescent="0.25">
      <c r="A10" s="456" t="s">
        <v>66</v>
      </c>
      <c r="B10" s="457">
        <v>72176949.709999993</v>
      </c>
      <c r="C10" s="83">
        <f t="shared" si="1"/>
        <v>72177</v>
      </c>
      <c r="G10" s="523" t="s">
        <v>725</v>
      </c>
      <c r="H10" s="524">
        <v>747256.49</v>
      </c>
      <c r="I10" s="38">
        <f t="shared" si="0"/>
        <v>747</v>
      </c>
    </row>
    <row r="11" spans="1:11" x14ac:dyDescent="0.25">
      <c r="A11" s="484" t="s">
        <v>194</v>
      </c>
      <c r="B11" s="485">
        <v>552503.57999999996</v>
      </c>
      <c r="C11" s="38">
        <f t="shared" si="1"/>
        <v>553</v>
      </c>
      <c r="G11" s="461" t="s">
        <v>66</v>
      </c>
      <c r="H11" s="463">
        <v>76453670.5</v>
      </c>
      <c r="I11" s="83">
        <f t="shared" si="0"/>
        <v>76454</v>
      </c>
    </row>
    <row r="12" spans="1:11" x14ac:dyDescent="0.25">
      <c r="A12" s="495" t="s">
        <v>193</v>
      </c>
      <c r="B12" s="496">
        <v>148657.92000000001</v>
      </c>
      <c r="C12" s="86">
        <f t="shared" si="1"/>
        <v>149</v>
      </c>
      <c r="G12" s="523" t="s">
        <v>194</v>
      </c>
      <c r="H12" s="524">
        <v>552503.57999999996</v>
      </c>
      <c r="I12" s="38">
        <f t="shared" si="0"/>
        <v>553</v>
      </c>
    </row>
    <row r="13" spans="1:11" x14ac:dyDescent="0.25">
      <c r="A13" s="503" t="s">
        <v>192</v>
      </c>
      <c r="B13" s="504">
        <v>164885.74</v>
      </c>
      <c r="C13" s="34">
        <f t="shared" si="1"/>
        <v>165</v>
      </c>
      <c r="G13" s="518" t="s">
        <v>193</v>
      </c>
      <c r="H13" s="519">
        <v>187767.02</v>
      </c>
      <c r="I13" s="105">
        <f t="shared" si="0"/>
        <v>188</v>
      </c>
    </row>
    <row r="14" spans="1:11" ht="22.5" x14ac:dyDescent="0.25">
      <c r="A14" s="495" t="s">
        <v>742</v>
      </c>
      <c r="B14" s="496">
        <v>87654</v>
      </c>
      <c r="C14" s="86">
        <f t="shared" si="1"/>
        <v>88</v>
      </c>
      <c r="G14" s="529" t="s">
        <v>192</v>
      </c>
      <c r="H14" s="530">
        <v>181033.89</v>
      </c>
      <c r="I14" s="34">
        <f t="shared" si="0"/>
        <v>181</v>
      </c>
    </row>
    <row r="15" spans="1:11" x14ac:dyDescent="0.25">
      <c r="A15" s="497" t="s">
        <v>716</v>
      </c>
      <c r="B15" s="498">
        <v>54661.84</v>
      </c>
      <c r="C15" s="499">
        <f t="shared" si="1"/>
        <v>55</v>
      </c>
      <c r="G15" s="518" t="s">
        <v>742</v>
      </c>
      <c r="H15" s="519">
        <v>25299.27</v>
      </c>
      <c r="I15" s="105">
        <f t="shared" si="0"/>
        <v>25</v>
      </c>
    </row>
    <row r="16" spans="1:11" ht="22.5" x14ac:dyDescent="0.25">
      <c r="A16" s="497" t="s">
        <v>718</v>
      </c>
      <c r="B16" s="498">
        <v>1900</v>
      </c>
      <c r="C16" s="499">
        <f t="shared" si="1"/>
        <v>2</v>
      </c>
      <c r="G16" s="511" t="s">
        <v>716</v>
      </c>
      <c r="H16" s="512">
        <v>160312.34</v>
      </c>
      <c r="I16" s="513">
        <f t="shared" si="0"/>
        <v>160</v>
      </c>
    </row>
    <row r="17" spans="1:9" ht="22.5" x14ac:dyDescent="0.25">
      <c r="A17" s="497" t="s">
        <v>190</v>
      </c>
      <c r="B17" s="498">
        <v>19270.98</v>
      </c>
      <c r="C17" s="499">
        <f t="shared" si="1"/>
        <v>19</v>
      </c>
      <c r="G17" s="511" t="s">
        <v>717</v>
      </c>
      <c r="H17" s="512">
        <v>2700</v>
      </c>
      <c r="I17" s="513">
        <f t="shared" si="0"/>
        <v>3</v>
      </c>
    </row>
    <row r="18" spans="1:9" x14ac:dyDescent="0.25">
      <c r="A18" s="497" t="s">
        <v>719</v>
      </c>
      <c r="B18" s="498">
        <v>8035.72</v>
      </c>
      <c r="C18" s="499">
        <f t="shared" si="1"/>
        <v>8</v>
      </c>
      <c r="G18" s="511" t="s">
        <v>718</v>
      </c>
      <c r="H18" s="512">
        <v>7900</v>
      </c>
      <c r="I18" s="513">
        <f t="shared" si="0"/>
        <v>8</v>
      </c>
    </row>
    <row r="19" spans="1:9" x14ac:dyDescent="0.25">
      <c r="A19" s="497" t="s">
        <v>189</v>
      </c>
      <c r="B19" s="498">
        <v>166684.9</v>
      </c>
      <c r="C19" s="499">
        <f t="shared" si="1"/>
        <v>167</v>
      </c>
      <c r="G19" s="511" t="s">
        <v>190</v>
      </c>
      <c r="H19" s="512">
        <v>18599.11</v>
      </c>
      <c r="I19" s="513">
        <f t="shared" si="0"/>
        <v>19</v>
      </c>
    </row>
    <row r="20" spans="1:9" x14ac:dyDescent="0.25">
      <c r="A20" s="503" t="s">
        <v>720</v>
      </c>
      <c r="B20" s="504">
        <v>128258</v>
      </c>
      <c r="C20" s="34">
        <f t="shared" si="1"/>
        <v>128</v>
      </c>
      <c r="G20" s="511" t="s">
        <v>719</v>
      </c>
      <c r="H20" s="512">
        <v>25321.439999999999</v>
      </c>
      <c r="I20" s="513">
        <f t="shared" si="0"/>
        <v>25</v>
      </c>
    </row>
    <row r="21" spans="1:9" x14ac:dyDescent="0.25">
      <c r="A21" s="484" t="s">
        <v>187</v>
      </c>
      <c r="B21" s="485">
        <v>37951.72</v>
      </c>
      <c r="C21" s="38">
        <f t="shared" si="1"/>
        <v>38</v>
      </c>
      <c r="G21" s="511" t="s">
        <v>749</v>
      </c>
      <c r="H21" s="512">
        <v>13265.45</v>
      </c>
      <c r="I21" s="513">
        <f t="shared" si="0"/>
        <v>13</v>
      </c>
    </row>
    <row r="22" spans="1:9" x14ac:dyDescent="0.25">
      <c r="A22" s="503" t="s">
        <v>205</v>
      </c>
      <c r="B22" s="504">
        <v>1520198</v>
      </c>
      <c r="C22" s="34">
        <f t="shared" si="1"/>
        <v>1520</v>
      </c>
      <c r="G22" s="511" t="s">
        <v>189</v>
      </c>
      <c r="H22" s="512">
        <v>249933.57</v>
      </c>
      <c r="I22" s="513">
        <f t="shared" si="0"/>
        <v>250</v>
      </c>
    </row>
    <row r="23" spans="1:9" x14ac:dyDescent="0.25">
      <c r="A23" s="497" t="s">
        <v>185</v>
      </c>
      <c r="B23" s="498">
        <v>21106</v>
      </c>
      <c r="C23" s="499">
        <f t="shared" si="1"/>
        <v>21</v>
      </c>
      <c r="G23" s="529" t="s">
        <v>720</v>
      </c>
      <c r="H23" s="530">
        <v>187500</v>
      </c>
      <c r="I23" s="34">
        <f t="shared" si="0"/>
        <v>188</v>
      </c>
    </row>
    <row r="24" spans="1:9" x14ac:dyDescent="0.25">
      <c r="A24" s="486" t="s">
        <v>743</v>
      </c>
      <c r="B24" s="487">
        <v>300000</v>
      </c>
      <c r="C24" s="105">
        <f t="shared" si="1"/>
        <v>300</v>
      </c>
      <c r="G24" s="523" t="s">
        <v>187</v>
      </c>
      <c r="H24" s="524">
        <v>143643.29999999999</v>
      </c>
      <c r="I24" s="38">
        <f t="shared" si="0"/>
        <v>144</v>
      </c>
    </row>
    <row r="25" spans="1:9" x14ac:dyDescent="0.25">
      <c r="A25" s="497" t="s">
        <v>183</v>
      </c>
      <c r="B25" s="498">
        <v>40000</v>
      </c>
      <c r="C25" s="499">
        <f t="shared" si="1"/>
        <v>40</v>
      </c>
      <c r="G25" s="529" t="s">
        <v>205</v>
      </c>
      <c r="H25" s="530">
        <v>2686551.51</v>
      </c>
      <c r="I25" s="34">
        <f t="shared" si="0"/>
        <v>2687</v>
      </c>
    </row>
    <row r="26" spans="1:9" x14ac:dyDescent="0.25">
      <c r="A26" s="486" t="s">
        <v>180</v>
      </c>
      <c r="B26" s="487">
        <v>1200000</v>
      </c>
      <c r="C26" s="105">
        <f t="shared" si="1"/>
        <v>1200</v>
      </c>
      <c r="G26" s="511" t="s">
        <v>185</v>
      </c>
      <c r="H26" s="512">
        <v>282417</v>
      </c>
      <c r="I26" s="513">
        <f t="shared" si="0"/>
        <v>282</v>
      </c>
    </row>
    <row r="27" spans="1:9" x14ac:dyDescent="0.25">
      <c r="A27" s="495" t="s">
        <v>179</v>
      </c>
      <c r="B27" s="496">
        <v>194699.59</v>
      </c>
      <c r="C27" s="86">
        <f t="shared" si="1"/>
        <v>195</v>
      </c>
      <c r="G27" s="518" t="s">
        <v>750</v>
      </c>
      <c r="H27" s="519">
        <v>133928.57999999999</v>
      </c>
      <c r="I27" s="105">
        <f t="shared" si="0"/>
        <v>134</v>
      </c>
    </row>
    <row r="28" spans="1:9" x14ac:dyDescent="0.25">
      <c r="A28" s="497" t="s">
        <v>744</v>
      </c>
      <c r="B28" s="498">
        <v>3845465</v>
      </c>
      <c r="C28" s="499">
        <f t="shared" si="1"/>
        <v>3845</v>
      </c>
      <c r="G28" s="529" t="s">
        <v>206</v>
      </c>
      <c r="H28" s="531">
        <v>60.25</v>
      </c>
      <c r="I28" s="34">
        <f t="shared" si="0"/>
        <v>0</v>
      </c>
    </row>
    <row r="29" spans="1:9" x14ac:dyDescent="0.25">
      <c r="A29" s="486" t="s">
        <v>745</v>
      </c>
      <c r="B29" s="487">
        <v>1000000</v>
      </c>
      <c r="C29" s="105">
        <f t="shared" si="1"/>
        <v>1000</v>
      </c>
      <c r="G29" s="529" t="s">
        <v>207</v>
      </c>
      <c r="H29" s="531">
        <v>57</v>
      </c>
      <c r="I29" s="34">
        <f t="shared" si="0"/>
        <v>0</v>
      </c>
    </row>
    <row r="30" spans="1:9" x14ac:dyDescent="0.25">
      <c r="A30" s="497" t="s">
        <v>746</v>
      </c>
      <c r="B30" s="498">
        <v>99900</v>
      </c>
      <c r="C30" s="499">
        <f t="shared" si="1"/>
        <v>100</v>
      </c>
      <c r="G30" s="529" t="s">
        <v>208</v>
      </c>
      <c r="H30" s="531">
        <v>63</v>
      </c>
      <c r="I30" s="34">
        <f t="shared" si="0"/>
        <v>0</v>
      </c>
    </row>
    <row r="31" spans="1:9" x14ac:dyDescent="0.25">
      <c r="A31" s="503" t="s">
        <v>209</v>
      </c>
      <c r="B31" s="504">
        <v>226741.4</v>
      </c>
      <c r="C31" s="34">
        <f t="shared" si="1"/>
        <v>227</v>
      </c>
      <c r="G31" s="511" t="s">
        <v>183</v>
      </c>
      <c r="H31" s="512">
        <v>232100</v>
      </c>
      <c r="I31" s="513">
        <f t="shared" si="0"/>
        <v>232</v>
      </c>
    </row>
    <row r="32" spans="1:9" x14ac:dyDescent="0.25">
      <c r="A32" s="489" t="s">
        <v>172</v>
      </c>
      <c r="B32" s="490">
        <v>13210093.74</v>
      </c>
      <c r="C32" s="491">
        <f t="shared" si="1"/>
        <v>13210</v>
      </c>
      <c r="D32" s="33">
        <f>C32</f>
        <v>13210</v>
      </c>
      <c r="G32" s="511" t="s">
        <v>181</v>
      </c>
      <c r="H32" s="512">
        <v>13035.71</v>
      </c>
      <c r="I32" s="513">
        <f t="shared" si="0"/>
        <v>13</v>
      </c>
    </row>
    <row r="33" spans="1:9" ht="22.5" x14ac:dyDescent="0.25">
      <c r="A33" s="503" t="s">
        <v>171</v>
      </c>
      <c r="B33" s="504">
        <v>127400</v>
      </c>
      <c r="C33" s="34">
        <f t="shared" si="1"/>
        <v>127</v>
      </c>
      <c r="G33" s="518" t="s">
        <v>180</v>
      </c>
      <c r="H33" s="519">
        <v>1335409.82</v>
      </c>
      <c r="I33" s="105">
        <f t="shared" si="0"/>
        <v>1335</v>
      </c>
    </row>
    <row r="34" spans="1:9" x14ac:dyDescent="0.25">
      <c r="A34" s="500" t="s">
        <v>169</v>
      </c>
      <c r="B34" s="501">
        <v>45000</v>
      </c>
      <c r="C34" s="502">
        <f t="shared" si="1"/>
        <v>45</v>
      </c>
      <c r="G34" s="518" t="s">
        <v>179</v>
      </c>
      <c r="H34" s="519">
        <v>56933.45</v>
      </c>
      <c r="I34" s="105">
        <f t="shared" si="0"/>
        <v>57</v>
      </c>
    </row>
    <row r="35" spans="1:9" ht="22.5" x14ac:dyDescent="0.25">
      <c r="A35" s="500" t="s">
        <v>747</v>
      </c>
      <c r="B35" s="501">
        <v>338392.86</v>
      </c>
      <c r="C35" s="502">
        <f t="shared" si="1"/>
        <v>338</v>
      </c>
      <c r="G35" s="518" t="s">
        <v>751</v>
      </c>
      <c r="H35" s="519">
        <v>1140000</v>
      </c>
      <c r="I35" s="105">
        <f t="shared" si="0"/>
        <v>1140</v>
      </c>
    </row>
    <row r="36" spans="1:9" x14ac:dyDescent="0.25">
      <c r="A36" s="500" t="s">
        <v>593</v>
      </c>
      <c r="B36" s="501">
        <v>555556</v>
      </c>
      <c r="C36" s="502">
        <f t="shared" si="1"/>
        <v>556</v>
      </c>
      <c r="G36" s="529" t="s">
        <v>209</v>
      </c>
      <c r="H36" s="530">
        <v>74900</v>
      </c>
      <c r="I36" s="34">
        <f t="shared" si="0"/>
        <v>75</v>
      </c>
    </row>
    <row r="37" spans="1:9" x14ac:dyDescent="0.25">
      <c r="A37" s="456" t="s">
        <v>167</v>
      </c>
      <c r="B37" s="458">
        <v>-3112495.82</v>
      </c>
      <c r="C37" s="83">
        <f t="shared" si="1"/>
        <v>-3112</v>
      </c>
      <c r="G37" s="514" t="s">
        <v>174</v>
      </c>
      <c r="H37" s="515">
        <v>136071.42000000001</v>
      </c>
      <c r="I37" s="59">
        <f t="shared" si="0"/>
        <v>136</v>
      </c>
    </row>
    <row r="38" spans="1:9" ht="22.5" x14ac:dyDescent="0.25">
      <c r="A38" s="503" t="s">
        <v>726</v>
      </c>
      <c r="B38" s="504">
        <v>30000</v>
      </c>
      <c r="C38" s="34">
        <f t="shared" si="1"/>
        <v>30</v>
      </c>
      <c r="E38" s="33">
        <f>C52+C47+C21+C1+C2+C9+C11-2</f>
        <v>1488</v>
      </c>
      <c r="G38" s="514" t="s">
        <v>173</v>
      </c>
      <c r="H38" s="515">
        <v>423185.44</v>
      </c>
      <c r="I38" s="59">
        <f t="shared" si="0"/>
        <v>423</v>
      </c>
    </row>
    <row r="39" spans="1:9" ht="22.5" x14ac:dyDescent="0.25">
      <c r="A39" s="507" t="s">
        <v>721</v>
      </c>
      <c r="B39" s="508">
        <v>43213.5</v>
      </c>
      <c r="C39" s="34">
        <f t="shared" si="1"/>
        <v>43</v>
      </c>
      <c r="E39" s="33">
        <f>C24+C26+C29+C43+C44+C48+C12+C14+C7+C8+C27+C4</f>
        <v>10306</v>
      </c>
      <c r="G39" s="516" t="s">
        <v>172</v>
      </c>
      <c r="H39" s="517">
        <v>10505666.65</v>
      </c>
      <c r="I39" s="491">
        <f t="shared" si="0"/>
        <v>10506</v>
      </c>
    </row>
    <row r="40" spans="1:9" x14ac:dyDescent="0.25">
      <c r="A40" s="509" t="s">
        <v>164</v>
      </c>
      <c r="B40" s="510">
        <v>258928.57</v>
      </c>
      <c r="C40" s="34">
        <f t="shared" si="1"/>
        <v>259</v>
      </c>
      <c r="E40" s="33">
        <f>C15+C16+C17+C18+C19+C23+C25+C28+C45+C46+C30-1</f>
        <v>5253</v>
      </c>
      <c r="G40" s="511" t="s">
        <v>210</v>
      </c>
      <c r="H40" s="512">
        <v>12000000</v>
      </c>
      <c r="I40" s="513">
        <f t="shared" si="0"/>
        <v>12000</v>
      </c>
    </row>
    <row r="41" spans="1:9" x14ac:dyDescent="0.25">
      <c r="A41" s="505" t="s">
        <v>163</v>
      </c>
      <c r="B41" s="506">
        <v>22500</v>
      </c>
      <c r="C41" s="502">
        <f t="shared" si="1"/>
        <v>23</v>
      </c>
      <c r="E41" s="33">
        <f>C6+C34+C35+C36+C53+C41+'5610 1 кв 2022_2021'!F35+C5</f>
        <v>7743</v>
      </c>
      <c r="G41" s="529" t="s">
        <v>171</v>
      </c>
      <c r="H41" s="530">
        <v>44000</v>
      </c>
      <c r="I41" s="34">
        <f t="shared" si="0"/>
        <v>44</v>
      </c>
    </row>
    <row r="42" spans="1:9" x14ac:dyDescent="0.25">
      <c r="A42" s="507" t="s">
        <v>161</v>
      </c>
      <c r="B42" s="508">
        <v>332325.59999999998</v>
      </c>
      <c r="C42" s="34">
        <f t="shared" si="1"/>
        <v>332</v>
      </c>
      <c r="E42" s="33">
        <f>C51+C50+C49+C40+C39+C38+C33+C22+C20+C13+C31+C42</f>
        <v>4399</v>
      </c>
      <c r="G42" s="526" t="s">
        <v>593</v>
      </c>
      <c r="H42" s="527">
        <v>449431.2</v>
      </c>
      <c r="I42" s="528">
        <f t="shared" si="0"/>
        <v>449</v>
      </c>
    </row>
    <row r="43" spans="1:9" x14ac:dyDescent="0.25">
      <c r="A43" s="486" t="s">
        <v>748</v>
      </c>
      <c r="B43" s="487">
        <v>714285.72</v>
      </c>
      <c r="C43" s="105">
        <f t="shared" si="1"/>
        <v>714</v>
      </c>
      <c r="G43" s="461" t="s">
        <v>167</v>
      </c>
      <c r="H43" s="462">
        <v>-1036344.94</v>
      </c>
      <c r="I43" s="83">
        <f t="shared" si="0"/>
        <v>-1036</v>
      </c>
    </row>
    <row r="44" spans="1:9" ht="22.5" x14ac:dyDescent="0.25">
      <c r="A44" s="486" t="s">
        <v>722</v>
      </c>
      <c r="B44" s="487">
        <v>600000</v>
      </c>
      <c r="C44" s="105">
        <f t="shared" si="1"/>
        <v>600</v>
      </c>
      <c r="G44" s="529" t="s">
        <v>726</v>
      </c>
      <c r="H44" s="530">
        <v>11500</v>
      </c>
      <c r="I44" s="34">
        <v>11</v>
      </c>
    </row>
    <row r="45" spans="1:9" x14ac:dyDescent="0.25">
      <c r="A45" s="497" t="s">
        <v>159</v>
      </c>
      <c r="B45" s="498">
        <v>41653.5</v>
      </c>
      <c r="C45" s="499">
        <f t="shared" si="1"/>
        <v>42</v>
      </c>
      <c r="G45" s="529" t="s">
        <v>721</v>
      </c>
      <c r="H45" s="530">
        <v>34555.47</v>
      </c>
      <c r="I45" s="34">
        <f t="shared" si="0"/>
        <v>35</v>
      </c>
    </row>
    <row r="46" spans="1:9" x14ac:dyDescent="0.25">
      <c r="A46" s="497" t="s">
        <v>729</v>
      </c>
      <c r="B46" s="498">
        <v>954605.27</v>
      </c>
      <c r="C46" s="499">
        <f t="shared" si="1"/>
        <v>955</v>
      </c>
      <c r="G46" s="514" t="s">
        <v>166</v>
      </c>
      <c r="H46" s="515">
        <v>122514</v>
      </c>
      <c r="I46" s="59">
        <f t="shared" si="0"/>
        <v>123</v>
      </c>
    </row>
    <row r="47" spans="1:9" x14ac:dyDescent="0.25">
      <c r="A47" s="484" t="s">
        <v>72</v>
      </c>
      <c r="B47" s="488">
        <v>790.2</v>
      </c>
      <c r="C47" s="38">
        <f t="shared" si="1"/>
        <v>1</v>
      </c>
      <c r="G47" s="529" t="s">
        <v>164</v>
      </c>
      <c r="H47" s="530">
        <v>49035.72</v>
      </c>
      <c r="I47" s="34">
        <f t="shared" si="0"/>
        <v>49</v>
      </c>
    </row>
    <row r="48" spans="1:9" ht="22.5" x14ac:dyDescent="0.25">
      <c r="A48" s="495" t="s">
        <v>730</v>
      </c>
      <c r="B48" s="496">
        <v>5269515.9000000004</v>
      </c>
      <c r="C48" s="86">
        <f t="shared" si="1"/>
        <v>5270</v>
      </c>
      <c r="G48" s="529" t="s">
        <v>161</v>
      </c>
      <c r="H48" s="530">
        <v>347760</v>
      </c>
      <c r="I48" s="34">
        <f t="shared" si="0"/>
        <v>348</v>
      </c>
    </row>
    <row r="49" spans="1:9" x14ac:dyDescent="0.25">
      <c r="A49" s="503" t="s">
        <v>156</v>
      </c>
      <c r="B49" s="504">
        <v>39600.01</v>
      </c>
      <c r="C49" s="34">
        <f t="shared" si="1"/>
        <v>40</v>
      </c>
      <c r="G49" s="511" t="s">
        <v>728</v>
      </c>
      <c r="H49" s="512">
        <v>25106.04</v>
      </c>
      <c r="I49" s="513">
        <f t="shared" si="0"/>
        <v>25</v>
      </c>
    </row>
    <row r="50" spans="1:9" x14ac:dyDescent="0.25">
      <c r="A50" s="503" t="s">
        <v>155</v>
      </c>
      <c r="B50" s="504">
        <v>1022741.16</v>
      </c>
      <c r="C50" s="34">
        <f t="shared" si="1"/>
        <v>1023</v>
      </c>
      <c r="G50" s="518" t="s">
        <v>722</v>
      </c>
      <c r="H50" s="519">
        <v>3000000</v>
      </c>
      <c r="I50" s="105">
        <f t="shared" si="0"/>
        <v>3000</v>
      </c>
    </row>
    <row r="51" spans="1:9" x14ac:dyDescent="0.25">
      <c r="A51" s="503" t="s">
        <v>154</v>
      </c>
      <c r="B51" s="504">
        <v>505395</v>
      </c>
      <c r="C51" s="34">
        <f t="shared" si="1"/>
        <v>505</v>
      </c>
      <c r="G51" s="511" t="s">
        <v>159</v>
      </c>
      <c r="H51" s="512">
        <v>37583.5</v>
      </c>
      <c r="I51" s="513">
        <f t="shared" si="0"/>
        <v>38</v>
      </c>
    </row>
    <row r="52" spans="1:9" x14ac:dyDescent="0.25">
      <c r="A52" s="484" t="s">
        <v>723</v>
      </c>
      <c r="B52" s="485">
        <v>82586.210000000006</v>
      </c>
      <c r="C52" s="38">
        <f t="shared" si="1"/>
        <v>83</v>
      </c>
      <c r="G52" s="511" t="s">
        <v>729</v>
      </c>
      <c r="H52" s="512">
        <v>802190.67</v>
      </c>
      <c r="I52" s="513">
        <f t="shared" si="0"/>
        <v>802</v>
      </c>
    </row>
    <row r="53" spans="1:9" x14ac:dyDescent="0.25">
      <c r="A53" s="500" t="s">
        <v>152</v>
      </c>
      <c r="B53" s="501">
        <v>1143.45</v>
      </c>
      <c r="C53" s="502">
        <f t="shared" si="1"/>
        <v>1</v>
      </c>
      <c r="G53" s="523" t="s">
        <v>72</v>
      </c>
      <c r="H53" s="525">
        <v>790.2</v>
      </c>
      <c r="I53" s="38">
        <f t="shared" si="0"/>
        <v>1</v>
      </c>
    </row>
    <row r="54" spans="1:9" x14ac:dyDescent="0.25">
      <c r="A54" s="454" t="s">
        <v>57</v>
      </c>
      <c r="B54" s="455">
        <v>107041095.65000001</v>
      </c>
      <c r="C54" s="31">
        <f>SUM(C1:C53)</f>
        <v>107045</v>
      </c>
      <c r="G54" s="518" t="s">
        <v>730</v>
      </c>
      <c r="H54" s="519">
        <v>4953577.59</v>
      </c>
      <c r="I54" s="105">
        <f t="shared" si="0"/>
        <v>4954</v>
      </c>
    </row>
    <row r="55" spans="1:9" x14ac:dyDescent="0.25">
      <c r="B55" s="31">
        <f>'5610 1 кв 2022_2021'!C35</f>
        <v>6593464.29</v>
      </c>
      <c r="C55" s="31">
        <f>'5610 1 кв 2022_2021'!F35</f>
        <v>6593</v>
      </c>
      <c r="G55" s="511" t="s">
        <v>157</v>
      </c>
      <c r="H55" s="512">
        <v>17000</v>
      </c>
      <c r="I55" s="513">
        <f t="shared" si="0"/>
        <v>17</v>
      </c>
    </row>
    <row r="56" spans="1:9" x14ac:dyDescent="0.25">
      <c r="B56" s="31">
        <f>'5610 1 кв 2022_2021'!C26</f>
        <v>7701983.3600000003</v>
      </c>
      <c r="C56" s="31">
        <f>'5610 1 кв 2022_2021'!F26</f>
        <v>7702</v>
      </c>
      <c r="G56" s="529" t="s">
        <v>155</v>
      </c>
      <c r="H56" s="530">
        <v>309939.58</v>
      </c>
      <c r="I56" s="34">
        <f t="shared" si="0"/>
        <v>310</v>
      </c>
    </row>
    <row r="57" spans="1:9" x14ac:dyDescent="0.25">
      <c r="B57" s="31">
        <f>SUM(B54:B56)</f>
        <v>121336543.30000001</v>
      </c>
      <c r="C57" s="31">
        <f t="shared" ref="C57" si="2">ROUND(B57/1000,0)</f>
        <v>121337</v>
      </c>
      <c r="G57" s="529" t="s">
        <v>154</v>
      </c>
      <c r="H57" s="530">
        <v>4240995</v>
      </c>
      <c r="I57" s="34">
        <f t="shared" si="0"/>
        <v>4241</v>
      </c>
    </row>
    <row r="58" spans="1:9" x14ac:dyDescent="0.25">
      <c r="G58" s="523" t="s">
        <v>723</v>
      </c>
      <c r="H58" s="524">
        <v>48491.78</v>
      </c>
      <c r="I58" s="38">
        <f t="shared" si="0"/>
        <v>48</v>
      </c>
    </row>
    <row r="59" spans="1:9" x14ac:dyDescent="0.25">
      <c r="G59" s="526" t="s">
        <v>152</v>
      </c>
      <c r="H59" s="527">
        <v>23535.18</v>
      </c>
      <c r="I59" s="528">
        <f t="shared" si="0"/>
        <v>24</v>
      </c>
    </row>
    <row r="60" spans="1:9" x14ac:dyDescent="0.25">
      <c r="G60" s="459" t="s">
        <v>57</v>
      </c>
      <c r="H60" s="460">
        <v>124162804.81999999</v>
      </c>
      <c r="I60" s="31">
        <f>SUM(I1:I59)</f>
        <v>124166</v>
      </c>
    </row>
  </sheetData>
  <pageMargins left="0.7" right="0.7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1154-55C5-4E91-B997-30AAA3289737}">
  <dimension ref="A1:J37"/>
  <sheetViews>
    <sheetView workbookViewId="0">
      <selection activeCell="H22" sqref="H22"/>
    </sheetView>
  </sheetViews>
  <sheetFormatPr defaultRowHeight="15" x14ac:dyDescent="0.25"/>
  <cols>
    <col min="1" max="1" width="18.7109375" customWidth="1"/>
    <col min="3" max="4" width="9.28515625" bestFit="1" customWidth="1"/>
    <col min="5" max="8" width="10" bestFit="1" customWidth="1"/>
  </cols>
  <sheetData>
    <row r="1" spans="1:10" x14ac:dyDescent="0.25">
      <c r="A1" s="535" t="s">
        <v>213</v>
      </c>
      <c r="B1" s="703" t="s">
        <v>468</v>
      </c>
      <c r="C1" s="705" t="s">
        <v>214</v>
      </c>
      <c r="D1" s="705"/>
      <c r="E1" s="705" t="s">
        <v>215</v>
      </c>
      <c r="F1" s="705"/>
      <c r="G1" s="705" t="s">
        <v>216</v>
      </c>
      <c r="H1" s="705"/>
    </row>
    <row r="2" spans="1:10" x14ac:dyDescent="0.25">
      <c r="A2" s="535" t="s">
        <v>383</v>
      </c>
      <c r="B2" s="704"/>
      <c r="C2" s="535" t="s">
        <v>139</v>
      </c>
      <c r="D2" s="535" t="s">
        <v>140</v>
      </c>
      <c r="E2" s="535" t="s">
        <v>139</v>
      </c>
      <c r="F2" s="535" t="s">
        <v>140</v>
      </c>
      <c r="G2" s="535" t="s">
        <v>139</v>
      </c>
      <c r="H2" s="535" t="s">
        <v>140</v>
      </c>
    </row>
    <row r="3" spans="1:10" ht="22.5" x14ac:dyDescent="0.25">
      <c r="A3" s="536" t="s">
        <v>217</v>
      </c>
      <c r="B3" s="537" t="s">
        <v>469</v>
      </c>
      <c r="C3" s="538">
        <v>265602</v>
      </c>
      <c r="D3" s="539"/>
      <c r="E3" s="538">
        <v>3220000</v>
      </c>
      <c r="F3" s="538">
        <v>2608700</v>
      </c>
      <c r="G3" s="538">
        <v>876902</v>
      </c>
      <c r="H3" s="539"/>
      <c r="I3" s="31">
        <f>ROUND(C3/1000,0)</f>
        <v>266</v>
      </c>
      <c r="J3" s="31">
        <f>ROUND(G3/1000,0)</f>
        <v>877</v>
      </c>
    </row>
    <row r="4" spans="1:10" ht="33.75" x14ac:dyDescent="0.25">
      <c r="A4" s="540" t="s">
        <v>731</v>
      </c>
      <c r="B4" s="541" t="s">
        <v>469</v>
      </c>
      <c r="C4" s="542">
        <v>265602</v>
      </c>
      <c r="D4" s="543"/>
      <c r="E4" s="542">
        <v>3220000</v>
      </c>
      <c r="F4" s="542">
        <v>2608700</v>
      </c>
      <c r="G4" s="542">
        <v>876902</v>
      </c>
      <c r="H4" s="543"/>
    </row>
    <row r="5" spans="1:10" x14ac:dyDescent="0.25">
      <c r="A5" s="701" t="s">
        <v>385</v>
      </c>
      <c r="B5" s="544" t="s">
        <v>469</v>
      </c>
      <c r="C5" s="545">
        <v>265602</v>
      </c>
      <c r="D5" s="546"/>
      <c r="E5" s="545">
        <v>3220000</v>
      </c>
      <c r="F5" s="545">
        <v>2608700</v>
      </c>
      <c r="G5" s="545">
        <v>876902</v>
      </c>
      <c r="H5" s="546"/>
    </row>
    <row r="6" spans="1:10" x14ac:dyDescent="0.25">
      <c r="A6" s="702"/>
      <c r="B6" s="544" t="s">
        <v>470</v>
      </c>
      <c r="C6" s="545">
        <v>265602</v>
      </c>
      <c r="D6" s="546"/>
      <c r="E6" s="545">
        <v>3220000</v>
      </c>
      <c r="F6" s="545">
        <v>2608700</v>
      </c>
      <c r="G6" s="545">
        <v>876902</v>
      </c>
      <c r="H6" s="546"/>
    </row>
    <row r="7" spans="1:10" ht="33.75" x14ac:dyDescent="0.25">
      <c r="A7" s="536" t="s">
        <v>220</v>
      </c>
      <c r="B7" s="537" t="s">
        <v>469</v>
      </c>
      <c r="C7" s="539"/>
      <c r="D7" s="539"/>
      <c r="E7" s="538">
        <v>2570000</v>
      </c>
      <c r="F7" s="539"/>
      <c r="G7" s="538">
        <v>2570000</v>
      </c>
      <c r="H7" s="539"/>
      <c r="I7" s="31">
        <f>ROUND(C7/1000,0)</f>
        <v>0</v>
      </c>
      <c r="J7" s="31">
        <f>ROUND(G7/1000,0)</f>
        <v>2570</v>
      </c>
    </row>
    <row r="8" spans="1:10" ht="45" x14ac:dyDescent="0.25">
      <c r="A8" s="540" t="s">
        <v>732</v>
      </c>
      <c r="B8" s="541" t="s">
        <v>469</v>
      </c>
      <c r="C8" s="543"/>
      <c r="D8" s="543"/>
      <c r="E8" s="542">
        <v>2570000</v>
      </c>
      <c r="F8" s="543"/>
      <c r="G8" s="542">
        <v>2570000</v>
      </c>
      <c r="H8" s="543"/>
    </row>
    <row r="9" spans="1:10" x14ac:dyDescent="0.25">
      <c r="A9" s="701" t="s">
        <v>385</v>
      </c>
      <c r="B9" s="544" t="s">
        <v>469</v>
      </c>
      <c r="C9" s="546"/>
      <c r="D9" s="546"/>
      <c r="E9" s="545">
        <v>2570000</v>
      </c>
      <c r="F9" s="546"/>
      <c r="G9" s="545">
        <v>2570000</v>
      </c>
      <c r="H9" s="546"/>
    </row>
    <row r="10" spans="1:10" x14ac:dyDescent="0.25">
      <c r="A10" s="702"/>
      <c r="B10" s="544" t="s">
        <v>470</v>
      </c>
      <c r="C10" s="546"/>
      <c r="D10" s="546"/>
      <c r="E10" s="545">
        <v>2570000</v>
      </c>
      <c r="F10" s="546"/>
      <c r="G10" s="545">
        <v>2570000</v>
      </c>
      <c r="H10" s="546"/>
    </row>
    <row r="11" spans="1:10" ht="33.75" x14ac:dyDescent="0.25">
      <c r="A11" s="536" t="s">
        <v>256</v>
      </c>
      <c r="B11" s="537" t="s">
        <v>469</v>
      </c>
      <c r="C11" s="539"/>
      <c r="D11" s="539"/>
      <c r="E11" s="538">
        <v>2900</v>
      </c>
      <c r="F11" s="538">
        <v>2900</v>
      </c>
      <c r="G11" s="539"/>
      <c r="H11" s="539"/>
    </row>
    <row r="12" spans="1:10" ht="33.75" x14ac:dyDescent="0.25">
      <c r="A12" s="540" t="s">
        <v>257</v>
      </c>
      <c r="B12" s="541" t="s">
        <v>469</v>
      </c>
      <c r="C12" s="543"/>
      <c r="D12" s="543"/>
      <c r="E12" s="542">
        <v>2900</v>
      </c>
      <c r="F12" s="542">
        <v>2900</v>
      </c>
      <c r="G12" s="543"/>
      <c r="H12" s="543"/>
    </row>
    <row r="13" spans="1:10" ht="45" x14ac:dyDescent="0.25">
      <c r="A13" s="547" t="s">
        <v>482</v>
      </c>
      <c r="B13" s="541" t="s">
        <v>469</v>
      </c>
      <c r="C13" s="543"/>
      <c r="D13" s="543"/>
      <c r="E13" s="542">
        <v>2900</v>
      </c>
      <c r="F13" s="542">
        <v>2900</v>
      </c>
      <c r="G13" s="543"/>
      <c r="H13" s="543"/>
    </row>
    <row r="14" spans="1:10" x14ac:dyDescent="0.25">
      <c r="A14" s="699" t="s">
        <v>385</v>
      </c>
      <c r="B14" s="544" t="s">
        <v>469</v>
      </c>
      <c r="C14" s="546"/>
      <c r="D14" s="546"/>
      <c r="E14" s="545">
        <v>2900</v>
      </c>
      <c r="F14" s="545">
        <v>2900</v>
      </c>
      <c r="G14" s="546"/>
      <c r="H14" s="546"/>
    </row>
    <row r="15" spans="1:10" x14ac:dyDescent="0.25">
      <c r="A15" s="700"/>
      <c r="B15" s="544" t="s">
        <v>470</v>
      </c>
      <c r="C15" s="546"/>
      <c r="D15" s="546"/>
      <c r="E15" s="545">
        <v>2900</v>
      </c>
      <c r="F15" s="545">
        <v>2900</v>
      </c>
      <c r="G15" s="546"/>
      <c r="H15" s="546"/>
    </row>
    <row r="16" spans="1:10" ht="45" x14ac:dyDescent="0.25">
      <c r="A16" s="536" t="s">
        <v>733</v>
      </c>
      <c r="B16" s="537" t="s">
        <v>469</v>
      </c>
      <c r="C16" s="539"/>
      <c r="D16" s="539"/>
      <c r="E16" s="538">
        <v>33000</v>
      </c>
      <c r="F16" s="539"/>
      <c r="G16" s="538">
        <v>33000</v>
      </c>
      <c r="H16" s="539"/>
      <c r="I16" s="31">
        <f>ROUND(C16/1000,0)</f>
        <v>0</v>
      </c>
      <c r="J16" s="31">
        <f>ROUND(G16/1000,0)</f>
        <v>33</v>
      </c>
    </row>
    <row r="17" spans="1:10" ht="45" x14ac:dyDescent="0.25">
      <c r="A17" s="540" t="s">
        <v>264</v>
      </c>
      <c r="B17" s="541" t="s">
        <v>469</v>
      </c>
      <c r="C17" s="543"/>
      <c r="D17" s="543"/>
      <c r="E17" s="542">
        <v>33000</v>
      </c>
      <c r="F17" s="543"/>
      <c r="G17" s="542">
        <v>33000</v>
      </c>
      <c r="H17" s="543"/>
    </row>
    <row r="18" spans="1:10" x14ac:dyDescent="0.25">
      <c r="A18" s="701" t="s">
        <v>385</v>
      </c>
      <c r="B18" s="544" t="s">
        <v>469</v>
      </c>
      <c r="C18" s="546"/>
      <c r="D18" s="546"/>
      <c r="E18" s="545">
        <v>33000</v>
      </c>
      <c r="F18" s="546"/>
      <c r="G18" s="545">
        <v>33000</v>
      </c>
      <c r="H18" s="546"/>
    </row>
    <row r="19" spans="1:10" x14ac:dyDescent="0.25">
      <c r="A19" s="702"/>
      <c r="B19" s="544" t="s">
        <v>470</v>
      </c>
      <c r="C19" s="546"/>
      <c r="D19" s="546"/>
      <c r="E19" s="545">
        <v>33000</v>
      </c>
      <c r="F19" s="546"/>
      <c r="G19" s="545">
        <v>33000</v>
      </c>
      <c r="H19" s="546"/>
    </row>
    <row r="20" spans="1:10" ht="33.75" x14ac:dyDescent="0.25">
      <c r="A20" s="536" t="s">
        <v>757</v>
      </c>
      <c r="B20" s="537" t="s">
        <v>469</v>
      </c>
      <c r="C20" s="539"/>
      <c r="D20" s="539"/>
      <c r="E20" s="539"/>
      <c r="F20" s="538">
        <v>3220000</v>
      </c>
      <c r="G20" s="539"/>
      <c r="H20" s="538">
        <v>3220000</v>
      </c>
      <c r="I20" s="31">
        <f>ROUND(D20/1000,0)</f>
        <v>0</v>
      </c>
      <c r="J20" s="31">
        <f>ROUND(H20/1000,0)</f>
        <v>3220</v>
      </c>
    </row>
    <row r="21" spans="1:10" ht="45" x14ac:dyDescent="0.25">
      <c r="A21" s="540" t="s">
        <v>758</v>
      </c>
      <c r="B21" s="541" t="s">
        <v>469</v>
      </c>
      <c r="C21" s="543"/>
      <c r="D21" s="543"/>
      <c r="E21" s="543"/>
      <c r="F21" s="542">
        <v>3220000</v>
      </c>
      <c r="G21" s="543"/>
      <c r="H21" s="542">
        <v>3220000</v>
      </c>
    </row>
    <row r="22" spans="1:10" x14ac:dyDescent="0.25">
      <c r="A22" s="701" t="s">
        <v>385</v>
      </c>
      <c r="B22" s="544" t="s">
        <v>469</v>
      </c>
      <c r="C22" s="546"/>
      <c r="D22" s="546"/>
      <c r="E22" s="546"/>
      <c r="F22" s="545">
        <v>3220000</v>
      </c>
      <c r="G22" s="546"/>
      <c r="H22" s="545">
        <v>3220000</v>
      </c>
    </row>
    <row r="23" spans="1:10" x14ac:dyDescent="0.25">
      <c r="A23" s="702"/>
      <c r="B23" s="544" t="s">
        <v>470</v>
      </c>
      <c r="C23" s="546"/>
      <c r="D23" s="546"/>
      <c r="E23" s="546"/>
      <c r="F23" s="545">
        <v>3220000</v>
      </c>
      <c r="G23" s="546"/>
      <c r="H23" s="545">
        <v>3220000</v>
      </c>
    </row>
    <row r="24" spans="1:10" ht="33.75" x14ac:dyDescent="0.25">
      <c r="A24" s="536" t="s">
        <v>294</v>
      </c>
      <c r="B24" s="537" t="s">
        <v>469</v>
      </c>
      <c r="C24" s="539"/>
      <c r="D24" s="539"/>
      <c r="E24" s="538">
        <v>5700</v>
      </c>
      <c r="F24" s="538">
        <v>5700</v>
      </c>
      <c r="G24" s="539"/>
      <c r="H24" s="539"/>
    </row>
    <row r="25" spans="1:10" ht="67.5" x14ac:dyDescent="0.25">
      <c r="A25" s="540" t="s">
        <v>295</v>
      </c>
      <c r="B25" s="541" t="s">
        <v>469</v>
      </c>
      <c r="C25" s="543"/>
      <c r="D25" s="543"/>
      <c r="E25" s="542">
        <v>5700</v>
      </c>
      <c r="F25" s="542">
        <v>5700</v>
      </c>
      <c r="G25" s="543"/>
      <c r="H25" s="543"/>
    </row>
    <row r="26" spans="1:10" x14ac:dyDescent="0.25">
      <c r="A26" s="701" t="s">
        <v>385</v>
      </c>
      <c r="B26" s="544" t="s">
        <v>469</v>
      </c>
      <c r="C26" s="546"/>
      <c r="D26" s="546"/>
      <c r="E26" s="545">
        <v>5700</v>
      </c>
      <c r="F26" s="545">
        <v>5700</v>
      </c>
      <c r="G26" s="546"/>
      <c r="H26" s="546"/>
    </row>
    <row r="27" spans="1:10" x14ac:dyDescent="0.25">
      <c r="A27" s="702"/>
      <c r="B27" s="544" t="s">
        <v>470</v>
      </c>
      <c r="C27" s="546"/>
      <c r="D27" s="546"/>
      <c r="E27" s="545">
        <v>5700</v>
      </c>
      <c r="F27" s="545">
        <v>5700</v>
      </c>
      <c r="G27" s="546"/>
      <c r="H27" s="546"/>
    </row>
    <row r="28" spans="1:10" ht="22.5" x14ac:dyDescent="0.25">
      <c r="A28" s="536" t="s">
        <v>311</v>
      </c>
      <c r="B28" s="537" t="s">
        <v>469</v>
      </c>
      <c r="C28" s="539"/>
      <c r="D28" s="538">
        <v>300000</v>
      </c>
      <c r="E28" s="539"/>
      <c r="F28" s="539"/>
      <c r="G28" s="539"/>
      <c r="H28" s="538">
        <v>300000</v>
      </c>
      <c r="I28" s="31">
        <f>ROUND(D28/1000,0)</f>
        <v>300</v>
      </c>
      <c r="J28" s="31">
        <f>ROUND(H28/1000,0)</f>
        <v>300</v>
      </c>
    </row>
    <row r="29" spans="1:10" x14ac:dyDescent="0.25">
      <c r="A29" s="540" t="s">
        <v>759</v>
      </c>
      <c r="B29" s="541" t="s">
        <v>469</v>
      </c>
      <c r="C29" s="543"/>
      <c r="D29" s="542">
        <v>300000</v>
      </c>
      <c r="E29" s="543"/>
      <c r="F29" s="543"/>
      <c r="G29" s="543"/>
      <c r="H29" s="542">
        <v>300000</v>
      </c>
    </row>
    <row r="30" spans="1:10" ht="45" x14ac:dyDescent="0.25">
      <c r="A30" s="536" t="s">
        <v>734</v>
      </c>
      <c r="B30" s="537" t="s">
        <v>469</v>
      </c>
      <c r="C30" s="539"/>
      <c r="D30" s="539"/>
      <c r="E30" s="539"/>
      <c r="F30" s="548">
        <v>-34398</v>
      </c>
      <c r="G30" s="539"/>
      <c r="H30" s="548">
        <v>-34398</v>
      </c>
      <c r="I30" s="31">
        <f>ROUND(D30/1000,0)</f>
        <v>0</v>
      </c>
      <c r="J30" s="31">
        <f>ROUND(H30/1000,0)</f>
        <v>-34</v>
      </c>
    </row>
    <row r="31" spans="1:10" ht="67.5" x14ac:dyDescent="0.25">
      <c r="A31" s="540" t="s">
        <v>735</v>
      </c>
      <c r="B31" s="541" t="s">
        <v>469</v>
      </c>
      <c r="C31" s="543"/>
      <c r="D31" s="543"/>
      <c r="E31" s="543"/>
      <c r="F31" s="549">
        <v>-34398</v>
      </c>
      <c r="G31" s="543"/>
      <c r="H31" s="549">
        <v>-34398</v>
      </c>
    </row>
    <row r="32" spans="1:10" ht="45" x14ac:dyDescent="0.25">
      <c r="A32" s="536" t="s">
        <v>492</v>
      </c>
      <c r="B32" s="537" t="s">
        <v>469</v>
      </c>
      <c r="C32" s="539"/>
      <c r="D32" s="548">
        <v>-34398</v>
      </c>
      <c r="E32" s="548">
        <v>-34398</v>
      </c>
      <c r="F32" s="548">
        <v>-5700</v>
      </c>
      <c r="G32" s="539"/>
      <c r="H32" s="548">
        <v>-5700</v>
      </c>
      <c r="I32" s="31">
        <f>ROUND(D32/1000,0)</f>
        <v>-34</v>
      </c>
      <c r="J32" s="31">
        <f>ROUND(H32/1000,0)</f>
        <v>-6</v>
      </c>
    </row>
    <row r="33" spans="1:8" ht="67.5" x14ac:dyDescent="0.25">
      <c r="A33" s="540" t="s">
        <v>736</v>
      </c>
      <c r="B33" s="541" t="s">
        <v>469</v>
      </c>
      <c r="C33" s="543"/>
      <c r="D33" s="549">
        <v>-34398</v>
      </c>
      <c r="E33" s="549">
        <v>-34398</v>
      </c>
      <c r="F33" s="549">
        <v>-5700</v>
      </c>
      <c r="G33" s="543"/>
      <c r="H33" s="549">
        <v>-5700</v>
      </c>
    </row>
    <row r="34" spans="1:8" ht="33.75" x14ac:dyDescent="0.25">
      <c r="A34" s="536" t="s">
        <v>493</v>
      </c>
      <c r="B34" s="537" t="s">
        <v>469</v>
      </c>
      <c r="C34" s="539"/>
      <c r="D34" s="539"/>
      <c r="E34" s="538">
        <v>5700</v>
      </c>
      <c r="F34" s="538">
        <v>5700</v>
      </c>
      <c r="G34" s="539"/>
      <c r="H34" s="539"/>
    </row>
    <row r="35" spans="1:8" ht="33.75" x14ac:dyDescent="0.25">
      <c r="A35" s="540" t="s">
        <v>494</v>
      </c>
      <c r="B35" s="541" t="s">
        <v>469</v>
      </c>
      <c r="C35" s="543"/>
      <c r="D35" s="543"/>
      <c r="E35" s="542">
        <v>5700</v>
      </c>
      <c r="F35" s="542">
        <v>5700</v>
      </c>
      <c r="G35" s="543"/>
      <c r="H35" s="543"/>
    </row>
    <row r="36" spans="1:8" ht="56.25" x14ac:dyDescent="0.25">
      <c r="A36" s="547" t="s">
        <v>495</v>
      </c>
      <c r="B36" s="541" t="s">
        <v>469</v>
      </c>
      <c r="C36" s="543"/>
      <c r="D36" s="543"/>
      <c r="E36" s="542">
        <v>5700</v>
      </c>
      <c r="F36" s="542">
        <v>5700</v>
      </c>
      <c r="G36" s="543"/>
      <c r="H36" s="543"/>
    </row>
    <row r="37" spans="1:8" x14ac:dyDescent="0.25">
      <c r="A37" s="550" t="s">
        <v>57</v>
      </c>
      <c r="B37" s="550" t="s">
        <v>469</v>
      </c>
      <c r="C37" s="551">
        <v>265602</v>
      </c>
      <c r="D37" s="551">
        <v>265602</v>
      </c>
      <c r="E37" s="551">
        <v>5802902</v>
      </c>
      <c r="F37" s="551">
        <v>5802902</v>
      </c>
      <c r="G37" s="551">
        <v>3479902</v>
      </c>
      <c r="H37" s="551">
        <v>3479902</v>
      </c>
    </row>
  </sheetData>
  <mergeCells count="10">
    <mergeCell ref="C1:D1"/>
    <mergeCell ref="E1:F1"/>
    <mergeCell ref="G1:H1"/>
    <mergeCell ref="A5:A6"/>
    <mergeCell ref="A9:A10"/>
    <mergeCell ref="A14:A15"/>
    <mergeCell ref="A18:A19"/>
    <mergeCell ref="A22:A23"/>
    <mergeCell ref="A26:A27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27</vt:i4>
      </vt:variant>
    </vt:vector>
  </HeadingPairs>
  <TitlesOfParts>
    <vt:vector size="50" baseType="lpstr">
      <vt:lpstr>ОПиУ 3 кв 2022_2021</vt:lpstr>
      <vt:lpstr>Баланс 30092022</vt:lpstr>
      <vt:lpstr>Отчет СК 30092022</vt:lpstr>
      <vt:lpstr>Отчет ДДС на 30092022</vt:lpstr>
      <vt:lpstr>Анализ 5710 2 кв </vt:lpstr>
      <vt:lpstr>Лист2</vt:lpstr>
      <vt:lpstr>5610 1 кв 2022_2021</vt:lpstr>
      <vt:lpstr>Операционные расходы</vt:lpstr>
      <vt:lpstr>ОСВ TPFA</vt:lpstr>
      <vt:lpstr>Лист1</vt:lpstr>
      <vt:lpstr>Отчет СК (2)</vt:lpstr>
      <vt:lpstr>Отчет СК</vt:lpstr>
      <vt:lpstr>ОСВ 2 кв 2021</vt:lpstr>
      <vt:lpstr>Баланс</vt:lpstr>
      <vt:lpstr>ДДС</vt:lpstr>
      <vt:lpstr>ОПиУ</vt:lpstr>
      <vt:lpstr>Примечание к балансу</vt:lpstr>
      <vt:lpstr>Связаные стороны</vt:lpstr>
      <vt:lpstr>Опер расходы</vt:lpstr>
      <vt:lpstr>расчет к ОПиУ</vt:lpstr>
      <vt:lpstr>ОСВ 2021</vt:lpstr>
      <vt:lpstr>расчеты к ДДС</vt:lpstr>
      <vt:lpstr>Расчеты к ДДС2021</vt:lpstr>
      <vt:lpstr>'Связаные стороны'!_Hlk37743096</vt:lpstr>
      <vt:lpstr>ОПиУ!_Hlk60159346</vt:lpstr>
      <vt:lpstr>'ОПиУ 3 кв 2022_2021'!_Hlk60159346</vt:lpstr>
      <vt:lpstr>'Примечание к балансу'!_Hlk68541205</vt:lpstr>
      <vt:lpstr>'Связаные стороны'!_Hlk69715734</vt:lpstr>
      <vt:lpstr>'Примечание к балансу'!_Toc68943827</vt:lpstr>
      <vt:lpstr>'Примечание к балансу'!_Toc68943828</vt:lpstr>
      <vt:lpstr>'Примечание к балансу'!_Toc68943829</vt:lpstr>
      <vt:lpstr>'Примечание к балансу'!_Toc68943830</vt:lpstr>
      <vt:lpstr>'Примечание к балансу'!_Toc68943831</vt:lpstr>
      <vt:lpstr>'Примечание к балансу'!_Toc68943832</vt:lpstr>
      <vt:lpstr>'Примечание к балансу'!_Toc68943833</vt:lpstr>
      <vt:lpstr>'Примечание к балансу'!_Toc68943834</vt:lpstr>
      <vt:lpstr>'Связаные стороны'!_Toc68943839</vt:lpstr>
      <vt:lpstr>Баланс!Область_печати</vt:lpstr>
      <vt:lpstr>'Баланс 30092022'!Область_печати</vt:lpstr>
      <vt:lpstr>ДДС!Область_печати</vt:lpstr>
      <vt:lpstr>ОПиУ!Область_печати</vt:lpstr>
      <vt:lpstr>'ОПиУ 3 кв 2022_2021'!Область_печати</vt:lpstr>
      <vt:lpstr>'ОСВ 2021'!Область_печати</vt:lpstr>
      <vt:lpstr>'Отчет ДДС на 30092022'!Область_печати</vt:lpstr>
      <vt:lpstr>'Отчет СК'!Область_печати</vt:lpstr>
      <vt:lpstr>'Отчет СК (2)'!Область_печати</vt:lpstr>
      <vt:lpstr>'Отчет СК 30092022'!Область_печати</vt:lpstr>
      <vt:lpstr>'Примечание к балансу'!Область_печати</vt:lpstr>
      <vt:lpstr>'расчеты к ДДС'!Область_печати</vt:lpstr>
      <vt:lpstr>'Связаные стороны'!Область_печати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2022-10-28T08:33:47Z</cp:lastPrinted>
  <dcterms:created xsi:type="dcterms:W3CDTF">2021-05-04T06:00:39Z</dcterms:created>
  <dcterms:modified xsi:type="dcterms:W3CDTF">2022-10-31T10:25:33Z</dcterms:modified>
</cp:coreProperties>
</file>